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71\薬務共有\②薬事班\99_その他\11_オープンデータ\01_R7年度\第２四半期\作業データ\"/>
    </mc:Choice>
  </mc:AlternateContent>
  <bookViews>
    <workbookView xWindow="0" yWindow="0" windowWidth="28800" windowHeight="12470"/>
  </bookViews>
  <sheets>
    <sheet name="YDataSearch" sheetId="1" r:id="rId1"/>
  </sheets>
  <calcPr calcId="162913"/>
</workbook>
</file>

<file path=xl/calcChain.xml><?xml version="1.0" encoding="utf-8"?>
<calcChain xmlns="http://schemas.openxmlformats.org/spreadsheetml/2006/main">
  <c r="D546" i="1" l="1"/>
  <c r="D483" i="1"/>
  <c r="D481" i="1"/>
  <c r="D480" i="1"/>
  <c r="D479" i="1"/>
  <c r="D477" i="1"/>
  <c r="D476" i="1"/>
  <c r="D475" i="1"/>
  <c r="D474" i="1"/>
  <c r="D473" i="1"/>
  <c r="D472" i="1"/>
  <c r="D471" i="1"/>
  <c r="D470" i="1"/>
  <c r="D469" i="1"/>
  <c r="D463" i="1"/>
  <c r="D462" i="1"/>
  <c r="D458" i="1"/>
  <c r="D457" i="1"/>
  <c r="D447" i="1"/>
  <c r="D444" i="1"/>
  <c r="D437" i="1"/>
  <c r="D434" i="1"/>
  <c r="D433" i="1"/>
  <c r="D429" i="1"/>
  <c r="D423" i="1"/>
  <c r="D413" i="1"/>
  <c r="D340" i="1"/>
  <c r="D339" i="1"/>
  <c r="D338" i="1"/>
  <c r="D336" i="1"/>
  <c r="D335" i="1"/>
  <c r="D334" i="1"/>
  <c r="D326" i="1"/>
  <c r="D325" i="1"/>
  <c r="D324" i="1"/>
  <c r="D321" i="1"/>
  <c r="D320" i="1"/>
  <c r="D316" i="1"/>
  <c r="D313" i="1"/>
  <c r="D292" i="1"/>
  <c r="D247" i="1"/>
  <c r="D234" i="1"/>
  <c r="D233" i="1"/>
  <c r="D224" i="1"/>
  <c r="D24" i="1"/>
  <c r="D21" i="1"/>
  <c r="D16" i="1"/>
  <c r="D8" i="1"/>
  <c r="D4" i="1"/>
  <c r="D3" i="1"/>
  <c r="A2" i="1" l="1"/>
  <c r="E2" i="1"/>
  <c r="F2" i="1"/>
  <c r="D2" i="1"/>
  <c r="C2" i="1"/>
  <c r="B2" i="1"/>
  <c r="A3" i="1"/>
  <c r="E3" i="1"/>
  <c r="F3" i="1"/>
  <c r="C3" i="1"/>
  <c r="B3" i="1"/>
  <c r="A4" i="1"/>
  <c r="E4" i="1"/>
  <c r="F4" i="1"/>
  <c r="C4" i="1"/>
  <c r="B4" i="1"/>
  <c r="A5" i="1"/>
  <c r="E5" i="1"/>
  <c r="F5" i="1"/>
  <c r="D5" i="1"/>
  <c r="C5" i="1"/>
  <c r="B5" i="1"/>
  <c r="A6" i="1"/>
  <c r="E6" i="1"/>
  <c r="F6" i="1"/>
  <c r="D6" i="1"/>
  <c r="C6" i="1"/>
  <c r="B6" i="1"/>
  <c r="A7" i="1"/>
  <c r="E7" i="1"/>
  <c r="F7" i="1"/>
  <c r="D7" i="1"/>
  <c r="C7" i="1"/>
  <c r="B7" i="1"/>
  <c r="A8" i="1"/>
  <c r="E8" i="1"/>
  <c r="F8" i="1"/>
  <c r="C8" i="1"/>
  <c r="B8" i="1"/>
  <c r="A9" i="1"/>
  <c r="E9" i="1"/>
  <c r="F9" i="1"/>
  <c r="D9" i="1"/>
  <c r="C9" i="1"/>
  <c r="B9" i="1"/>
  <c r="A10" i="1"/>
  <c r="E10" i="1"/>
  <c r="F10" i="1"/>
  <c r="D10" i="1"/>
  <c r="C10" i="1"/>
  <c r="B10" i="1"/>
  <c r="A11" i="1"/>
  <c r="E11" i="1"/>
  <c r="F11" i="1"/>
  <c r="D11" i="1"/>
  <c r="C11" i="1"/>
  <c r="B11" i="1"/>
  <c r="A12" i="1"/>
  <c r="E12" i="1"/>
  <c r="F12" i="1"/>
  <c r="D12" i="1"/>
  <c r="C12" i="1"/>
  <c r="B12" i="1"/>
  <c r="A13" i="1"/>
  <c r="E13" i="1"/>
  <c r="F13" i="1"/>
  <c r="D13" i="1"/>
  <c r="C13" i="1"/>
  <c r="B13" i="1"/>
  <c r="A14" i="1"/>
  <c r="E14" i="1"/>
  <c r="F14" i="1"/>
  <c r="D14" i="1"/>
  <c r="C14" i="1"/>
  <c r="B14" i="1"/>
  <c r="A15" i="1"/>
  <c r="E15" i="1"/>
  <c r="F15" i="1"/>
  <c r="D15" i="1"/>
  <c r="C15" i="1"/>
  <c r="B15" i="1"/>
  <c r="A16" i="1"/>
  <c r="E16" i="1"/>
  <c r="F16" i="1"/>
  <c r="C16" i="1"/>
  <c r="B16" i="1"/>
  <c r="A17" i="1"/>
  <c r="E17" i="1"/>
  <c r="F17" i="1"/>
  <c r="D17" i="1"/>
  <c r="C17" i="1"/>
  <c r="B17" i="1"/>
  <c r="A18" i="1"/>
  <c r="E18" i="1"/>
  <c r="F18" i="1"/>
  <c r="D18" i="1"/>
  <c r="C18" i="1"/>
  <c r="B18" i="1"/>
  <c r="A19" i="1"/>
  <c r="E19" i="1"/>
  <c r="F19" i="1"/>
  <c r="D19" i="1"/>
  <c r="C19" i="1"/>
  <c r="B19" i="1"/>
  <c r="A20" i="1"/>
  <c r="E20" i="1"/>
  <c r="F20" i="1"/>
  <c r="D20" i="1"/>
  <c r="C20" i="1"/>
  <c r="B20" i="1"/>
  <c r="A21" i="1"/>
  <c r="E21" i="1"/>
  <c r="F21" i="1"/>
  <c r="C21" i="1"/>
  <c r="B21" i="1"/>
  <c r="A22" i="1"/>
  <c r="E22" i="1"/>
  <c r="F22" i="1"/>
  <c r="D22" i="1"/>
  <c r="C22" i="1"/>
  <c r="B22" i="1"/>
  <c r="A23" i="1"/>
  <c r="E23" i="1"/>
  <c r="F23" i="1"/>
  <c r="D23" i="1"/>
  <c r="C23" i="1"/>
  <c r="B23" i="1"/>
  <c r="A24" i="1"/>
  <c r="E24" i="1"/>
  <c r="F24" i="1"/>
  <c r="C24" i="1"/>
  <c r="B24" i="1"/>
  <c r="A25" i="1"/>
  <c r="E25" i="1"/>
  <c r="F25" i="1"/>
  <c r="D25" i="1"/>
  <c r="C25" i="1"/>
  <c r="B25" i="1"/>
  <c r="A26" i="1"/>
  <c r="E26" i="1"/>
  <c r="F26" i="1"/>
  <c r="D26" i="1"/>
  <c r="C26" i="1"/>
  <c r="B26" i="1"/>
  <c r="A27" i="1"/>
  <c r="E27" i="1"/>
  <c r="F27" i="1"/>
  <c r="D27" i="1"/>
  <c r="C27" i="1"/>
  <c r="B27" i="1"/>
  <c r="A28" i="1"/>
  <c r="E28" i="1"/>
  <c r="F28" i="1"/>
  <c r="D28" i="1"/>
  <c r="C28" i="1"/>
  <c r="B28" i="1"/>
  <c r="A29" i="1"/>
  <c r="E29" i="1"/>
  <c r="F29" i="1"/>
  <c r="D29" i="1"/>
  <c r="C29" i="1"/>
  <c r="B29" i="1"/>
  <c r="A30" i="1"/>
  <c r="E30" i="1"/>
  <c r="F30" i="1"/>
  <c r="D30" i="1"/>
  <c r="C30" i="1"/>
  <c r="B30" i="1"/>
  <c r="A31" i="1"/>
  <c r="E31" i="1"/>
  <c r="F31" i="1"/>
  <c r="D31" i="1"/>
  <c r="C31" i="1"/>
  <c r="B31" i="1"/>
  <c r="A32" i="1"/>
  <c r="E32" i="1"/>
  <c r="F32" i="1"/>
  <c r="D32" i="1"/>
  <c r="C32" i="1"/>
  <c r="B32" i="1"/>
  <c r="A33" i="1"/>
  <c r="E33" i="1"/>
  <c r="F33" i="1"/>
  <c r="D33" i="1"/>
  <c r="C33" i="1"/>
  <c r="B33" i="1"/>
  <c r="A34" i="1"/>
  <c r="E34" i="1"/>
  <c r="F34" i="1"/>
  <c r="D34" i="1"/>
  <c r="C34" i="1"/>
  <c r="B34" i="1"/>
  <c r="A35" i="1"/>
  <c r="E35" i="1"/>
  <c r="F35" i="1"/>
  <c r="D35" i="1"/>
  <c r="C35" i="1"/>
  <c r="B35" i="1"/>
  <c r="A36" i="1"/>
  <c r="E36" i="1"/>
  <c r="F36" i="1"/>
  <c r="D36" i="1"/>
  <c r="C36" i="1"/>
  <c r="B36" i="1"/>
  <c r="A37" i="1"/>
  <c r="E37" i="1"/>
  <c r="F37" i="1"/>
  <c r="D37" i="1"/>
  <c r="C37" i="1"/>
  <c r="B37" i="1"/>
  <c r="A38" i="1"/>
  <c r="E38" i="1"/>
  <c r="F38" i="1"/>
  <c r="D38" i="1"/>
  <c r="C38" i="1"/>
  <c r="B38" i="1"/>
  <c r="A39" i="1"/>
  <c r="E39" i="1"/>
  <c r="F39" i="1"/>
  <c r="D39" i="1"/>
  <c r="C39" i="1"/>
  <c r="B39" i="1"/>
  <c r="A40" i="1"/>
  <c r="E40" i="1"/>
  <c r="F40" i="1"/>
  <c r="D40" i="1"/>
  <c r="C40" i="1"/>
  <c r="B40" i="1"/>
  <c r="A41" i="1"/>
  <c r="E41" i="1"/>
  <c r="F41" i="1"/>
  <c r="D41" i="1"/>
  <c r="C41" i="1"/>
  <c r="B41" i="1"/>
  <c r="A42" i="1"/>
  <c r="E42" i="1"/>
  <c r="F42" i="1"/>
  <c r="D42" i="1"/>
  <c r="C42" i="1"/>
  <c r="B42" i="1"/>
  <c r="A43" i="1"/>
  <c r="E43" i="1"/>
  <c r="F43" i="1"/>
  <c r="D43" i="1"/>
  <c r="C43" i="1"/>
  <c r="B43" i="1"/>
  <c r="A44" i="1"/>
  <c r="E44" i="1"/>
  <c r="F44" i="1"/>
  <c r="D44" i="1"/>
  <c r="C44" i="1"/>
  <c r="B44" i="1"/>
  <c r="A45" i="1"/>
  <c r="E45" i="1"/>
  <c r="F45" i="1"/>
  <c r="D45" i="1"/>
  <c r="C45" i="1"/>
  <c r="B45" i="1"/>
  <c r="A46" i="1"/>
  <c r="E46" i="1"/>
  <c r="F46" i="1"/>
  <c r="D46" i="1"/>
  <c r="C46" i="1"/>
  <c r="B46" i="1"/>
  <c r="A47" i="1"/>
  <c r="E47" i="1"/>
  <c r="F47" i="1"/>
  <c r="D47" i="1"/>
  <c r="C47" i="1"/>
  <c r="B47" i="1"/>
  <c r="A48" i="1"/>
  <c r="E48" i="1"/>
  <c r="F48" i="1"/>
  <c r="D48" i="1"/>
  <c r="C48" i="1"/>
  <c r="B48" i="1"/>
  <c r="A49" i="1"/>
  <c r="E49" i="1"/>
  <c r="F49" i="1"/>
  <c r="D49" i="1"/>
  <c r="C49" i="1"/>
  <c r="B49" i="1"/>
  <c r="A50" i="1"/>
  <c r="E50" i="1"/>
  <c r="F50" i="1"/>
  <c r="D50" i="1"/>
  <c r="C50" i="1"/>
  <c r="B50" i="1"/>
  <c r="A51" i="1"/>
  <c r="E51" i="1"/>
  <c r="F51" i="1"/>
  <c r="D51" i="1"/>
  <c r="C51" i="1"/>
  <c r="B51" i="1"/>
  <c r="A52" i="1"/>
  <c r="E52" i="1"/>
  <c r="F52" i="1"/>
  <c r="D52" i="1"/>
  <c r="C52" i="1"/>
  <c r="B52" i="1"/>
  <c r="A53" i="1"/>
  <c r="E53" i="1"/>
  <c r="F53" i="1"/>
  <c r="D53" i="1"/>
  <c r="C53" i="1"/>
  <c r="B53" i="1"/>
  <c r="A54" i="1"/>
  <c r="E54" i="1"/>
  <c r="F54" i="1"/>
  <c r="D54" i="1"/>
  <c r="C54" i="1"/>
  <c r="B54" i="1"/>
  <c r="A55" i="1"/>
  <c r="E55" i="1"/>
  <c r="F55" i="1"/>
  <c r="D55" i="1"/>
  <c r="C55" i="1"/>
  <c r="B55" i="1"/>
  <c r="A56" i="1"/>
  <c r="E56" i="1"/>
  <c r="F56" i="1"/>
  <c r="D56" i="1"/>
  <c r="C56" i="1"/>
  <c r="B56" i="1"/>
  <c r="A57" i="1"/>
  <c r="E57" i="1"/>
  <c r="F57" i="1"/>
  <c r="D57" i="1"/>
  <c r="C57" i="1"/>
  <c r="B57" i="1"/>
  <c r="A58" i="1"/>
  <c r="E58" i="1"/>
  <c r="F58" i="1"/>
  <c r="D58" i="1"/>
  <c r="C58" i="1"/>
  <c r="B58" i="1"/>
  <c r="A59" i="1"/>
  <c r="E59" i="1"/>
  <c r="F59" i="1"/>
  <c r="D59" i="1"/>
  <c r="C59" i="1"/>
  <c r="B59" i="1"/>
  <c r="A60" i="1"/>
  <c r="E60" i="1"/>
  <c r="F60" i="1"/>
  <c r="D60" i="1"/>
  <c r="C60" i="1"/>
  <c r="B60" i="1"/>
  <c r="A61" i="1"/>
  <c r="E61" i="1"/>
  <c r="F61" i="1"/>
  <c r="D61" i="1"/>
  <c r="C61" i="1"/>
  <c r="B61" i="1"/>
  <c r="A62" i="1"/>
  <c r="E62" i="1"/>
  <c r="F62" i="1"/>
  <c r="D62" i="1"/>
  <c r="C62" i="1"/>
  <c r="B62" i="1"/>
  <c r="A63" i="1"/>
  <c r="E63" i="1"/>
  <c r="F63" i="1"/>
  <c r="D63" i="1"/>
  <c r="C63" i="1"/>
  <c r="B63" i="1"/>
  <c r="A64" i="1"/>
  <c r="E64" i="1"/>
  <c r="F64" i="1"/>
  <c r="D64" i="1"/>
  <c r="C64" i="1"/>
  <c r="B64" i="1"/>
  <c r="A65" i="1"/>
  <c r="E65" i="1"/>
  <c r="F65" i="1"/>
  <c r="D65" i="1"/>
  <c r="C65" i="1"/>
  <c r="B65" i="1"/>
  <c r="A66" i="1"/>
  <c r="E66" i="1"/>
  <c r="F66" i="1"/>
  <c r="D66" i="1"/>
  <c r="C66" i="1"/>
  <c r="B66" i="1"/>
  <c r="A67" i="1"/>
  <c r="E67" i="1"/>
  <c r="F67" i="1"/>
  <c r="D67" i="1"/>
  <c r="C67" i="1"/>
  <c r="B67" i="1"/>
  <c r="A68" i="1"/>
  <c r="E68" i="1"/>
  <c r="F68" i="1"/>
  <c r="D68" i="1"/>
  <c r="C68" i="1"/>
  <c r="B68" i="1"/>
  <c r="A69" i="1"/>
  <c r="E69" i="1"/>
  <c r="F69" i="1"/>
  <c r="D69" i="1"/>
  <c r="C69" i="1"/>
  <c r="B69" i="1"/>
  <c r="A70" i="1"/>
  <c r="E70" i="1"/>
  <c r="F70" i="1"/>
  <c r="D70" i="1"/>
  <c r="C70" i="1"/>
  <c r="B70" i="1"/>
  <c r="A71" i="1"/>
  <c r="E71" i="1"/>
  <c r="F71" i="1"/>
  <c r="D71" i="1"/>
  <c r="C71" i="1"/>
  <c r="B71" i="1"/>
  <c r="A72" i="1"/>
  <c r="E72" i="1"/>
  <c r="F72" i="1"/>
  <c r="D72" i="1"/>
  <c r="C72" i="1"/>
  <c r="B72" i="1"/>
  <c r="A73" i="1"/>
  <c r="E73" i="1"/>
  <c r="F73" i="1"/>
  <c r="D73" i="1"/>
  <c r="C73" i="1"/>
  <c r="B73" i="1"/>
  <c r="A74" i="1"/>
  <c r="E74" i="1"/>
  <c r="F74" i="1"/>
  <c r="D74" i="1"/>
  <c r="C74" i="1"/>
  <c r="B74" i="1"/>
  <c r="A75" i="1"/>
  <c r="E75" i="1"/>
  <c r="F75" i="1"/>
  <c r="D75" i="1"/>
  <c r="C75" i="1"/>
  <c r="B75" i="1"/>
  <c r="A76" i="1"/>
  <c r="E76" i="1"/>
  <c r="F76" i="1"/>
  <c r="D76" i="1"/>
  <c r="C76" i="1"/>
  <c r="B76" i="1"/>
  <c r="A77" i="1"/>
  <c r="E77" i="1"/>
  <c r="F77" i="1"/>
  <c r="D77" i="1"/>
  <c r="C77" i="1"/>
  <c r="B77" i="1"/>
  <c r="A78" i="1"/>
  <c r="E78" i="1"/>
  <c r="F78" i="1"/>
  <c r="D78" i="1"/>
  <c r="C78" i="1"/>
  <c r="B78" i="1"/>
  <c r="A79" i="1"/>
  <c r="E79" i="1"/>
  <c r="F79" i="1"/>
  <c r="D79" i="1"/>
  <c r="C79" i="1"/>
  <c r="B79" i="1"/>
  <c r="A80" i="1"/>
  <c r="E80" i="1"/>
  <c r="F80" i="1"/>
  <c r="D80" i="1"/>
  <c r="C80" i="1"/>
  <c r="B80" i="1"/>
  <c r="A81" i="1"/>
  <c r="E81" i="1"/>
  <c r="F81" i="1"/>
  <c r="D81" i="1"/>
  <c r="C81" i="1"/>
  <c r="B81" i="1"/>
  <c r="A82" i="1"/>
  <c r="E82" i="1"/>
  <c r="F82" i="1"/>
  <c r="D82" i="1"/>
  <c r="C82" i="1"/>
  <c r="B82" i="1"/>
  <c r="A83" i="1"/>
  <c r="E83" i="1"/>
  <c r="F83" i="1"/>
  <c r="D83" i="1"/>
  <c r="C83" i="1"/>
  <c r="B83" i="1"/>
  <c r="A84" i="1"/>
  <c r="E84" i="1"/>
  <c r="F84" i="1"/>
  <c r="D84" i="1"/>
  <c r="C84" i="1"/>
  <c r="B84" i="1"/>
  <c r="A85" i="1"/>
  <c r="E85" i="1"/>
  <c r="F85" i="1"/>
  <c r="D85" i="1"/>
  <c r="C85" i="1"/>
  <c r="B85" i="1"/>
  <c r="A86" i="1"/>
  <c r="E86" i="1"/>
  <c r="F86" i="1"/>
  <c r="D86" i="1"/>
  <c r="C86" i="1"/>
  <c r="B86" i="1"/>
  <c r="A87" i="1"/>
  <c r="E87" i="1"/>
  <c r="F87" i="1"/>
  <c r="D87" i="1"/>
  <c r="C87" i="1"/>
  <c r="B87" i="1"/>
  <c r="A88" i="1"/>
  <c r="E88" i="1"/>
  <c r="F88" i="1"/>
  <c r="D88" i="1"/>
  <c r="C88" i="1"/>
  <c r="B88" i="1"/>
  <c r="A89" i="1"/>
  <c r="E89" i="1"/>
  <c r="F89" i="1"/>
  <c r="D89" i="1"/>
  <c r="C89" i="1"/>
  <c r="B89" i="1"/>
  <c r="A90" i="1"/>
  <c r="E90" i="1"/>
  <c r="F90" i="1"/>
  <c r="D90" i="1"/>
  <c r="C90" i="1"/>
  <c r="B90" i="1"/>
  <c r="A91" i="1"/>
  <c r="E91" i="1"/>
  <c r="F91" i="1"/>
  <c r="D91" i="1"/>
  <c r="C91" i="1"/>
  <c r="B91" i="1"/>
  <c r="A92" i="1"/>
  <c r="E92" i="1"/>
  <c r="F92" i="1"/>
  <c r="D92" i="1"/>
  <c r="C92" i="1"/>
  <c r="B92" i="1"/>
  <c r="A93" i="1"/>
  <c r="E93" i="1"/>
  <c r="F93" i="1"/>
  <c r="D93" i="1"/>
  <c r="C93" i="1"/>
  <c r="B93" i="1"/>
  <c r="A94" i="1"/>
  <c r="E94" i="1"/>
  <c r="F94" i="1"/>
  <c r="D94" i="1"/>
  <c r="C94" i="1"/>
  <c r="B94" i="1"/>
  <c r="A95" i="1"/>
  <c r="E95" i="1"/>
  <c r="F95" i="1"/>
  <c r="D95" i="1"/>
  <c r="C95" i="1"/>
  <c r="B95" i="1"/>
  <c r="A96" i="1"/>
  <c r="E96" i="1"/>
  <c r="F96" i="1"/>
  <c r="D96" i="1"/>
  <c r="C96" i="1"/>
  <c r="B96" i="1"/>
  <c r="A97" i="1"/>
  <c r="E97" i="1"/>
  <c r="F97" i="1"/>
  <c r="D97" i="1"/>
  <c r="C97" i="1"/>
  <c r="B97" i="1"/>
  <c r="A98" i="1"/>
  <c r="E98" i="1"/>
  <c r="F98" i="1"/>
  <c r="D98" i="1"/>
  <c r="C98" i="1"/>
  <c r="B98" i="1"/>
  <c r="A99" i="1"/>
  <c r="E99" i="1"/>
  <c r="F99" i="1"/>
  <c r="D99" i="1"/>
  <c r="C99" i="1"/>
  <c r="B99" i="1"/>
  <c r="A100" i="1"/>
  <c r="E100" i="1"/>
  <c r="F100" i="1"/>
  <c r="D100" i="1"/>
  <c r="C100" i="1"/>
  <c r="B100" i="1"/>
  <c r="A101" i="1"/>
  <c r="E101" i="1"/>
  <c r="F101" i="1"/>
  <c r="D101" i="1"/>
  <c r="C101" i="1"/>
  <c r="B101" i="1"/>
  <c r="A102" i="1"/>
  <c r="E102" i="1"/>
  <c r="F102" i="1"/>
  <c r="D102" i="1"/>
  <c r="C102" i="1"/>
  <c r="B102" i="1"/>
  <c r="A103" i="1"/>
  <c r="E103" i="1"/>
  <c r="F103" i="1"/>
  <c r="D103" i="1"/>
  <c r="C103" i="1"/>
  <c r="B103" i="1"/>
  <c r="A104" i="1"/>
  <c r="E104" i="1"/>
  <c r="F104" i="1"/>
  <c r="D104" i="1"/>
  <c r="C104" i="1"/>
  <c r="B104" i="1"/>
  <c r="A105" i="1"/>
  <c r="E105" i="1"/>
  <c r="F105" i="1"/>
  <c r="D105" i="1"/>
  <c r="C105" i="1"/>
  <c r="B105" i="1"/>
  <c r="A106" i="1"/>
  <c r="E106" i="1"/>
  <c r="F106" i="1"/>
  <c r="D106" i="1"/>
  <c r="C106" i="1"/>
  <c r="B106" i="1"/>
  <c r="A107" i="1"/>
  <c r="E107" i="1"/>
  <c r="F107" i="1"/>
  <c r="D107" i="1"/>
  <c r="C107" i="1"/>
  <c r="B107" i="1"/>
  <c r="A108" i="1"/>
  <c r="E108" i="1"/>
  <c r="F108" i="1"/>
  <c r="D108" i="1"/>
  <c r="C108" i="1"/>
  <c r="B108" i="1"/>
  <c r="A109" i="1"/>
  <c r="E109" i="1"/>
  <c r="F109" i="1"/>
  <c r="D109" i="1"/>
  <c r="C109" i="1"/>
  <c r="B109" i="1"/>
  <c r="A110" i="1"/>
  <c r="E110" i="1"/>
  <c r="F110" i="1"/>
  <c r="D110" i="1"/>
  <c r="C110" i="1"/>
  <c r="B110" i="1"/>
  <c r="A111" i="1"/>
  <c r="E111" i="1"/>
  <c r="F111" i="1"/>
  <c r="D111" i="1"/>
  <c r="C111" i="1"/>
  <c r="B111" i="1"/>
  <c r="A112" i="1"/>
  <c r="E112" i="1"/>
  <c r="F112" i="1"/>
  <c r="D112" i="1"/>
  <c r="C112" i="1"/>
  <c r="B112" i="1"/>
  <c r="A113" i="1"/>
  <c r="E113" i="1"/>
  <c r="F113" i="1"/>
  <c r="D113" i="1"/>
  <c r="C113" i="1"/>
  <c r="B113" i="1"/>
  <c r="A114" i="1"/>
  <c r="E114" i="1"/>
  <c r="F114" i="1"/>
  <c r="D114" i="1"/>
  <c r="C114" i="1"/>
  <c r="B114" i="1"/>
  <c r="A115" i="1"/>
  <c r="E115" i="1"/>
  <c r="F115" i="1"/>
  <c r="D115" i="1"/>
  <c r="C115" i="1"/>
  <c r="B115" i="1"/>
  <c r="A116" i="1"/>
  <c r="E116" i="1"/>
  <c r="F116" i="1"/>
  <c r="D116" i="1"/>
  <c r="C116" i="1"/>
  <c r="B116" i="1"/>
  <c r="A117" i="1"/>
  <c r="E117" i="1"/>
  <c r="F117" i="1"/>
  <c r="D117" i="1"/>
  <c r="C117" i="1"/>
  <c r="B117" i="1"/>
  <c r="A118" i="1"/>
  <c r="E118" i="1"/>
  <c r="F118" i="1"/>
  <c r="D118" i="1"/>
  <c r="C118" i="1"/>
  <c r="B118" i="1"/>
  <c r="A119" i="1"/>
  <c r="E119" i="1"/>
  <c r="F119" i="1"/>
  <c r="D119" i="1"/>
  <c r="C119" i="1"/>
  <c r="B119" i="1"/>
  <c r="A120" i="1"/>
  <c r="E120" i="1"/>
  <c r="F120" i="1"/>
  <c r="D120" i="1"/>
  <c r="C120" i="1"/>
  <c r="B120" i="1"/>
  <c r="A121" i="1"/>
  <c r="E121" i="1"/>
  <c r="F121" i="1"/>
  <c r="D121" i="1"/>
  <c r="C121" i="1"/>
  <c r="B121" i="1"/>
  <c r="A122" i="1"/>
  <c r="E122" i="1"/>
  <c r="F122" i="1"/>
  <c r="D122" i="1"/>
  <c r="C122" i="1"/>
  <c r="B122" i="1"/>
  <c r="A123" i="1"/>
  <c r="E123" i="1"/>
  <c r="F123" i="1"/>
  <c r="D123" i="1"/>
  <c r="C123" i="1"/>
  <c r="B123" i="1"/>
  <c r="A124" i="1"/>
  <c r="E124" i="1"/>
  <c r="F124" i="1"/>
  <c r="D124" i="1"/>
  <c r="C124" i="1"/>
  <c r="B124" i="1"/>
  <c r="A125" i="1"/>
  <c r="E125" i="1"/>
  <c r="F125" i="1"/>
  <c r="D125" i="1"/>
  <c r="C125" i="1"/>
  <c r="B125" i="1"/>
  <c r="A126" i="1"/>
  <c r="E126" i="1"/>
  <c r="F126" i="1"/>
  <c r="D126" i="1"/>
  <c r="C126" i="1"/>
  <c r="B126" i="1"/>
  <c r="A127" i="1"/>
  <c r="E127" i="1"/>
  <c r="F127" i="1"/>
  <c r="D127" i="1"/>
  <c r="C127" i="1"/>
  <c r="B127" i="1"/>
  <c r="A128" i="1"/>
  <c r="E128" i="1"/>
  <c r="F128" i="1"/>
  <c r="D128" i="1"/>
  <c r="C128" i="1"/>
  <c r="B128" i="1"/>
  <c r="A129" i="1"/>
  <c r="E129" i="1"/>
  <c r="F129" i="1"/>
  <c r="D129" i="1"/>
  <c r="C129" i="1"/>
  <c r="B129" i="1"/>
  <c r="A130" i="1"/>
  <c r="E130" i="1"/>
  <c r="F130" i="1"/>
  <c r="D130" i="1"/>
  <c r="C130" i="1"/>
  <c r="B130" i="1"/>
  <c r="A131" i="1"/>
  <c r="E131" i="1"/>
  <c r="F131" i="1"/>
  <c r="D131" i="1"/>
  <c r="C131" i="1"/>
  <c r="B131" i="1"/>
  <c r="A132" i="1"/>
  <c r="E132" i="1"/>
  <c r="F132" i="1"/>
  <c r="D132" i="1"/>
  <c r="C132" i="1"/>
  <c r="B132" i="1"/>
  <c r="A133" i="1"/>
  <c r="E133" i="1"/>
  <c r="F133" i="1"/>
  <c r="D133" i="1"/>
  <c r="C133" i="1"/>
  <c r="B133" i="1"/>
  <c r="A134" i="1"/>
  <c r="E134" i="1"/>
  <c r="F134" i="1"/>
  <c r="D134" i="1"/>
  <c r="C134" i="1"/>
  <c r="B134" i="1"/>
  <c r="A135" i="1"/>
  <c r="E135" i="1"/>
  <c r="F135" i="1"/>
  <c r="D135" i="1"/>
  <c r="C135" i="1"/>
  <c r="B135" i="1"/>
  <c r="A136" i="1"/>
  <c r="E136" i="1"/>
  <c r="F136" i="1"/>
  <c r="D136" i="1"/>
  <c r="C136" i="1"/>
  <c r="B136" i="1"/>
  <c r="A137" i="1"/>
  <c r="E137" i="1"/>
  <c r="F137" i="1"/>
  <c r="D137" i="1"/>
  <c r="C137" i="1"/>
  <c r="B137" i="1"/>
  <c r="A138" i="1"/>
  <c r="E138" i="1"/>
  <c r="F138" i="1"/>
  <c r="D138" i="1"/>
  <c r="C138" i="1"/>
  <c r="B138" i="1"/>
  <c r="A139" i="1"/>
  <c r="E139" i="1"/>
  <c r="F139" i="1"/>
  <c r="D139" i="1"/>
  <c r="C139" i="1"/>
  <c r="B139" i="1"/>
  <c r="A140" i="1"/>
  <c r="E140" i="1"/>
  <c r="F140" i="1"/>
  <c r="D140" i="1"/>
  <c r="C140" i="1"/>
  <c r="B140" i="1"/>
  <c r="A141" i="1"/>
  <c r="E141" i="1"/>
  <c r="F141" i="1"/>
  <c r="D141" i="1"/>
  <c r="C141" i="1"/>
  <c r="B141" i="1"/>
  <c r="A142" i="1"/>
  <c r="E142" i="1"/>
  <c r="F142" i="1"/>
  <c r="D142" i="1"/>
  <c r="C142" i="1"/>
  <c r="B142" i="1"/>
  <c r="A143" i="1"/>
  <c r="E143" i="1"/>
  <c r="F143" i="1"/>
  <c r="D143" i="1"/>
  <c r="C143" i="1"/>
  <c r="B143" i="1"/>
  <c r="A144" i="1"/>
  <c r="E144" i="1"/>
  <c r="F144" i="1"/>
  <c r="D144" i="1"/>
  <c r="C144" i="1"/>
  <c r="B144" i="1"/>
  <c r="A145" i="1"/>
  <c r="E145" i="1"/>
  <c r="F145" i="1"/>
  <c r="D145" i="1"/>
  <c r="C145" i="1"/>
  <c r="B145" i="1"/>
  <c r="A146" i="1"/>
  <c r="E146" i="1"/>
  <c r="F146" i="1"/>
  <c r="D146" i="1"/>
  <c r="C146" i="1"/>
  <c r="B146" i="1"/>
  <c r="A147" i="1"/>
  <c r="E147" i="1"/>
  <c r="F147" i="1"/>
  <c r="D147" i="1"/>
  <c r="C147" i="1"/>
  <c r="B147" i="1"/>
  <c r="A148" i="1"/>
  <c r="E148" i="1"/>
  <c r="F148" i="1"/>
  <c r="D148" i="1"/>
  <c r="C148" i="1"/>
  <c r="B148" i="1"/>
  <c r="A149" i="1"/>
  <c r="E149" i="1"/>
  <c r="F149" i="1"/>
  <c r="D149" i="1"/>
  <c r="C149" i="1"/>
  <c r="B149" i="1"/>
  <c r="A150" i="1"/>
  <c r="E150" i="1"/>
  <c r="F150" i="1"/>
  <c r="D150" i="1"/>
  <c r="C150" i="1"/>
  <c r="B150" i="1"/>
  <c r="A151" i="1"/>
  <c r="E151" i="1"/>
  <c r="F151" i="1"/>
  <c r="D151" i="1"/>
  <c r="C151" i="1"/>
  <c r="B151" i="1"/>
  <c r="A152" i="1"/>
  <c r="E152" i="1"/>
  <c r="F152" i="1"/>
  <c r="D152" i="1"/>
  <c r="C152" i="1"/>
  <c r="B152" i="1"/>
  <c r="A153" i="1"/>
  <c r="E153" i="1"/>
  <c r="F153" i="1"/>
  <c r="D153" i="1"/>
  <c r="C153" i="1"/>
  <c r="B153" i="1"/>
  <c r="A154" i="1"/>
  <c r="E154" i="1"/>
  <c r="F154" i="1"/>
  <c r="D154" i="1"/>
  <c r="C154" i="1"/>
  <c r="B154" i="1"/>
  <c r="A155" i="1"/>
  <c r="E155" i="1"/>
  <c r="F155" i="1"/>
  <c r="D155" i="1"/>
  <c r="C155" i="1"/>
  <c r="B155" i="1"/>
  <c r="A156" i="1"/>
  <c r="E156" i="1"/>
  <c r="F156" i="1"/>
  <c r="D156" i="1"/>
  <c r="C156" i="1"/>
  <c r="B156" i="1"/>
  <c r="A157" i="1"/>
  <c r="E157" i="1"/>
  <c r="F157" i="1"/>
  <c r="D157" i="1"/>
  <c r="C157" i="1"/>
  <c r="B157" i="1"/>
  <c r="A158" i="1"/>
  <c r="E158" i="1"/>
  <c r="F158" i="1"/>
  <c r="D158" i="1"/>
  <c r="C158" i="1"/>
  <c r="B158" i="1"/>
  <c r="A159" i="1"/>
  <c r="E159" i="1"/>
  <c r="F159" i="1"/>
  <c r="D159" i="1"/>
  <c r="C159" i="1"/>
  <c r="B159" i="1"/>
  <c r="A160" i="1"/>
  <c r="E160" i="1"/>
  <c r="F160" i="1"/>
  <c r="D160" i="1"/>
  <c r="C160" i="1"/>
  <c r="B160" i="1"/>
  <c r="A161" i="1"/>
  <c r="E161" i="1"/>
  <c r="F161" i="1"/>
  <c r="D161" i="1"/>
  <c r="C161" i="1"/>
  <c r="B161" i="1"/>
  <c r="A162" i="1"/>
  <c r="E162" i="1"/>
  <c r="F162" i="1"/>
  <c r="D162" i="1"/>
  <c r="C162" i="1"/>
  <c r="B162" i="1"/>
  <c r="A163" i="1"/>
  <c r="E163" i="1"/>
  <c r="F163" i="1"/>
  <c r="D163" i="1"/>
  <c r="C163" i="1"/>
  <c r="B163" i="1"/>
  <c r="A164" i="1"/>
  <c r="E164" i="1"/>
  <c r="F164" i="1"/>
  <c r="D164" i="1"/>
  <c r="C164" i="1"/>
  <c r="B164" i="1"/>
  <c r="A165" i="1"/>
  <c r="E165" i="1"/>
  <c r="F165" i="1"/>
  <c r="D165" i="1"/>
  <c r="C165" i="1"/>
  <c r="B165" i="1"/>
  <c r="A166" i="1"/>
  <c r="E166" i="1"/>
  <c r="F166" i="1"/>
  <c r="D166" i="1"/>
  <c r="C166" i="1"/>
  <c r="B166" i="1"/>
  <c r="A167" i="1"/>
  <c r="E167" i="1"/>
  <c r="F167" i="1"/>
  <c r="D167" i="1"/>
  <c r="C167" i="1"/>
  <c r="B167" i="1"/>
  <c r="A168" i="1"/>
  <c r="E168" i="1"/>
  <c r="F168" i="1"/>
  <c r="D168" i="1"/>
  <c r="C168" i="1"/>
  <c r="B168" i="1"/>
  <c r="A169" i="1"/>
  <c r="E169" i="1"/>
  <c r="F169" i="1"/>
  <c r="D169" i="1"/>
  <c r="C169" i="1"/>
  <c r="B169" i="1"/>
  <c r="A170" i="1"/>
  <c r="E170" i="1"/>
  <c r="F170" i="1"/>
  <c r="D170" i="1"/>
  <c r="C170" i="1"/>
  <c r="B170" i="1"/>
  <c r="A171" i="1"/>
  <c r="E171" i="1"/>
  <c r="F171" i="1"/>
  <c r="D171" i="1"/>
  <c r="C171" i="1"/>
  <c r="B171" i="1"/>
  <c r="A172" i="1"/>
  <c r="E172" i="1"/>
  <c r="F172" i="1"/>
  <c r="D172" i="1"/>
  <c r="C172" i="1"/>
  <c r="B172" i="1"/>
  <c r="A173" i="1"/>
  <c r="E173" i="1"/>
  <c r="F173" i="1"/>
  <c r="D173" i="1"/>
  <c r="C173" i="1"/>
  <c r="B173" i="1"/>
  <c r="A174" i="1"/>
  <c r="E174" i="1"/>
  <c r="F174" i="1"/>
  <c r="D174" i="1"/>
  <c r="C174" i="1"/>
  <c r="B174" i="1"/>
  <c r="A175" i="1"/>
  <c r="E175" i="1"/>
  <c r="F175" i="1"/>
  <c r="D175" i="1"/>
  <c r="C175" i="1"/>
  <c r="B175" i="1"/>
  <c r="A176" i="1"/>
  <c r="E176" i="1"/>
  <c r="F176" i="1"/>
  <c r="D176" i="1"/>
  <c r="C176" i="1"/>
  <c r="B176" i="1"/>
  <c r="A177" i="1"/>
  <c r="E177" i="1"/>
  <c r="F177" i="1"/>
  <c r="D177" i="1"/>
  <c r="C177" i="1"/>
  <c r="B177" i="1"/>
  <c r="A178" i="1"/>
  <c r="E178" i="1"/>
  <c r="F178" i="1"/>
  <c r="D178" i="1"/>
  <c r="C178" i="1"/>
  <c r="B178" i="1"/>
  <c r="A179" i="1"/>
  <c r="E179" i="1"/>
  <c r="F179" i="1"/>
  <c r="D179" i="1"/>
  <c r="C179" i="1"/>
  <c r="B179" i="1"/>
  <c r="A180" i="1"/>
  <c r="E180" i="1"/>
  <c r="F180" i="1"/>
  <c r="D180" i="1"/>
  <c r="C180" i="1"/>
  <c r="B180" i="1"/>
  <c r="A181" i="1"/>
  <c r="E181" i="1"/>
  <c r="F181" i="1"/>
  <c r="D181" i="1"/>
  <c r="C181" i="1"/>
  <c r="B181" i="1"/>
  <c r="A182" i="1"/>
  <c r="E182" i="1"/>
  <c r="F182" i="1"/>
  <c r="D182" i="1"/>
  <c r="C182" i="1"/>
  <c r="B182" i="1"/>
  <c r="A183" i="1"/>
  <c r="E183" i="1"/>
  <c r="F183" i="1"/>
  <c r="D183" i="1"/>
  <c r="C183" i="1"/>
  <c r="B183" i="1"/>
  <c r="A184" i="1"/>
  <c r="E184" i="1"/>
  <c r="F184" i="1"/>
  <c r="D184" i="1"/>
  <c r="C184" i="1"/>
  <c r="B184" i="1"/>
  <c r="A185" i="1"/>
  <c r="E185" i="1"/>
  <c r="F185" i="1"/>
  <c r="D185" i="1"/>
  <c r="C185" i="1"/>
  <c r="B185" i="1"/>
  <c r="A186" i="1"/>
  <c r="E186" i="1"/>
  <c r="F186" i="1"/>
  <c r="D186" i="1"/>
  <c r="C186" i="1"/>
  <c r="B186" i="1"/>
  <c r="A187" i="1"/>
  <c r="E187" i="1"/>
  <c r="F187" i="1"/>
  <c r="D187" i="1"/>
  <c r="C187" i="1"/>
  <c r="B187" i="1"/>
  <c r="A188" i="1"/>
  <c r="E188" i="1"/>
  <c r="F188" i="1"/>
  <c r="D188" i="1"/>
  <c r="C188" i="1"/>
  <c r="B188" i="1"/>
  <c r="A189" i="1"/>
  <c r="E189" i="1"/>
  <c r="F189" i="1"/>
  <c r="D189" i="1"/>
  <c r="C189" i="1"/>
  <c r="B189" i="1"/>
  <c r="A190" i="1"/>
  <c r="E190" i="1"/>
  <c r="F190" i="1"/>
  <c r="D190" i="1"/>
  <c r="C190" i="1"/>
  <c r="B190" i="1"/>
  <c r="A191" i="1"/>
  <c r="E191" i="1"/>
  <c r="F191" i="1"/>
  <c r="D191" i="1"/>
  <c r="C191" i="1"/>
  <c r="B191" i="1"/>
  <c r="A192" i="1"/>
  <c r="E192" i="1"/>
  <c r="F192" i="1"/>
  <c r="D192" i="1"/>
  <c r="C192" i="1"/>
  <c r="B192" i="1"/>
  <c r="A193" i="1"/>
  <c r="E193" i="1"/>
  <c r="F193" i="1"/>
  <c r="D193" i="1"/>
  <c r="C193" i="1"/>
  <c r="B193" i="1"/>
  <c r="A194" i="1"/>
  <c r="E194" i="1"/>
  <c r="F194" i="1"/>
  <c r="D194" i="1"/>
  <c r="C194" i="1"/>
  <c r="B194" i="1"/>
  <c r="A195" i="1"/>
  <c r="E195" i="1"/>
  <c r="F195" i="1"/>
  <c r="D195" i="1"/>
  <c r="C195" i="1"/>
  <c r="B195" i="1"/>
  <c r="A196" i="1"/>
  <c r="E196" i="1"/>
  <c r="F196" i="1"/>
  <c r="D196" i="1"/>
  <c r="C196" i="1"/>
  <c r="B196" i="1"/>
  <c r="A197" i="1"/>
  <c r="E197" i="1"/>
  <c r="F197" i="1"/>
  <c r="D197" i="1"/>
  <c r="C197" i="1"/>
  <c r="B197" i="1"/>
  <c r="A198" i="1"/>
  <c r="E198" i="1"/>
  <c r="F198" i="1"/>
  <c r="D198" i="1"/>
  <c r="C198" i="1"/>
  <c r="B198" i="1"/>
  <c r="A199" i="1"/>
  <c r="E199" i="1"/>
  <c r="F199" i="1"/>
  <c r="D199" i="1"/>
  <c r="C199" i="1"/>
  <c r="B199" i="1"/>
  <c r="A200" i="1"/>
  <c r="E200" i="1"/>
  <c r="F200" i="1"/>
  <c r="D200" i="1"/>
  <c r="C200" i="1"/>
  <c r="B200" i="1"/>
  <c r="A201" i="1"/>
  <c r="E201" i="1"/>
  <c r="F201" i="1"/>
  <c r="D201" i="1"/>
  <c r="C201" i="1"/>
  <c r="B201" i="1"/>
  <c r="A202" i="1"/>
  <c r="E202" i="1"/>
  <c r="F202" i="1"/>
  <c r="D202" i="1"/>
  <c r="C202" i="1"/>
  <c r="B202" i="1"/>
  <c r="A203" i="1"/>
  <c r="E203" i="1"/>
  <c r="F203" i="1"/>
  <c r="D203" i="1"/>
  <c r="C203" i="1"/>
  <c r="B203" i="1"/>
  <c r="A204" i="1"/>
  <c r="E204" i="1"/>
  <c r="F204" i="1"/>
  <c r="D204" i="1"/>
  <c r="C204" i="1"/>
  <c r="B204" i="1"/>
  <c r="A205" i="1"/>
  <c r="E205" i="1"/>
  <c r="F205" i="1"/>
  <c r="D205" i="1"/>
  <c r="C205" i="1"/>
  <c r="B205" i="1"/>
  <c r="A206" i="1"/>
  <c r="E206" i="1"/>
  <c r="F206" i="1"/>
  <c r="D206" i="1"/>
  <c r="C206" i="1"/>
  <c r="B206" i="1"/>
  <c r="A207" i="1"/>
  <c r="E207" i="1"/>
  <c r="F207" i="1"/>
  <c r="D207" i="1"/>
  <c r="C207" i="1"/>
  <c r="B207" i="1"/>
  <c r="A208" i="1"/>
  <c r="E208" i="1"/>
  <c r="F208" i="1"/>
  <c r="D208" i="1"/>
  <c r="C208" i="1"/>
  <c r="B208" i="1"/>
  <c r="A209" i="1"/>
  <c r="E209" i="1"/>
  <c r="F209" i="1"/>
  <c r="D209" i="1"/>
  <c r="C209" i="1"/>
  <c r="B209" i="1"/>
  <c r="A210" i="1"/>
  <c r="E210" i="1"/>
  <c r="F210" i="1"/>
  <c r="D210" i="1"/>
  <c r="C210" i="1"/>
  <c r="B210" i="1"/>
  <c r="A211" i="1"/>
  <c r="E211" i="1"/>
  <c r="F211" i="1"/>
  <c r="D211" i="1"/>
  <c r="C211" i="1"/>
  <c r="B211" i="1"/>
  <c r="A212" i="1"/>
  <c r="E212" i="1"/>
  <c r="F212" i="1"/>
  <c r="D212" i="1"/>
  <c r="C212" i="1"/>
  <c r="B212" i="1"/>
  <c r="A213" i="1"/>
  <c r="E213" i="1"/>
  <c r="F213" i="1"/>
  <c r="D213" i="1"/>
  <c r="C213" i="1"/>
  <c r="B213" i="1"/>
  <c r="A214" i="1"/>
  <c r="E214" i="1"/>
  <c r="F214" i="1"/>
  <c r="D214" i="1"/>
  <c r="C214" i="1"/>
  <c r="B214" i="1"/>
  <c r="A215" i="1"/>
  <c r="E215" i="1"/>
  <c r="F215" i="1"/>
  <c r="D215" i="1"/>
  <c r="C215" i="1"/>
  <c r="B215" i="1"/>
  <c r="A216" i="1"/>
  <c r="E216" i="1"/>
  <c r="F216" i="1"/>
  <c r="D216" i="1"/>
  <c r="C216" i="1"/>
  <c r="B216" i="1"/>
  <c r="A217" i="1"/>
  <c r="E217" i="1"/>
  <c r="F217" i="1"/>
  <c r="D217" i="1"/>
  <c r="C217" i="1"/>
  <c r="B217" i="1"/>
  <c r="A218" i="1"/>
  <c r="E218" i="1"/>
  <c r="F218" i="1"/>
  <c r="D218" i="1"/>
  <c r="C218" i="1"/>
  <c r="B218" i="1"/>
  <c r="A219" i="1"/>
  <c r="E219" i="1"/>
  <c r="F219" i="1"/>
  <c r="D219" i="1"/>
  <c r="C219" i="1"/>
  <c r="B219" i="1"/>
  <c r="A220" i="1"/>
  <c r="E220" i="1"/>
  <c r="F220" i="1"/>
  <c r="D220" i="1"/>
  <c r="C220" i="1"/>
  <c r="B220" i="1"/>
  <c r="A221" i="1"/>
  <c r="E221" i="1"/>
  <c r="F221" i="1"/>
  <c r="D221" i="1"/>
  <c r="C221" i="1"/>
  <c r="B221" i="1"/>
  <c r="A222" i="1"/>
  <c r="E222" i="1"/>
  <c r="F222" i="1"/>
  <c r="D222" i="1"/>
  <c r="C222" i="1"/>
  <c r="B222" i="1"/>
  <c r="A223" i="1"/>
  <c r="E223" i="1"/>
  <c r="F223" i="1"/>
  <c r="D223" i="1"/>
  <c r="C223" i="1"/>
  <c r="B223" i="1"/>
  <c r="A224" i="1"/>
  <c r="E224" i="1"/>
  <c r="F224" i="1"/>
  <c r="C224" i="1"/>
  <c r="B224" i="1"/>
  <c r="A225" i="1"/>
  <c r="E225" i="1"/>
  <c r="F225" i="1"/>
  <c r="D225" i="1"/>
  <c r="C225" i="1"/>
  <c r="B225" i="1"/>
  <c r="A226" i="1"/>
  <c r="E226" i="1"/>
  <c r="F226" i="1"/>
  <c r="D226" i="1"/>
  <c r="C226" i="1"/>
  <c r="B226" i="1"/>
  <c r="A227" i="1"/>
  <c r="E227" i="1"/>
  <c r="F227" i="1"/>
  <c r="D227" i="1"/>
  <c r="C227" i="1"/>
  <c r="B227" i="1"/>
  <c r="A228" i="1"/>
  <c r="E228" i="1"/>
  <c r="F228" i="1"/>
  <c r="D228" i="1"/>
  <c r="C228" i="1"/>
  <c r="B228" i="1"/>
  <c r="A229" i="1"/>
  <c r="E229" i="1"/>
  <c r="F229" i="1"/>
  <c r="D229" i="1"/>
  <c r="C229" i="1"/>
  <c r="B229" i="1"/>
  <c r="A230" i="1"/>
  <c r="E230" i="1"/>
  <c r="F230" i="1"/>
  <c r="D230" i="1"/>
  <c r="C230" i="1"/>
  <c r="B230" i="1"/>
  <c r="A231" i="1"/>
  <c r="E231" i="1"/>
  <c r="F231" i="1"/>
  <c r="D231" i="1"/>
  <c r="C231" i="1"/>
  <c r="B231" i="1"/>
  <c r="A232" i="1"/>
  <c r="E232" i="1"/>
  <c r="F232" i="1"/>
  <c r="D232" i="1"/>
  <c r="C232" i="1"/>
  <c r="B232" i="1"/>
  <c r="A233" i="1"/>
  <c r="E233" i="1"/>
  <c r="F233" i="1"/>
  <c r="C233" i="1"/>
  <c r="B233" i="1"/>
  <c r="A234" i="1"/>
  <c r="E234" i="1"/>
  <c r="F234" i="1"/>
  <c r="C234" i="1"/>
  <c r="B234" i="1"/>
  <c r="A235" i="1"/>
  <c r="E235" i="1"/>
  <c r="F235" i="1"/>
  <c r="D235" i="1"/>
  <c r="C235" i="1"/>
  <c r="B235" i="1"/>
  <c r="A236" i="1"/>
  <c r="E236" i="1"/>
  <c r="F236" i="1"/>
  <c r="D236" i="1"/>
  <c r="C236" i="1"/>
  <c r="B236" i="1"/>
  <c r="A237" i="1"/>
  <c r="E237" i="1"/>
  <c r="F237" i="1"/>
  <c r="D237" i="1"/>
  <c r="C237" i="1"/>
  <c r="B237" i="1"/>
  <c r="A238" i="1"/>
  <c r="E238" i="1"/>
  <c r="F238" i="1"/>
  <c r="D238" i="1"/>
  <c r="C238" i="1"/>
  <c r="B238" i="1"/>
  <c r="A239" i="1"/>
  <c r="E239" i="1"/>
  <c r="F239" i="1"/>
  <c r="D239" i="1"/>
  <c r="C239" i="1"/>
  <c r="B239" i="1"/>
  <c r="A240" i="1"/>
  <c r="E240" i="1"/>
  <c r="F240" i="1"/>
  <c r="D240" i="1"/>
  <c r="C240" i="1"/>
  <c r="B240" i="1"/>
  <c r="A241" i="1"/>
  <c r="E241" i="1"/>
  <c r="F241" i="1"/>
  <c r="D241" i="1"/>
  <c r="C241" i="1"/>
  <c r="B241" i="1"/>
  <c r="A242" i="1"/>
  <c r="E242" i="1"/>
  <c r="F242" i="1"/>
  <c r="D242" i="1"/>
  <c r="C242" i="1"/>
  <c r="B242" i="1"/>
  <c r="A243" i="1"/>
  <c r="E243" i="1"/>
  <c r="F243" i="1"/>
  <c r="D243" i="1"/>
  <c r="C243" i="1"/>
  <c r="B243" i="1"/>
  <c r="A244" i="1"/>
  <c r="E244" i="1"/>
  <c r="F244" i="1"/>
  <c r="D244" i="1"/>
  <c r="C244" i="1"/>
  <c r="B244" i="1"/>
  <c r="A245" i="1"/>
  <c r="E245" i="1"/>
  <c r="F245" i="1"/>
  <c r="D245" i="1"/>
  <c r="C245" i="1"/>
  <c r="B245" i="1"/>
  <c r="A246" i="1"/>
  <c r="E246" i="1"/>
  <c r="F246" i="1"/>
  <c r="D246" i="1"/>
  <c r="C246" i="1"/>
  <c r="B246" i="1"/>
  <c r="A247" i="1"/>
  <c r="E247" i="1"/>
  <c r="F247" i="1"/>
  <c r="C247" i="1"/>
  <c r="B247" i="1"/>
  <c r="A248" i="1"/>
  <c r="E248" i="1"/>
  <c r="F248" i="1"/>
  <c r="D248" i="1"/>
  <c r="C248" i="1"/>
  <c r="B248" i="1"/>
  <c r="A249" i="1"/>
  <c r="E249" i="1"/>
  <c r="F249" i="1"/>
  <c r="D249" i="1"/>
  <c r="C249" i="1"/>
  <c r="B249" i="1"/>
  <c r="A250" i="1"/>
  <c r="E250" i="1"/>
  <c r="F250" i="1"/>
  <c r="D250" i="1"/>
  <c r="C250" i="1"/>
  <c r="B250" i="1"/>
  <c r="A251" i="1"/>
  <c r="E251" i="1"/>
  <c r="F251" i="1"/>
  <c r="D251" i="1"/>
  <c r="C251" i="1"/>
  <c r="B251" i="1"/>
  <c r="A252" i="1"/>
  <c r="E252" i="1"/>
  <c r="F252" i="1"/>
  <c r="D252" i="1"/>
  <c r="C252" i="1"/>
  <c r="B252" i="1"/>
  <c r="A253" i="1"/>
  <c r="E253" i="1"/>
  <c r="F253" i="1"/>
  <c r="D253" i="1"/>
  <c r="C253" i="1"/>
  <c r="B253" i="1"/>
  <c r="A254" i="1"/>
  <c r="E254" i="1"/>
  <c r="F254" i="1"/>
  <c r="D254" i="1"/>
  <c r="C254" i="1"/>
  <c r="B254" i="1"/>
  <c r="A255" i="1"/>
  <c r="E255" i="1"/>
  <c r="F255" i="1"/>
  <c r="D255" i="1"/>
  <c r="C255" i="1"/>
  <c r="B255" i="1"/>
  <c r="A256" i="1"/>
  <c r="E256" i="1"/>
  <c r="F256" i="1"/>
  <c r="D256" i="1"/>
  <c r="C256" i="1"/>
  <c r="B256" i="1"/>
  <c r="A257" i="1"/>
  <c r="E257" i="1"/>
  <c r="F257" i="1"/>
  <c r="D257" i="1"/>
  <c r="C257" i="1"/>
  <c r="B257" i="1"/>
  <c r="A258" i="1"/>
  <c r="E258" i="1"/>
  <c r="F258" i="1"/>
  <c r="D258" i="1"/>
  <c r="C258" i="1"/>
  <c r="B258" i="1"/>
  <c r="A259" i="1"/>
  <c r="E259" i="1"/>
  <c r="F259" i="1"/>
  <c r="D259" i="1"/>
  <c r="C259" i="1"/>
  <c r="B259" i="1"/>
  <c r="A260" i="1"/>
  <c r="E260" i="1"/>
  <c r="F260" i="1"/>
  <c r="D260" i="1"/>
  <c r="C260" i="1"/>
  <c r="B260" i="1"/>
  <c r="A261" i="1"/>
  <c r="E261" i="1"/>
  <c r="F261" i="1"/>
  <c r="D261" i="1"/>
  <c r="C261" i="1"/>
  <c r="B261" i="1"/>
  <c r="A262" i="1"/>
  <c r="E262" i="1"/>
  <c r="F262" i="1"/>
  <c r="D262" i="1"/>
  <c r="C262" i="1"/>
  <c r="B262" i="1"/>
  <c r="A263" i="1"/>
  <c r="E263" i="1"/>
  <c r="F263" i="1"/>
  <c r="D263" i="1"/>
  <c r="C263" i="1"/>
  <c r="B263" i="1"/>
  <c r="A264" i="1"/>
  <c r="E264" i="1"/>
  <c r="F264" i="1"/>
  <c r="D264" i="1"/>
  <c r="C264" i="1"/>
  <c r="B264" i="1"/>
  <c r="A265" i="1"/>
  <c r="E265" i="1"/>
  <c r="F265" i="1"/>
  <c r="D265" i="1"/>
  <c r="C265" i="1"/>
  <c r="B265" i="1"/>
  <c r="A266" i="1"/>
  <c r="E266" i="1"/>
  <c r="F266" i="1"/>
  <c r="D266" i="1"/>
  <c r="C266" i="1"/>
  <c r="B266" i="1"/>
  <c r="A267" i="1"/>
  <c r="E267" i="1"/>
  <c r="F267" i="1"/>
  <c r="D267" i="1"/>
  <c r="C267" i="1"/>
  <c r="B267" i="1"/>
  <c r="A268" i="1"/>
  <c r="E268" i="1"/>
  <c r="F268" i="1"/>
  <c r="D268" i="1"/>
  <c r="C268" i="1"/>
  <c r="B268" i="1"/>
  <c r="A269" i="1"/>
  <c r="E269" i="1"/>
  <c r="F269" i="1"/>
  <c r="D269" i="1"/>
  <c r="C269" i="1"/>
  <c r="B269" i="1"/>
  <c r="A270" i="1"/>
  <c r="E270" i="1"/>
  <c r="F270" i="1"/>
  <c r="D270" i="1"/>
  <c r="C270" i="1"/>
  <c r="B270" i="1"/>
  <c r="A271" i="1"/>
  <c r="E271" i="1"/>
  <c r="F271" i="1"/>
  <c r="D271" i="1"/>
  <c r="C271" i="1"/>
  <c r="B271" i="1"/>
  <c r="A272" i="1"/>
  <c r="E272" i="1"/>
  <c r="F272" i="1"/>
  <c r="D272" i="1"/>
  <c r="C272" i="1"/>
  <c r="B272" i="1"/>
  <c r="A273" i="1"/>
  <c r="E273" i="1"/>
  <c r="F273" i="1"/>
  <c r="D273" i="1"/>
  <c r="C273" i="1"/>
  <c r="B273" i="1"/>
  <c r="A274" i="1"/>
  <c r="E274" i="1"/>
  <c r="F274" i="1"/>
  <c r="D274" i="1"/>
  <c r="C274" i="1"/>
  <c r="B274" i="1"/>
  <c r="A275" i="1"/>
  <c r="E275" i="1"/>
  <c r="F275" i="1"/>
  <c r="D275" i="1"/>
  <c r="C275" i="1"/>
  <c r="B275" i="1"/>
  <c r="A276" i="1"/>
  <c r="E276" i="1"/>
  <c r="F276" i="1"/>
  <c r="D276" i="1"/>
  <c r="C276" i="1"/>
  <c r="B276" i="1"/>
  <c r="A277" i="1"/>
  <c r="E277" i="1"/>
  <c r="F277" i="1"/>
  <c r="D277" i="1"/>
  <c r="C277" i="1"/>
  <c r="B277" i="1"/>
  <c r="A278" i="1"/>
  <c r="E278" i="1"/>
  <c r="F278" i="1"/>
  <c r="D278" i="1"/>
  <c r="C278" i="1"/>
  <c r="B278" i="1"/>
  <c r="A279" i="1"/>
  <c r="E279" i="1"/>
  <c r="F279" i="1"/>
  <c r="D279" i="1"/>
  <c r="C279" i="1"/>
  <c r="B279" i="1"/>
  <c r="A280" i="1"/>
  <c r="E280" i="1"/>
  <c r="F280" i="1"/>
  <c r="D280" i="1"/>
  <c r="C280" i="1"/>
  <c r="B280" i="1"/>
  <c r="A281" i="1"/>
  <c r="E281" i="1"/>
  <c r="F281" i="1"/>
  <c r="D281" i="1"/>
  <c r="C281" i="1"/>
  <c r="B281" i="1"/>
  <c r="A282" i="1"/>
  <c r="E282" i="1"/>
  <c r="F282" i="1"/>
  <c r="D282" i="1"/>
  <c r="C282" i="1"/>
  <c r="B282" i="1"/>
  <c r="A283" i="1"/>
  <c r="E283" i="1"/>
  <c r="F283" i="1"/>
  <c r="D283" i="1"/>
  <c r="C283" i="1"/>
  <c r="B283" i="1"/>
  <c r="A284" i="1"/>
  <c r="E284" i="1"/>
  <c r="F284" i="1"/>
  <c r="D284" i="1"/>
  <c r="C284" i="1"/>
  <c r="B284" i="1"/>
  <c r="A285" i="1"/>
  <c r="E285" i="1"/>
  <c r="F285" i="1"/>
  <c r="D285" i="1"/>
  <c r="C285" i="1"/>
  <c r="B285" i="1"/>
  <c r="A286" i="1"/>
  <c r="E286" i="1"/>
  <c r="F286" i="1"/>
  <c r="D286" i="1"/>
  <c r="C286" i="1"/>
  <c r="B286" i="1"/>
  <c r="A287" i="1"/>
  <c r="E287" i="1"/>
  <c r="F287" i="1"/>
  <c r="D287" i="1"/>
  <c r="C287" i="1"/>
  <c r="B287" i="1"/>
  <c r="A288" i="1"/>
  <c r="E288" i="1"/>
  <c r="F288" i="1"/>
  <c r="D288" i="1"/>
  <c r="C288" i="1"/>
  <c r="B288" i="1"/>
  <c r="A289" i="1"/>
  <c r="E289" i="1"/>
  <c r="F289" i="1"/>
  <c r="D289" i="1"/>
  <c r="C289" i="1"/>
  <c r="B289" i="1"/>
  <c r="A290" i="1"/>
  <c r="E290" i="1"/>
  <c r="F290" i="1"/>
  <c r="D290" i="1"/>
  <c r="C290" i="1"/>
  <c r="B290" i="1"/>
  <c r="A291" i="1"/>
  <c r="E291" i="1"/>
  <c r="F291" i="1"/>
  <c r="D291" i="1"/>
  <c r="C291" i="1"/>
  <c r="B291" i="1"/>
  <c r="A292" i="1"/>
  <c r="E292" i="1"/>
  <c r="F292" i="1"/>
  <c r="C292" i="1"/>
  <c r="B292" i="1"/>
  <c r="A293" i="1"/>
  <c r="E293" i="1"/>
  <c r="F293" i="1"/>
  <c r="D293" i="1"/>
  <c r="C293" i="1"/>
  <c r="B293" i="1"/>
  <c r="A294" i="1"/>
  <c r="E294" i="1"/>
  <c r="F294" i="1"/>
  <c r="D294" i="1"/>
  <c r="C294" i="1"/>
  <c r="B294" i="1"/>
  <c r="A295" i="1"/>
  <c r="E295" i="1"/>
  <c r="F295" i="1"/>
  <c r="D295" i="1"/>
  <c r="C295" i="1"/>
  <c r="B295" i="1"/>
  <c r="A296" i="1"/>
  <c r="E296" i="1"/>
  <c r="F296" i="1"/>
  <c r="D296" i="1"/>
  <c r="C296" i="1"/>
  <c r="B296" i="1"/>
  <c r="A297" i="1"/>
  <c r="E297" i="1"/>
  <c r="F297" i="1"/>
  <c r="D297" i="1"/>
  <c r="C297" i="1"/>
  <c r="B297" i="1"/>
  <c r="A298" i="1"/>
  <c r="E298" i="1"/>
  <c r="F298" i="1"/>
  <c r="D298" i="1"/>
  <c r="C298" i="1"/>
  <c r="B298" i="1"/>
  <c r="A299" i="1"/>
  <c r="E299" i="1"/>
  <c r="F299" i="1"/>
  <c r="D299" i="1"/>
  <c r="C299" i="1"/>
  <c r="B299" i="1"/>
  <c r="A300" i="1"/>
  <c r="E300" i="1"/>
  <c r="F300" i="1"/>
  <c r="D300" i="1"/>
  <c r="C300" i="1"/>
  <c r="B300" i="1"/>
  <c r="A301" i="1"/>
  <c r="E301" i="1"/>
  <c r="F301" i="1"/>
  <c r="D301" i="1"/>
  <c r="C301" i="1"/>
  <c r="B301" i="1"/>
  <c r="A302" i="1"/>
  <c r="E302" i="1"/>
  <c r="F302" i="1"/>
  <c r="D302" i="1"/>
  <c r="C302" i="1"/>
  <c r="B302" i="1"/>
  <c r="A303" i="1"/>
  <c r="E303" i="1"/>
  <c r="F303" i="1"/>
  <c r="D303" i="1"/>
  <c r="C303" i="1"/>
  <c r="B303" i="1"/>
  <c r="A304" i="1"/>
  <c r="E304" i="1"/>
  <c r="F304" i="1"/>
  <c r="D304" i="1"/>
  <c r="C304" i="1"/>
  <c r="B304" i="1"/>
  <c r="A305" i="1"/>
  <c r="E305" i="1"/>
  <c r="F305" i="1"/>
  <c r="D305" i="1"/>
  <c r="C305" i="1"/>
  <c r="B305" i="1"/>
  <c r="A306" i="1"/>
  <c r="E306" i="1"/>
  <c r="F306" i="1"/>
  <c r="D306" i="1"/>
  <c r="C306" i="1"/>
  <c r="B306" i="1"/>
  <c r="A307" i="1"/>
  <c r="E307" i="1"/>
  <c r="F307" i="1"/>
  <c r="D307" i="1"/>
  <c r="C307" i="1"/>
  <c r="B307" i="1"/>
  <c r="A308" i="1"/>
  <c r="E308" i="1"/>
  <c r="F308" i="1"/>
  <c r="D308" i="1"/>
  <c r="C308" i="1"/>
  <c r="B308" i="1"/>
  <c r="A309" i="1"/>
  <c r="E309" i="1"/>
  <c r="F309" i="1"/>
  <c r="D309" i="1"/>
  <c r="C309" i="1"/>
  <c r="B309" i="1"/>
  <c r="A310" i="1"/>
  <c r="E310" i="1"/>
  <c r="F310" i="1"/>
  <c r="D310" i="1"/>
  <c r="C310" i="1"/>
  <c r="B310" i="1"/>
  <c r="A311" i="1"/>
  <c r="E311" i="1"/>
  <c r="F311" i="1"/>
  <c r="D311" i="1"/>
  <c r="C311" i="1"/>
  <c r="B311" i="1"/>
  <c r="A312" i="1"/>
  <c r="E312" i="1"/>
  <c r="F312" i="1"/>
  <c r="D312" i="1"/>
  <c r="C312" i="1"/>
  <c r="B312" i="1"/>
  <c r="A313" i="1"/>
  <c r="E313" i="1"/>
  <c r="F313" i="1"/>
  <c r="C313" i="1"/>
  <c r="B313" i="1"/>
  <c r="A314" i="1"/>
  <c r="E314" i="1"/>
  <c r="F314" i="1"/>
  <c r="D314" i="1"/>
  <c r="C314" i="1"/>
  <c r="B314" i="1"/>
  <c r="A315" i="1"/>
  <c r="E315" i="1"/>
  <c r="F315" i="1"/>
  <c r="D315" i="1"/>
  <c r="C315" i="1"/>
  <c r="B315" i="1"/>
  <c r="A316" i="1"/>
  <c r="E316" i="1"/>
  <c r="F316" i="1"/>
  <c r="C316" i="1"/>
  <c r="B316" i="1"/>
  <c r="A317" i="1"/>
  <c r="E317" i="1"/>
  <c r="F317" i="1"/>
  <c r="D317" i="1"/>
  <c r="C317" i="1"/>
  <c r="B317" i="1"/>
  <c r="A318" i="1"/>
  <c r="E318" i="1"/>
  <c r="F318" i="1"/>
  <c r="D318" i="1"/>
  <c r="C318" i="1"/>
  <c r="B318" i="1"/>
  <c r="A319" i="1"/>
  <c r="E319" i="1"/>
  <c r="F319" i="1"/>
  <c r="D319" i="1"/>
  <c r="C319" i="1"/>
  <c r="B319" i="1"/>
  <c r="A320" i="1"/>
  <c r="E320" i="1"/>
  <c r="F320" i="1"/>
  <c r="C320" i="1"/>
  <c r="B320" i="1"/>
  <c r="A321" i="1"/>
  <c r="E321" i="1"/>
  <c r="F321" i="1"/>
  <c r="C321" i="1"/>
  <c r="B321" i="1"/>
  <c r="A322" i="1"/>
  <c r="E322" i="1"/>
  <c r="F322" i="1"/>
  <c r="D322" i="1"/>
  <c r="C322" i="1"/>
  <c r="B322" i="1"/>
  <c r="A323" i="1"/>
  <c r="E323" i="1"/>
  <c r="F323" i="1"/>
  <c r="D323" i="1"/>
  <c r="C323" i="1"/>
  <c r="B323" i="1"/>
  <c r="A324" i="1"/>
  <c r="E324" i="1"/>
  <c r="F324" i="1"/>
  <c r="C324" i="1"/>
  <c r="B324" i="1"/>
  <c r="A325" i="1"/>
  <c r="E325" i="1"/>
  <c r="F325" i="1"/>
  <c r="C325" i="1"/>
  <c r="B325" i="1"/>
  <c r="A326" i="1"/>
  <c r="E326" i="1"/>
  <c r="F326" i="1"/>
  <c r="C326" i="1"/>
  <c r="B326" i="1"/>
  <c r="A327" i="1"/>
  <c r="E327" i="1"/>
  <c r="F327" i="1"/>
  <c r="D327" i="1"/>
  <c r="C327" i="1"/>
  <c r="B327" i="1"/>
  <c r="A328" i="1"/>
  <c r="E328" i="1"/>
  <c r="F328" i="1"/>
  <c r="D328" i="1"/>
  <c r="C328" i="1"/>
  <c r="B328" i="1"/>
  <c r="A329" i="1"/>
  <c r="E329" i="1"/>
  <c r="F329" i="1"/>
  <c r="D329" i="1"/>
  <c r="C329" i="1"/>
  <c r="B329" i="1"/>
  <c r="A330" i="1"/>
  <c r="E330" i="1"/>
  <c r="F330" i="1"/>
  <c r="D330" i="1"/>
  <c r="C330" i="1"/>
  <c r="B330" i="1"/>
  <c r="A331" i="1"/>
  <c r="E331" i="1"/>
  <c r="F331" i="1"/>
  <c r="D331" i="1"/>
  <c r="C331" i="1"/>
  <c r="B331" i="1"/>
  <c r="A332" i="1"/>
  <c r="E332" i="1"/>
  <c r="F332" i="1"/>
  <c r="D332" i="1"/>
  <c r="C332" i="1"/>
  <c r="B332" i="1"/>
  <c r="A333" i="1"/>
  <c r="E333" i="1"/>
  <c r="F333" i="1"/>
  <c r="D333" i="1"/>
  <c r="C333" i="1"/>
  <c r="B333" i="1"/>
  <c r="A334" i="1"/>
  <c r="E334" i="1"/>
  <c r="F334" i="1"/>
  <c r="C334" i="1"/>
  <c r="B334" i="1"/>
  <c r="A335" i="1"/>
  <c r="E335" i="1"/>
  <c r="F335" i="1"/>
  <c r="C335" i="1"/>
  <c r="B335" i="1"/>
  <c r="A336" i="1"/>
  <c r="E336" i="1"/>
  <c r="F336" i="1"/>
  <c r="C336" i="1"/>
  <c r="B336" i="1"/>
  <c r="A337" i="1"/>
  <c r="E337" i="1"/>
  <c r="F337" i="1"/>
  <c r="D337" i="1"/>
  <c r="C337" i="1"/>
  <c r="B337" i="1"/>
  <c r="A338" i="1"/>
  <c r="E338" i="1"/>
  <c r="F338" i="1"/>
  <c r="C338" i="1"/>
  <c r="B338" i="1"/>
  <c r="A339" i="1"/>
  <c r="E339" i="1"/>
  <c r="F339" i="1"/>
  <c r="C339" i="1"/>
  <c r="B339" i="1"/>
  <c r="A340" i="1"/>
  <c r="E340" i="1"/>
  <c r="F340" i="1"/>
  <c r="C340" i="1"/>
  <c r="B340" i="1"/>
  <c r="A341" i="1"/>
  <c r="E341" i="1"/>
  <c r="F341" i="1"/>
  <c r="D341" i="1"/>
  <c r="C341" i="1"/>
  <c r="B341" i="1"/>
  <c r="A342" i="1"/>
  <c r="E342" i="1"/>
  <c r="F342" i="1"/>
  <c r="D342" i="1"/>
  <c r="C342" i="1"/>
  <c r="B342" i="1"/>
  <c r="A343" i="1"/>
  <c r="E343" i="1"/>
  <c r="F343" i="1"/>
  <c r="D343" i="1"/>
  <c r="C343" i="1"/>
  <c r="B343" i="1"/>
  <c r="A344" i="1"/>
  <c r="E344" i="1"/>
  <c r="F344" i="1"/>
  <c r="D344" i="1"/>
  <c r="C344" i="1"/>
  <c r="B344" i="1"/>
  <c r="A345" i="1"/>
  <c r="E345" i="1"/>
  <c r="F345" i="1"/>
  <c r="D345" i="1"/>
  <c r="C345" i="1"/>
  <c r="B345" i="1"/>
  <c r="A346" i="1"/>
  <c r="E346" i="1"/>
  <c r="F346" i="1"/>
  <c r="D346" i="1"/>
  <c r="C346" i="1"/>
  <c r="B346" i="1"/>
  <c r="A347" i="1"/>
  <c r="E347" i="1"/>
  <c r="F347" i="1"/>
  <c r="D347" i="1"/>
  <c r="C347" i="1"/>
  <c r="B347" i="1"/>
  <c r="A348" i="1"/>
  <c r="E348" i="1"/>
  <c r="F348" i="1"/>
  <c r="D348" i="1"/>
  <c r="C348" i="1"/>
  <c r="B348" i="1"/>
  <c r="A349" i="1"/>
  <c r="E349" i="1"/>
  <c r="F349" i="1"/>
  <c r="D349" i="1"/>
  <c r="C349" i="1"/>
  <c r="B349" i="1"/>
  <c r="A350" i="1"/>
  <c r="E350" i="1"/>
  <c r="F350" i="1"/>
  <c r="D350" i="1"/>
  <c r="C350" i="1"/>
  <c r="B350" i="1"/>
  <c r="A351" i="1"/>
  <c r="E351" i="1"/>
  <c r="F351" i="1"/>
  <c r="D351" i="1"/>
  <c r="C351" i="1"/>
  <c r="B351" i="1"/>
  <c r="A352" i="1"/>
  <c r="E352" i="1"/>
  <c r="F352" i="1"/>
  <c r="D352" i="1"/>
  <c r="C352" i="1"/>
  <c r="B352" i="1"/>
  <c r="A353" i="1"/>
  <c r="E353" i="1"/>
  <c r="F353" i="1"/>
  <c r="D353" i="1"/>
  <c r="C353" i="1"/>
  <c r="B353" i="1"/>
  <c r="A354" i="1"/>
  <c r="E354" i="1"/>
  <c r="F354" i="1"/>
  <c r="D354" i="1"/>
  <c r="C354" i="1"/>
  <c r="B354" i="1"/>
  <c r="A355" i="1"/>
  <c r="E355" i="1"/>
  <c r="F355" i="1"/>
  <c r="D355" i="1"/>
  <c r="C355" i="1"/>
  <c r="B355" i="1"/>
  <c r="A356" i="1"/>
  <c r="E356" i="1"/>
  <c r="F356" i="1"/>
  <c r="D356" i="1"/>
  <c r="C356" i="1"/>
  <c r="B356" i="1"/>
  <c r="A357" i="1"/>
  <c r="E357" i="1"/>
  <c r="F357" i="1"/>
  <c r="D357" i="1"/>
  <c r="C357" i="1"/>
  <c r="B357" i="1"/>
  <c r="A358" i="1"/>
  <c r="E358" i="1"/>
  <c r="F358" i="1"/>
  <c r="D358" i="1"/>
  <c r="C358" i="1"/>
  <c r="B358" i="1"/>
  <c r="A359" i="1"/>
  <c r="E359" i="1"/>
  <c r="F359" i="1"/>
  <c r="D359" i="1"/>
  <c r="C359" i="1"/>
  <c r="B359" i="1"/>
  <c r="A360" i="1"/>
  <c r="E360" i="1"/>
  <c r="F360" i="1"/>
  <c r="D360" i="1"/>
  <c r="C360" i="1"/>
  <c r="B360" i="1"/>
  <c r="A361" i="1"/>
  <c r="E361" i="1"/>
  <c r="F361" i="1"/>
  <c r="D361" i="1"/>
  <c r="C361" i="1"/>
  <c r="B361" i="1"/>
  <c r="A362" i="1"/>
  <c r="E362" i="1"/>
  <c r="F362" i="1"/>
  <c r="D362" i="1"/>
  <c r="C362" i="1"/>
  <c r="B362" i="1"/>
  <c r="A363" i="1"/>
  <c r="E363" i="1"/>
  <c r="F363" i="1"/>
  <c r="D363" i="1"/>
  <c r="C363" i="1"/>
  <c r="B363" i="1"/>
  <c r="A364" i="1"/>
  <c r="E364" i="1"/>
  <c r="F364" i="1"/>
  <c r="D364" i="1"/>
  <c r="C364" i="1"/>
  <c r="B364" i="1"/>
  <c r="A365" i="1"/>
  <c r="E365" i="1"/>
  <c r="F365" i="1"/>
  <c r="D365" i="1"/>
  <c r="C365" i="1"/>
  <c r="B365" i="1"/>
  <c r="A366" i="1"/>
  <c r="E366" i="1"/>
  <c r="F366" i="1"/>
  <c r="D366" i="1"/>
  <c r="C366" i="1"/>
  <c r="B366" i="1"/>
  <c r="A367" i="1"/>
  <c r="E367" i="1"/>
  <c r="F367" i="1"/>
  <c r="D367" i="1"/>
  <c r="C367" i="1"/>
  <c r="B367" i="1"/>
  <c r="A368" i="1"/>
  <c r="E368" i="1"/>
  <c r="F368" i="1"/>
  <c r="D368" i="1"/>
  <c r="C368" i="1"/>
  <c r="B368" i="1"/>
  <c r="A369" i="1"/>
  <c r="E369" i="1"/>
  <c r="F369" i="1"/>
  <c r="D369" i="1"/>
  <c r="C369" i="1"/>
  <c r="B369" i="1"/>
  <c r="A370" i="1"/>
  <c r="E370" i="1"/>
  <c r="F370" i="1"/>
  <c r="D370" i="1"/>
  <c r="C370" i="1"/>
  <c r="B370" i="1"/>
  <c r="A371" i="1"/>
  <c r="E371" i="1"/>
  <c r="F371" i="1"/>
  <c r="D371" i="1"/>
  <c r="C371" i="1"/>
  <c r="B371" i="1"/>
  <c r="A372" i="1"/>
  <c r="E372" i="1"/>
  <c r="F372" i="1"/>
  <c r="D372" i="1"/>
  <c r="C372" i="1"/>
  <c r="B372" i="1"/>
  <c r="A373" i="1"/>
  <c r="E373" i="1"/>
  <c r="F373" i="1"/>
  <c r="D373" i="1"/>
  <c r="C373" i="1"/>
  <c r="B373" i="1"/>
  <c r="A374" i="1"/>
  <c r="E374" i="1"/>
  <c r="F374" i="1"/>
  <c r="D374" i="1"/>
  <c r="C374" i="1"/>
  <c r="B374" i="1"/>
  <c r="A375" i="1"/>
  <c r="E375" i="1"/>
  <c r="F375" i="1"/>
  <c r="D375" i="1"/>
  <c r="C375" i="1"/>
  <c r="B375" i="1"/>
  <c r="A376" i="1"/>
  <c r="E376" i="1"/>
  <c r="F376" i="1"/>
  <c r="D376" i="1"/>
  <c r="C376" i="1"/>
  <c r="B376" i="1"/>
  <c r="A377" i="1"/>
  <c r="E377" i="1"/>
  <c r="F377" i="1"/>
  <c r="D377" i="1"/>
  <c r="C377" i="1"/>
  <c r="B377" i="1"/>
  <c r="A378" i="1"/>
  <c r="E378" i="1"/>
  <c r="F378" i="1"/>
  <c r="D378" i="1"/>
  <c r="C378" i="1"/>
  <c r="B378" i="1"/>
  <c r="A379" i="1"/>
  <c r="E379" i="1"/>
  <c r="F379" i="1"/>
  <c r="D379" i="1"/>
  <c r="C379" i="1"/>
  <c r="B379" i="1"/>
  <c r="A380" i="1"/>
  <c r="E380" i="1"/>
  <c r="F380" i="1"/>
  <c r="D380" i="1"/>
  <c r="C380" i="1"/>
  <c r="B380" i="1"/>
  <c r="A381" i="1"/>
  <c r="E381" i="1"/>
  <c r="F381" i="1"/>
  <c r="D381" i="1"/>
  <c r="C381" i="1"/>
  <c r="B381" i="1"/>
  <c r="A382" i="1"/>
  <c r="E382" i="1"/>
  <c r="F382" i="1"/>
  <c r="D382" i="1"/>
  <c r="C382" i="1"/>
  <c r="B382" i="1"/>
  <c r="A383" i="1"/>
  <c r="E383" i="1"/>
  <c r="F383" i="1"/>
  <c r="D383" i="1"/>
  <c r="C383" i="1"/>
  <c r="B383" i="1"/>
  <c r="A384" i="1"/>
  <c r="E384" i="1"/>
  <c r="F384" i="1"/>
  <c r="D384" i="1"/>
  <c r="C384" i="1"/>
  <c r="B384" i="1"/>
  <c r="A385" i="1"/>
  <c r="E385" i="1"/>
  <c r="F385" i="1"/>
  <c r="D385" i="1"/>
  <c r="C385" i="1"/>
  <c r="B385" i="1"/>
  <c r="A386" i="1"/>
  <c r="E386" i="1"/>
  <c r="F386" i="1"/>
  <c r="D386" i="1"/>
  <c r="C386" i="1"/>
  <c r="B386" i="1"/>
  <c r="A387" i="1"/>
  <c r="E387" i="1"/>
  <c r="F387" i="1"/>
  <c r="D387" i="1"/>
  <c r="C387" i="1"/>
  <c r="B387" i="1"/>
  <c r="A388" i="1"/>
  <c r="E388" i="1"/>
  <c r="F388" i="1"/>
  <c r="D388" i="1"/>
  <c r="C388" i="1"/>
  <c r="B388" i="1"/>
  <c r="A389" i="1"/>
  <c r="E389" i="1"/>
  <c r="F389" i="1"/>
  <c r="D389" i="1"/>
  <c r="C389" i="1"/>
  <c r="B389" i="1"/>
  <c r="A390" i="1"/>
  <c r="E390" i="1"/>
  <c r="F390" i="1"/>
  <c r="D390" i="1"/>
  <c r="C390" i="1"/>
  <c r="B390" i="1"/>
  <c r="A391" i="1"/>
  <c r="E391" i="1"/>
  <c r="F391" i="1"/>
  <c r="D391" i="1"/>
  <c r="C391" i="1"/>
  <c r="B391" i="1"/>
  <c r="A392" i="1"/>
  <c r="E392" i="1"/>
  <c r="F392" i="1"/>
  <c r="D392" i="1"/>
  <c r="C392" i="1"/>
  <c r="B392" i="1"/>
  <c r="A393" i="1"/>
  <c r="E393" i="1"/>
  <c r="F393" i="1"/>
  <c r="D393" i="1"/>
  <c r="C393" i="1"/>
  <c r="B393" i="1"/>
  <c r="A394" i="1"/>
  <c r="E394" i="1"/>
  <c r="F394" i="1"/>
  <c r="D394" i="1"/>
  <c r="C394" i="1"/>
  <c r="B394" i="1"/>
  <c r="A395" i="1"/>
  <c r="E395" i="1"/>
  <c r="F395" i="1"/>
  <c r="D395" i="1"/>
  <c r="C395" i="1"/>
  <c r="B395" i="1"/>
  <c r="A396" i="1"/>
  <c r="E396" i="1"/>
  <c r="F396" i="1"/>
  <c r="D396" i="1"/>
  <c r="C396" i="1"/>
  <c r="B396" i="1"/>
  <c r="A397" i="1"/>
  <c r="E397" i="1"/>
  <c r="F397" i="1"/>
  <c r="D397" i="1"/>
  <c r="C397" i="1"/>
  <c r="B397" i="1"/>
  <c r="A398" i="1"/>
  <c r="E398" i="1"/>
  <c r="F398" i="1"/>
  <c r="D398" i="1"/>
  <c r="C398" i="1"/>
  <c r="B398" i="1"/>
  <c r="A399" i="1"/>
  <c r="E399" i="1"/>
  <c r="F399" i="1"/>
  <c r="D399" i="1"/>
  <c r="C399" i="1"/>
  <c r="B399" i="1"/>
  <c r="A400" i="1"/>
  <c r="E400" i="1"/>
  <c r="F400" i="1"/>
  <c r="D400" i="1"/>
  <c r="C400" i="1"/>
  <c r="B400" i="1"/>
  <c r="A401" i="1"/>
  <c r="E401" i="1"/>
  <c r="F401" i="1"/>
  <c r="D401" i="1"/>
  <c r="C401" i="1"/>
  <c r="B401" i="1"/>
  <c r="A402" i="1"/>
  <c r="E402" i="1"/>
  <c r="F402" i="1"/>
  <c r="D402" i="1"/>
  <c r="C402" i="1"/>
  <c r="B402" i="1"/>
  <c r="A403" i="1"/>
  <c r="E403" i="1"/>
  <c r="F403" i="1"/>
  <c r="D403" i="1"/>
  <c r="C403" i="1"/>
  <c r="B403" i="1"/>
  <c r="A404" i="1"/>
  <c r="E404" i="1"/>
  <c r="F404" i="1"/>
  <c r="D404" i="1"/>
  <c r="C404" i="1"/>
  <c r="B404" i="1"/>
  <c r="A405" i="1"/>
  <c r="E405" i="1"/>
  <c r="F405" i="1"/>
  <c r="D405" i="1"/>
  <c r="C405" i="1"/>
  <c r="B405" i="1"/>
  <c r="A406" i="1"/>
  <c r="E406" i="1"/>
  <c r="F406" i="1"/>
  <c r="D406" i="1"/>
  <c r="C406" i="1"/>
  <c r="B406" i="1"/>
  <c r="A407" i="1"/>
  <c r="E407" i="1"/>
  <c r="F407" i="1"/>
  <c r="D407" i="1"/>
  <c r="C407" i="1"/>
  <c r="B407" i="1"/>
  <c r="A408" i="1"/>
  <c r="E408" i="1"/>
  <c r="F408" i="1"/>
  <c r="D408" i="1"/>
  <c r="C408" i="1"/>
  <c r="B408" i="1"/>
  <c r="A409" i="1"/>
  <c r="E409" i="1"/>
  <c r="F409" i="1"/>
  <c r="D409" i="1"/>
  <c r="C409" i="1"/>
  <c r="B409" i="1"/>
  <c r="A410" i="1"/>
  <c r="E410" i="1"/>
  <c r="F410" i="1"/>
  <c r="D410" i="1"/>
  <c r="C410" i="1"/>
  <c r="B410" i="1"/>
  <c r="A411" i="1"/>
  <c r="E411" i="1"/>
  <c r="F411" i="1"/>
  <c r="D411" i="1"/>
  <c r="C411" i="1"/>
  <c r="B411" i="1"/>
  <c r="A412" i="1"/>
  <c r="E412" i="1"/>
  <c r="F412" i="1"/>
  <c r="D412" i="1"/>
  <c r="C412" i="1"/>
  <c r="B412" i="1"/>
  <c r="A413" i="1"/>
  <c r="E413" i="1"/>
  <c r="F413" i="1"/>
  <c r="C413" i="1"/>
  <c r="B413" i="1"/>
  <c r="A414" i="1"/>
  <c r="E414" i="1"/>
  <c r="F414" i="1"/>
  <c r="D414" i="1"/>
  <c r="C414" i="1"/>
  <c r="B414" i="1"/>
  <c r="A415" i="1"/>
  <c r="E415" i="1"/>
  <c r="F415" i="1"/>
  <c r="D415" i="1"/>
  <c r="C415" i="1"/>
  <c r="B415" i="1"/>
  <c r="A416" i="1"/>
  <c r="E416" i="1"/>
  <c r="F416" i="1"/>
  <c r="D416" i="1"/>
  <c r="C416" i="1"/>
  <c r="B416" i="1"/>
  <c r="A417" i="1"/>
  <c r="E417" i="1"/>
  <c r="F417" i="1"/>
  <c r="D417" i="1"/>
  <c r="C417" i="1"/>
  <c r="B417" i="1"/>
  <c r="A418" i="1"/>
  <c r="E418" i="1"/>
  <c r="F418" i="1"/>
  <c r="D418" i="1"/>
  <c r="C418" i="1"/>
  <c r="B418" i="1"/>
  <c r="A419" i="1"/>
  <c r="E419" i="1"/>
  <c r="F419" i="1"/>
  <c r="D419" i="1"/>
  <c r="C419" i="1"/>
  <c r="B419" i="1"/>
  <c r="A420" i="1"/>
  <c r="E420" i="1"/>
  <c r="F420" i="1"/>
  <c r="D420" i="1"/>
  <c r="C420" i="1"/>
  <c r="B420" i="1"/>
  <c r="A421" i="1"/>
  <c r="E421" i="1"/>
  <c r="F421" i="1"/>
  <c r="D421" i="1"/>
  <c r="C421" i="1"/>
  <c r="B421" i="1"/>
  <c r="A422" i="1"/>
  <c r="E422" i="1"/>
  <c r="F422" i="1"/>
  <c r="D422" i="1"/>
  <c r="C422" i="1"/>
  <c r="B422" i="1"/>
  <c r="A423" i="1"/>
  <c r="E423" i="1"/>
  <c r="F423" i="1"/>
  <c r="C423" i="1"/>
  <c r="B423" i="1"/>
  <c r="A424" i="1"/>
  <c r="E424" i="1"/>
  <c r="F424" i="1"/>
  <c r="D424" i="1"/>
  <c r="C424" i="1"/>
  <c r="B424" i="1"/>
  <c r="A425" i="1"/>
  <c r="E425" i="1"/>
  <c r="F425" i="1"/>
  <c r="D425" i="1"/>
  <c r="C425" i="1"/>
  <c r="B425" i="1"/>
  <c r="A426" i="1"/>
  <c r="E426" i="1"/>
  <c r="F426" i="1"/>
  <c r="D426" i="1"/>
  <c r="C426" i="1"/>
  <c r="B426" i="1"/>
  <c r="A427" i="1"/>
  <c r="E427" i="1"/>
  <c r="F427" i="1"/>
  <c r="D427" i="1"/>
  <c r="C427" i="1"/>
  <c r="B427" i="1"/>
  <c r="A428" i="1"/>
  <c r="E428" i="1"/>
  <c r="F428" i="1"/>
  <c r="D428" i="1"/>
  <c r="C428" i="1"/>
  <c r="B428" i="1"/>
  <c r="A429" i="1"/>
  <c r="E429" i="1"/>
  <c r="F429" i="1"/>
  <c r="C429" i="1"/>
  <c r="B429" i="1"/>
  <c r="A430" i="1"/>
  <c r="E430" i="1"/>
  <c r="F430" i="1"/>
  <c r="D430" i="1"/>
  <c r="C430" i="1"/>
  <c r="B430" i="1"/>
  <c r="A431" i="1"/>
  <c r="E431" i="1"/>
  <c r="F431" i="1"/>
  <c r="D431" i="1"/>
  <c r="C431" i="1"/>
  <c r="B431" i="1"/>
  <c r="A432" i="1"/>
  <c r="E432" i="1"/>
  <c r="F432" i="1"/>
  <c r="D432" i="1"/>
  <c r="C432" i="1"/>
  <c r="B432" i="1"/>
  <c r="A433" i="1"/>
  <c r="E433" i="1"/>
  <c r="F433" i="1"/>
  <c r="C433" i="1"/>
  <c r="B433" i="1"/>
  <c r="A434" i="1"/>
  <c r="E434" i="1"/>
  <c r="F434" i="1"/>
  <c r="C434" i="1"/>
  <c r="B434" i="1"/>
  <c r="A435" i="1"/>
  <c r="E435" i="1"/>
  <c r="F435" i="1"/>
  <c r="D435" i="1"/>
  <c r="C435" i="1"/>
  <c r="B435" i="1"/>
  <c r="A436" i="1"/>
  <c r="E436" i="1"/>
  <c r="F436" i="1"/>
  <c r="D436" i="1"/>
  <c r="C436" i="1"/>
  <c r="B436" i="1"/>
  <c r="A437" i="1"/>
  <c r="E437" i="1"/>
  <c r="F437" i="1"/>
  <c r="C437" i="1"/>
  <c r="B437" i="1"/>
  <c r="A438" i="1"/>
  <c r="E438" i="1"/>
  <c r="F438" i="1"/>
  <c r="D438" i="1"/>
  <c r="C438" i="1"/>
  <c r="B438" i="1"/>
  <c r="A439" i="1"/>
  <c r="E439" i="1"/>
  <c r="F439" i="1"/>
  <c r="D439" i="1"/>
  <c r="C439" i="1"/>
  <c r="B439" i="1"/>
  <c r="A440" i="1"/>
  <c r="E440" i="1"/>
  <c r="F440" i="1"/>
  <c r="D440" i="1"/>
  <c r="C440" i="1"/>
  <c r="B440" i="1"/>
  <c r="A441" i="1"/>
  <c r="E441" i="1"/>
  <c r="F441" i="1"/>
  <c r="D441" i="1"/>
  <c r="C441" i="1"/>
  <c r="B441" i="1"/>
  <c r="A442" i="1"/>
  <c r="E442" i="1"/>
  <c r="F442" i="1"/>
  <c r="D442" i="1"/>
  <c r="C442" i="1"/>
  <c r="B442" i="1"/>
  <c r="A443" i="1"/>
  <c r="E443" i="1"/>
  <c r="F443" i="1"/>
  <c r="D443" i="1"/>
  <c r="C443" i="1"/>
  <c r="B443" i="1"/>
  <c r="A444" i="1"/>
  <c r="E444" i="1"/>
  <c r="F444" i="1"/>
  <c r="C444" i="1"/>
  <c r="B444" i="1"/>
  <c r="A445" i="1"/>
  <c r="E445" i="1"/>
  <c r="F445" i="1"/>
  <c r="D445" i="1"/>
  <c r="C445" i="1"/>
  <c r="B445" i="1"/>
  <c r="A446" i="1"/>
  <c r="E446" i="1"/>
  <c r="F446" i="1"/>
  <c r="D446" i="1"/>
  <c r="C446" i="1"/>
  <c r="B446" i="1"/>
  <c r="A447" i="1"/>
  <c r="E447" i="1"/>
  <c r="F447" i="1"/>
  <c r="C447" i="1"/>
  <c r="B447" i="1"/>
  <c r="A448" i="1"/>
  <c r="E448" i="1"/>
  <c r="F448" i="1"/>
  <c r="D448" i="1"/>
  <c r="C448" i="1"/>
  <c r="B448" i="1"/>
  <c r="A449" i="1"/>
  <c r="E449" i="1"/>
  <c r="F449" i="1"/>
  <c r="D449" i="1"/>
  <c r="C449" i="1"/>
  <c r="B449" i="1"/>
  <c r="A450" i="1"/>
  <c r="E450" i="1"/>
  <c r="F450" i="1"/>
  <c r="D450" i="1"/>
  <c r="C450" i="1"/>
  <c r="B450" i="1"/>
  <c r="A451" i="1"/>
  <c r="E451" i="1"/>
  <c r="F451" i="1"/>
  <c r="D451" i="1"/>
  <c r="C451" i="1"/>
  <c r="B451" i="1"/>
  <c r="A452" i="1"/>
  <c r="E452" i="1"/>
  <c r="F452" i="1"/>
  <c r="D452" i="1"/>
  <c r="C452" i="1"/>
  <c r="B452" i="1"/>
  <c r="A453" i="1"/>
  <c r="E453" i="1"/>
  <c r="F453" i="1"/>
  <c r="D453" i="1"/>
  <c r="C453" i="1"/>
  <c r="B453" i="1"/>
  <c r="A454" i="1"/>
  <c r="E454" i="1"/>
  <c r="F454" i="1"/>
  <c r="D454" i="1"/>
  <c r="C454" i="1"/>
  <c r="B454" i="1"/>
  <c r="A455" i="1"/>
  <c r="E455" i="1"/>
  <c r="F455" i="1"/>
  <c r="D455" i="1"/>
  <c r="C455" i="1"/>
  <c r="B455" i="1"/>
  <c r="A456" i="1"/>
  <c r="E456" i="1"/>
  <c r="F456" i="1"/>
  <c r="D456" i="1"/>
  <c r="C456" i="1"/>
  <c r="B456" i="1"/>
  <c r="A457" i="1"/>
  <c r="E457" i="1"/>
  <c r="F457" i="1"/>
  <c r="C457" i="1"/>
  <c r="B457" i="1"/>
  <c r="A458" i="1"/>
  <c r="E458" i="1"/>
  <c r="F458" i="1"/>
  <c r="C458" i="1"/>
  <c r="B458" i="1"/>
  <c r="A459" i="1"/>
  <c r="E459" i="1"/>
  <c r="F459" i="1"/>
  <c r="D459" i="1"/>
  <c r="C459" i="1"/>
  <c r="B459" i="1"/>
  <c r="A460" i="1"/>
  <c r="E460" i="1"/>
  <c r="F460" i="1"/>
  <c r="D460" i="1"/>
  <c r="C460" i="1"/>
  <c r="B460" i="1"/>
  <c r="A461" i="1"/>
  <c r="E461" i="1"/>
  <c r="F461" i="1"/>
  <c r="D461" i="1"/>
  <c r="C461" i="1"/>
  <c r="B461" i="1"/>
  <c r="A462" i="1"/>
  <c r="E462" i="1"/>
  <c r="F462" i="1"/>
  <c r="C462" i="1"/>
  <c r="B462" i="1"/>
  <c r="A463" i="1"/>
  <c r="E463" i="1"/>
  <c r="F463" i="1"/>
  <c r="C463" i="1"/>
  <c r="B463" i="1"/>
  <c r="A464" i="1"/>
  <c r="E464" i="1"/>
  <c r="F464" i="1"/>
  <c r="D464" i="1"/>
  <c r="C464" i="1"/>
  <c r="B464" i="1"/>
  <c r="A465" i="1"/>
  <c r="E465" i="1"/>
  <c r="F465" i="1"/>
  <c r="D465" i="1"/>
  <c r="C465" i="1"/>
  <c r="B465" i="1"/>
  <c r="A466" i="1"/>
  <c r="E466" i="1"/>
  <c r="F466" i="1"/>
  <c r="D466" i="1"/>
  <c r="C466" i="1"/>
  <c r="B466" i="1"/>
  <c r="A467" i="1"/>
  <c r="E467" i="1"/>
  <c r="F467" i="1"/>
  <c r="D467" i="1"/>
  <c r="C467" i="1"/>
  <c r="B467" i="1"/>
  <c r="A468" i="1"/>
  <c r="E468" i="1"/>
  <c r="F468" i="1"/>
  <c r="D468" i="1"/>
  <c r="C468" i="1"/>
  <c r="B468" i="1"/>
  <c r="A469" i="1"/>
  <c r="E469" i="1"/>
  <c r="F469" i="1"/>
  <c r="C469" i="1"/>
  <c r="B469" i="1"/>
  <c r="A470" i="1"/>
  <c r="E470" i="1"/>
  <c r="F470" i="1"/>
  <c r="C470" i="1"/>
  <c r="B470" i="1"/>
  <c r="A471" i="1"/>
  <c r="E471" i="1"/>
  <c r="F471" i="1"/>
  <c r="C471" i="1"/>
  <c r="B471" i="1"/>
  <c r="A472" i="1"/>
  <c r="E472" i="1"/>
  <c r="F472" i="1"/>
  <c r="C472" i="1"/>
  <c r="B472" i="1"/>
  <c r="A473" i="1"/>
  <c r="E473" i="1"/>
  <c r="F473" i="1"/>
  <c r="C473" i="1"/>
  <c r="B473" i="1"/>
  <c r="A474" i="1"/>
  <c r="E474" i="1"/>
  <c r="F474" i="1"/>
  <c r="C474" i="1"/>
  <c r="B474" i="1"/>
  <c r="A475" i="1"/>
  <c r="E475" i="1"/>
  <c r="F475" i="1"/>
  <c r="C475" i="1"/>
  <c r="B475" i="1"/>
  <c r="A476" i="1"/>
  <c r="E476" i="1"/>
  <c r="F476" i="1"/>
  <c r="C476" i="1"/>
  <c r="B476" i="1"/>
  <c r="A477" i="1"/>
  <c r="E477" i="1"/>
  <c r="F477" i="1"/>
  <c r="C477" i="1"/>
  <c r="B477" i="1"/>
  <c r="A478" i="1"/>
  <c r="E478" i="1"/>
  <c r="F478" i="1"/>
  <c r="D478" i="1"/>
  <c r="C478" i="1"/>
  <c r="B478" i="1"/>
  <c r="A479" i="1"/>
  <c r="E479" i="1"/>
  <c r="F479" i="1"/>
  <c r="C479" i="1"/>
  <c r="B479" i="1"/>
  <c r="A480" i="1"/>
  <c r="E480" i="1"/>
  <c r="F480" i="1"/>
  <c r="C480" i="1"/>
  <c r="B480" i="1"/>
  <c r="A481" i="1"/>
  <c r="E481" i="1"/>
  <c r="F481" i="1"/>
  <c r="C481" i="1"/>
  <c r="B481" i="1"/>
  <c r="A482" i="1"/>
  <c r="E482" i="1"/>
  <c r="F482" i="1"/>
  <c r="D482" i="1"/>
  <c r="C482" i="1"/>
  <c r="B482" i="1"/>
  <c r="A483" i="1"/>
  <c r="E483" i="1"/>
  <c r="F483" i="1"/>
  <c r="C483" i="1"/>
  <c r="B483" i="1"/>
  <c r="A484" i="1"/>
  <c r="E484" i="1"/>
  <c r="F484" i="1"/>
  <c r="D484" i="1"/>
  <c r="C484" i="1"/>
  <c r="B484" i="1"/>
  <c r="A485" i="1"/>
  <c r="E485" i="1"/>
  <c r="F485" i="1"/>
  <c r="D485" i="1"/>
  <c r="C485" i="1"/>
  <c r="B485" i="1"/>
  <c r="A486" i="1"/>
  <c r="E486" i="1"/>
  <c r="F486" i="1"/>
  <c r="D486" i="1"/>
  <c r="C486" i="1"/>
  <c r="B486" i="1"/>
  <c r="A487" i="1"/>
  <c r="E487" i="1"/>
  <c r="F487" i="1"/>
  <c r="D487" i="1"/>
  <c r="C487" i="1"/>
  <c r="B487" i="1"/>
  <c r="A488" i="1"/>
  <c r="E488" i="1"/>
  <c r="F488" i="1"/>
  <c r="D488" i="1"/>
  <c r="C488" i="1"/>
  <c r="B488" i="1"/>
  <c r="A489" i="1"/>
  <c r="E489" i="1"/>
  <c r="F489" i="1"/>
  <c r="D489" i="1"/>
  <c r="C489" i="1"/>
  <c r="B489" i="1"/>
  <c r="A490" i="1"/>
  <c r="E490" i="1"/>
  <c r="F490" i="1"/>
  <c r="D490" i="1"/>
  <c r="C490" i="1"/>
  <c r="B490" i="1"/>
  <c r="A491" i="1"/>
  <c r="E491" i="1"/>
  <c r="F491" i="1"/>
  <c r="D491" i="1"/>
  <c r="C491" i="1"/>
  <c r="B491" i="1"/>
  <c r="A492" i="1"/>
  <c r="E492" i="1"/>
  <c r="F492" i="1"/>
  <c r="D492" i="1"/>
  <c r="C492" i="1"/>
  <c r="B492" i="1"/>
  <c r="A493" i="1"/>
  <c r="E493" i="1"/>
  <c r="F493" i="1"/>
  <c r="D493" i="1"/>
  <c r="C493" i="1"/>
  <c r="B493" i="1"/>
  <c r="A494" i="1"/>
  <c r="E494" i="1"/>
  <c r="F494" i="1"/>
  <c r="D494" i="1"/>
  <c r="C494" i="1"/>
  <c r="B494" i="1"/>
  <c r="A495" i="1"/>
  <c r="E495" i="1"/>
  <c r="F495" i="1"/>
  <c r="D495" i="1"/>
  <c r="C495" i="1"/>
  <c r="B495" i="1"/>
  <c r="A496" i="1"/>
  <c r="E496" i="1"/>
  <c r="F496" i="1"/>
  <c r="D496" i="1"/>
  <c r="C496" i="1"/>
  <c r="B496" i="1"/>
  <c r="A497" i="1"/>
  <c r="E497" i="1"/>
  <c r="F497" i="1"/>
  <c r="D497" i="1"/>
  <c r="C497" i="1"/>
  <c r="B497" i="1"/>
  <c r="A498" i="1"/>
  <c r="E498" i="1"/>
  <c r="F498" i="1"/>
  <c r="D498" i="1"/>
  <c r="C498" i="1"/>
  <c r="B498" i="1"/>
  <c r="A499" i="1"/>
  <c r="E499" i="1"/>
  <c r="F499" i="1"/>
  <c r="D499" i="1"/>
  <c r="C499" i="1"/>
  <c r="B499" i="1"/>
  <c r="A500" i="1"/>
  <c r="E500" i="1"/>
  <c r="F500" i="1"/>
  <c r="D500" i="1"/>
  <c r="C500" i="1"/>
  <c r="B500" i="1"/>
  <c r="A501" i="1"/>
  <c r="E501" i="1"/>
  <c r="F501" i="1"/>
  <c r="D501" i="1"/>
  <c r="C501" i="1"/>
  <c r="B501" i="1"/>
  <c r="A502" i="1"/>
  <c r="E502" i="1"/>
  <c r="F502" i="1"/>
  <c r="D502" i="1"/>
  <c r="C502" i="1"/>
  <c r="B502" i="1"/>
  <c r="A503" i="1"/>
  <c r="E503" i="1"/>
  <c r="F503" i="1"/>
  <c r="D503" i="1"/>
  <c r="C503" i="1"/>
  <c r="B503" i="1"/>
  <c r="A504" i="1"/>
  <c r="E504" i="1"/>
  <c r="F504" i="1"/>
  <c r="D504" i="1"/>
  <c r="C504" i="1"/>
  <c r="B504" i="1"/>
  <c r="A505" i="1"/>
  <c r="E505" i="1"/>
  <c r="F505" i="1"/>
  <c r="D505" i="1"/>
  <c r="C505" i="1"/>
  <c r="B505" i="1"/>
  <c r="A506" i="1"/>
  <c r="E506" i="1"/>
  <c r="F506" i="1"/>
  <c r="D506" i="1"/>
  <c r="C506" i="1"/>
  <c r="B506" i="1"/>
  <c r="A507" i="1"/>
  <c r="E507" i="1"/>
  <c r="F507" i="1"/>
  <c r="D507" i="1"/>
  <c r="C507" i="1"/>
  <c r="B507" i="1"/>
  <c r="A508" i="1"/>
  <c r="E508" i="1"/>
  <c r="F508" i="1"/>
  <c r="D508" i="1"/>
  <c r="C508" i="1"/>
  <c r="B508" i="1"/>
  <c r="A509" i="1"/>
  <c r="E509" i="1"/>
  <c r="F509" i="1"/>
  <c r="D509" i="1"/>
  <c r="C509" i="1"/>
  <c r="B509" i="1"/>
  <c r="A510" i="1"/>
  <c r="E510" i="1"/>
  <c r="F510" i="1"/>
  <c r="D510" i="1"/>
  <c r="C510" i="1"/>
  <c r="B510" i="1"/>
  <c r="A511" i="1"/>
  <c r="E511" i="1"/>
  <c r="F511" i="1"/>
  <c r="D511" i="1"/>
  <c r="C511" i="1"/>
  <c r="B511" i="1"/>
  <c r="A512" i="1"/>
  <c r="E512" i="1"/>
  <c r="F512" i="1"/>
  <c r="D512" i="1"/>
  <c r="C512" i="1"/>
  <c r="B512" i="1"/>
  <c r="A513" i="1"/>
  <c r="E513" i="1"/>
  <c r="F513" i="1"/>
  <c r="D513" i="1"/>
  <c r="C513" i="1"/>
  <c r="B513" i="1"/>
  <c r="A514" i="1"/>
  <c r="E514" i="1"/>
  <c r="F514" i="1"/>
  <c r="D514" i="1"/>
  <c r="C514" i="1"/>
  <c r="B514" i="1"/>
  <c r="A515" i="1"/>
  <c r="E515" i="1"/>
  <c r="F515" i="1"/>
  <c r="D515" i="1"/>
  <c r="C515" i="1"/>
  <c r="B515" i="1"/>
  <c r="A516" i="1"/>
  <c r="E516" i="1"/>
  <c r="F516" i="1"/>
  <c r="D516" i="1"/>
  <c r="C516" i="1"/>
  <c r="B516" i="1"/>
  <c r="A517" i="1"/>
  <c r="E517" i="1"/>
  <c r="F517" i="1"/>
  <c r="D517" i="1"/>
  <c r="C517" i="1"/>
  <c r="B517" i="1"/>
  <c r="A518" i="1"/>
  <c r="E518" i="1"/>
  <c r="F518" i="1"/>
  <c r="D518" i="1"/>
  <c r="C518" i="1"/>
  <c r="B518" i="1"/>
  <c r="A519" i="1"/>
  <c r="E519" i="1"/>
  <c r="F519" i="1"/>
  <c r="D519" i="1"/>
  <c r="C519" i="1"/>
  <c r="B519" i="1"/>
  <c r="A520" i="1"/>
  <c r="E520" i="1"/>
  <c r="F520" i="1"/>
  <c r="D520" i="1"/>
  <c r="C520" i="1"/>
  <c r="B520" i="1"/>
  <c r="A521" i="1"/>
  <c r="E521" i="1"/>
  <c r="F521" i="1"/>
  <c r="D521" i="1"/>
  <c r="C521" i="1"/>
  <c r="B521" i="1"/>
  <c r="A522" i="1"/>
  <c r="E522" i="1"/>
  <c r="F522" i="1"/>
  <c r="D522" i="1"/>
  <c r="C522" i="1"/>
  <c r="B522" i="1"/>
  <c r="A523" i="1"/>
  <c r="E523" i="1"/>
  <c r="F523" i="1"/>
  <c r="D523" i="1"/>
  <c r="C523" i="1"/>
  <c r="B523" i="1"/>
  <c r="A524" i="1"/>
  <c r="E524" i="1"/>
  <c r="F524" i="1"/>
  <c r="D524" i="1"/>
  <c r="C524" i="1"/>
  <c r="B524" i="1"/>
  <c r="A525" i="1"/>
  <c r="E525" i="1"/>
  <c r="F525" i="1"/>
  <c r="D525" i="1"/>
  <c r="C525" i="1"/>
  <c r="B525" i="1"/>
  <c r="A526" i="1"/>
  <c r="E526" i="1"/>
  <c r="F526" i="1"/>
  <c r="D526" i="1"/>
  <c r="C526" i="1"/>
  <c r="B526" i="1"/>
  <c r="A527" i="1"/>
  <c r="E527" i="1"/>
  <c r="F527" i="1"/>
  <c r="D527" i="1"/>
  <c r="C527" i="1"/>
  <c r="B527" i="1"/>
  <c r="A528" i="1"/>
  <c r="E528" i="1"/>
  <c r="F528" i="1"/>
  <c r="D528" i="1"/>
  <c r="C528" i="1"/>
  <c r="B528" i="1"/>
  <c r="A529" i="1"/>
  <c r="E529" i="1"/>
  <c r="F529" i="1"/>
  <c r="D529" i="1"/>
  <c r="C529" i="1"/>
  <c r="B529" i="1"/>
  <c r="A530" i="1"/>
  <c r="E530" i="1"/>
  <c r="F530" i="1"/>
  <c r="D530" i="1"/>
  <c r="C530" i="1"/>
  <c r="B530" i="1"/>
  <c r="A531" i="1"/>
  <c r="E531" i="1"/>
  <c r="F531" i="1"/>
  <c r="D531" i="1"/>
  <c r="C531" i="1"/>
  <c r="B531" i="1"/>
  <c r="A532" i="1"/>
  <c r="E532" i="1"/>
  <c r="F532" i="1"/>
  <c r="D532" i="1"/>
  <c r="C532" i="1"/>
  <c r="B532" i="1"/>
  <c r="A533" i="1"/>
  <c r="E533" i="1"/>
  <c r="F533" i="1"/>
  <c r="D533" i="1"/>
  <c r="C533" i="1"/>
  <c r="B533" i="1"/>
  <c r="A534" i="1"/>
  <c r="E534" i="1"/>
  <c r="F534" i="1"/>
  <c r="D534" i="1"/>
  <c r="C534" i="1"/>
  <c r="B534" i="1"/>
  <c r="A535" i="1"/>
  <c r="E535" i="1"/>
  <c r="F535" i="1"/>
  <c r="D535" i="1"/>
  <c r="C535" i="1"/>
  <c r="B535" i="1"/>
  <c r="A536" i="1"/>
  <c r="E536" i="1"/>
  <c r="F536" i="1"/>
  <c r="D536" i="1"/>
  <c r="C536" i="1"/>
  <c r="B536" i="1"/>
  <c r="A537" i="1"/>
  <c r="E537" i="1"/>
  <c r="F537" i="1"/>
  <c r="D537" i="1"/>
  <c r="C537" i="1"/>
  <c r="B537" i="1"/>
  <c r="A538" i="1"/>
  <c r="E538" i="1"/>
  <c r="F538" i="1"/>
  <c r="D538" i="1"/>
  <c r="C538" i="1"/>
  <c r="B538" i="1"/>
  <c r="A539" i="1"/>
  <c r="E539" i="1"/>
  <c r="F539" i="1"/>
  <c r="D539" i="1"/>
  <c r="C539" i="1"/>
  <c r="B539" i="1"/>
  <c r="A540" i="1"/>
  <c r="E540" i="1"/>
  <c r="F540" i="1"/>
  <c r="D540" i="1"/>
  <c r="C540" i="1"/>
  <c r="B540" i="1"/>
  <c r="A541" i="1"/>
  <c r="E541" i="1"/>
  <c r="F541" i="1"/>
  <c r="D541" i="1"/>
  <c r="C541" i="1"/>
  <c r="B541" i="1"/>
  <c r="A542" i="1"/>
  <c r="E542" i="1"/>
  <c r="F542" i="1"/>
  <c r="D542" i="1"/>
  <c r="C542" i="1"/>
  <c r="B542" i="1"/>
  <c r="A543" i="1"/>
  <c r="E543" i="1"/>
  <c r="F543" i="1"/>
  <c r="D543" i="1"/>
  <c r="C543" i="1"/>
  <c r="B543" i="1"/>
  <c r="A544" i="1"/>
  <c r="E544" i="1"/>
  <c r="F544" i="1"/>
  <c r="D544" i="1"/>
  <c r="C544" i="1"/>
  <c r="B544" i="1"/>
  <c r="A545" i="1"/>
  <c r="E545" i="1"/>
  <c r="F545" i="1"/>
  <c r="D545" i="1"/>
  <c r="C545" i="1"/>
  <c r="B545" i="1"/>
  <c r="A546" i="1"/>
  <c r="E546" i="1"/>
  <c r="F546" i="1"/>
  <c r="C546" i="1"/>
  <c r="B546" i="1"/>
  <c r="A547" i="1"/>
  <c r="E547" i="1"/>
  <c r="F547" i="1"/>
  <c r="D547" i="1"/>
  <c r="C547" i="1"/>
  <c r="B547" i="1"/>
  <c r="A548" i="1"/>
  <c r="E548" i="1"/>
  <c r="F548" i="1"/>
  <c r="D548" i="1"/>
  <c r="C548" i="1"/>
  <c r="B548" i="1"/>
  <c r="A549" i="1"/>
  <c r="E549" i="1"/>
  <c r="F549" i="1"/>
  <c r="D549" i="1"/>
  <c r="C549" i="1"/>
  <c r="B549" i="1"/>
  <c r="A550" i="1"/>
  <c r="E550" i="1"/>
  <c r="F550" i="1"/>
  <c r="D550" i="1"/>
  <c r="C550" i="1"/>
  <c r="B550" i="1"/>
  <c r="A551" i="1"/>
  <c r="E551" i="1"/>
  <c r="F551" i="1"/>
  <c r="D551" i="1"/>
  <c r="C551" i="1"/>
  <c r="B551" i="1"/>
  <c r="A552" i="1"/>
  <c r="E552" i="1"/>
  <c r="F552" i="1"/>
  <c r="D552" i="1"/>
  <c r="C552" i="1"/>
  <c r="B552" i="1"/>
  <c r="A553" i="1"/>
  <c r="E553" i="1"/>
  <c r="F553" i="1"/>
  <c r="D553" i="1"/>
  <c r="C553" i="1"/>
  <c r="B553" i="1"/>
  <c r="A554" i="1"/>
  <c r="E554" i="1"/>
  <c r="F554" i="1"/>
  <c r="D554" i="1"/>
  <c r="C554" i="1"/>
  <c r="B554" i="1"/>
  <c r="A555" i="1"/>
  <c r="E555" i="1"/>
  <c r="F555" i="1"/>
  <c r="D555" i="1"/>
  <c r="C555" i="1"/>
  <c r="B555" i="1"/>
  <c r="A556" i="1"/>
  <c r="E556" i="1"/>
  <c r="F556" i="1"/>
  <c r="D556" i="1"/>
  <c r="C556" i="1"/>
  <c r="B556" i="1"/>
  <c r="A557" i="1"/>
  <c r="E557" i="1"/>
  <c r="F557" i="1"/>
  <c r="D557" i="1"/>
  <c r="C557" i="1"/>
  <c r="B557" i="1"/>
  <c r="A558" i="1"/>
  <c r="E558" i="1"/>
  <c r="F558" i="1"/>
  <c r="D558" i="1"/>
  <c r="C558" i="1"/>
  <c r="B558" i="1"/>
  <c r="A559" i="1"/>
  <c r="E559" i="1"/>
  <c r="F559" i="1"/>
  <c r="D559" i="1"/>
  <c r="C559" i="1"/>
  <c r="B559" i="1"/>
  <c r="A560" i="1"/>
  <c r="E560" i="1"/>
  <c r="F560" i="1"/>
  <c r="D560" i="1"/>
  <c r="C560" i="1"/>
  <c r="B560" i="1"/>
  <c r="A561" i="1"/>
  <c r="E561" i="1"/>
  <c r="F561" i="1"/>
  <c r="D561" i="1"/>
  <c r="C561" i="1"/>
  <c r="B561" i="1"/>
  <c r="A562" i="1"/>
  <c r="E562" i="1"/>
  <c r="F562" i="1"/>
  <c r="D562" i="1"/>
  <c r="C562" i="1"/>
  <c r="B562" i="1"/>
  <c r="A563" i="1"/>
  <c r="E563" i="1"/>
  <c r="F563" i="1"/>
  <c r="D563" i="1"/>
  <c r="C563" i="1"/>
  <c r="B563" i="1"/>
  <c r="A564" i="1"/>
  <c r="E564" i="1"/>
  <c r="F564" i="1"/>
  <c r="D564" i="1"/>
  <c r="C564" i="1"/>
  <c r="B564" i="1"/>
  <c r="A565" i="1"/>
  <c r="E565" i="1"/>
  <c r="F565" i="1"/>
  <c r="D565" i="1"/>
  <c r="C565" i="1"/>
  <c r="B565" i="1"/>
  <c r="A566" i="1"/>
  <c r="E566" i="1"/>
  <c r="F566" i="1"/>
  <c r="D566" i="1"/>
  <c r="C566" i="1"/>
  <c r="B566" i="1"/>
  <c r="A567" i="1"/>
  <c r="E567" i="1"/>
  <c r="F567" i="1"/>
  <c r="D567" i="1"/>
  <c r="C567" i="1"/>
  <c r="B567" i="1"/>
  <c r="A568" i="1"/>
  <c r="E568" i="1"/>
  <c r="F568" i="1"/>
  <c r="D568" i="1"/>
  <c r="C568" i="1"/>
  <c r="B568" i="1"/>
  <c r="A569" i="1"/>
  <c r="E569" i="1"/>
  <c r="F569" i="1"/>
  <c r="D569" i="1"/>
  <c r="C569" i="1"/>
  <c r="B569" i="1"/>
  <c r="A570" i="1"/>
  <c r="E570" i="1"/>
  <c r="F570" i="1"/>
  <c r="D570" i="1"/>
  <c r="C570" i="1"/>
  <c r="B570" i="1"/>
  <c r="A571" i="1"/>
  <c r="E571" i="1"/>
  <c r="F571" i="1"/>
  <c r="D571" i="1"/>
  <c r="C571" i="1"/>
  <c r="B571" i="1"/>
  <c r="A572" i="1"/>
  <c r="E572" i="1"/>
  <c r="F572" i="1"/>
  <c r="D572" i="1"/>
  <c r="C572" i="1"/>
  <c r="B572" i="1"/>
  <c r="A573" i="1"/>
  <c r="E573" i="1"/>
  <c r="F573" i="1"/>
  <c r="D573" i="1"/>
  <c r="C573" i="1"/>
  <c r="B573" i="1"/>
  <c r="A574" i="1"/>
  <c r="E574" i="1"/>
  <c r="F574" i="1"/>
  <c r="D574" i="1"/>
  <c r="C574" i="1"/>
  <c r="B574" i="1"/>
  <c r="A575" i="1"/>
  <c r="E575" i="1"/>
  <c r="F575" i="1"/>
  <c r="D575" i="1"/>
  <c r="C575" i="1"/>
  <c r="B575" i="1"/>
  <c r="A576" i="1"/>
  <c r="E576" i="1"/>
  <c r="F576" i="1"/>
  <c r="D576" i="1"/>
  <c r="C576" i="1"/>
  <c r="B576" i="1"/>
  <c r="A577" i="1"/>
  <c r="E577" i="1"/>
  <c r="F577" i="1"/>
  <c r="D577" i="1"/>
  <c r="C577" i="1"/>
  <c r="B577" i="1"/>
  <c r="A578" i="1"/>
  <c r="E578" i="1"/>
  <c r="F578" i="1"/>
  <c r="D578" i="1"/>
  <c r="C578" i="1"/>
  <c r="B578" i="1"/>
  <c r="A579" i="1"/>
  <c r="E579" i="1"/>
  <c r="F579" i="1"/>
  <c r="D579" i="1"/>
  <c r="C579" i="1"/>
  <c r="B579" i="1"/>
  <c r="A580" i="1"/>
  <c r="E580" i="1"/>
  <c r="F580" i="1"/>
  <c r="D580" i="1"/>
  <c r="C580" i="1"/>
  <c r="B580" i="1"/>
  <c r="A581" i="1"/>
  <c r="E581" i="1"/>
  <c r="F581" i="1"/>
  <c r="D581" i="1"/>
  <c r="C581" i="1"/>
  <c r="B581" i="1"/>
  <c r="A582" i="1"/>
  <c r="E582" i="1"/>
  <c r="F582" i="1"/>
  <c r="D582" i="1"/>
  <c r="C582" i="1"/>
  <c r="B582" i="1"/>
  <c r="A583" i="1"/>
  <c r="E583" i="1"/>
  <c r="F583" i="1"/>
  <c r="D583" i="1"/>
  <c r="C583" i="1"/>
  <c r="B583" i="1"/>
  <c r="A584" i="1"/>
  <c r="E584" i="1"/>
  <c r="F584" i="1"/>
  <c r="D584" i="1"/>
  <c r="C584" i="1"/>
  <c r="B584" i="1"/>
  <c r="A585" i="1"/>
  <c r="E585" i="1"/>
  <c r="F585" i="1"/>
  <c r="D585" i="1"/>
  <c r="C585" i="1"/>
  <c r="B585" i="1"/>
  <c r="A586" i="1"/>
  <c r="E586" i="1"/>
  <c r="F586" i="1"/>
  <c r="D586" i="1"/>
  <c r="C586" i="1"/>
  <c r="B586" i="1"/>
  <c r="A587" i="1"/>
  <c r="E587" i="1"/>
  <c r="F587" i="1"/>
  <c r="D587" i="1"/>
  <c r="C587" i="1"/>
  <c r="B587" i="1"/>
  <c r="A588" i="1"/>
  <c r="E588" i="1"/>
  <c r="F588" i="1"/>
  <c r="D588" i="1"/>
  <c r="C588" i="1"/>
  <c r="B588" i="1"/>
  <c r="A589" i="1"/>
  <c r="E589" i="1"/>
  <c r="F589" i="1"/>
  <c r="D589" i="1"/>
  <c r="C589" i="1"/>
  <c r="B589" i="1"/>
  <c r="A590" i="1"/>
  <c r="E590" i="1"/>
  <c r="F590" i="1"/>
  <c r="D590" i="1"/>
  <c r="C590" i="1"/>
  <c r="B590" i="1"/>
  <c r="A591" i="1"/>
  <c r="E591" i="1"/>
  <c r="F591" i="1"/>
  <c r="D591" i="1"/>
  <c r="C591" i="1"/>
  <c r="B591" i="1"/>
  <c r="A592" i="1"/>
  <c r="E592" i="1"/>
  <c r="F592" i="1"/>
  <c r="D592" i="1"/>
  <c r="C592" i="1"/>
  <c r="B592" i="1"/>
  <c r="A593" i="1"/>
  <c r="E593" i="1"/>
  <c r="F593" i="1"/>
  <c r="D593" i="1"/>
  <c r="C593" i="1"/>
  <c r="B593" i="1"/>
  <c r="A594" i="1"/>
  <c r="E594" i="1"/>
  <c r="F594" i="1"/>
  <c r="D594" i="1"/>
  <c r="C594" i="1"/>
  <c r="B594" i="1"/>
  <c r="A595" i="1"/>
  <c r="E595" i="1"/>
  <c r="F595" i="1"/>
  <c r="D595" i="1"/>
  <c r="C595" i="1"/>
  <c r="B595" i="1"/>
  <c r="A596" i="1"/>
  <c r="E596" i="1"/>
  <c r="F596" i="1"/>
  <c r="D596" i="1"/>
  <c r="C596" i="1"/>
  <c r="B596" i="1"/>
  <c r="A597" i="1"/>
  <c r="E597" i="1"/>
  <c r="F597" i="1"/>
  <c r="D597" i="1"/>
  <c r="C597" i="1"/>
  <c r="B597" i="1"/>
  <c r="A598" i="1"/>
  <c r="E598" i="1"/>
  <c r="F598" i="1"/>
  <c r="D598" i="1"/>
  <c r="C598" i="1"/>
  <c r="B598" i="1"/>
  <c r="A599" i="1"/>
  <c r="E599" i="1"/>
  <c r="F599" i="1"/>
  <c r="D599" i="1"/>
  <c r="C599" i="1"/>
  <c r="B599" i="1"/>
  <c r="A600" i="1"/>
  <c r="E600" i="1"/>
  <c r="F600" i="1"/>
  <c r="D600" i="1"/>
  <c r="C600" i="1"/>
  <c r="B600" i="1"/>
  <c r="A601" i="1"/>
  <c r="E601" i="1"/>
  <c r="F601" i="1"/>
  <c r="D601" i="1"/>
  <c r="C601" i="1"/>
  <c r="B601" i="1"/>
  <c r="A602" i="1"/>
  <c r="E602" i="1"/>
  <c r="F602" i="1"/>
  <c r="D602" i="1"/>
  <c r="C602" i="1"/>
  <c r="B602" i="1"/>
  <c r="A603" i="1"/>
  <c r="E603" i="1"/>
  <c r="F603" i="1"/>
  <c r="D603" i="1"/>
  <c r="C603" i="1"/>
  <c r="B603" i="1"/>
  <c r="A604" i="1"/>
  <c r="E604" i="1"/>
  <c r="F604" i="1"/>
  <c r="D604" i="1"/>
  <c r="C604" i="1"/>
  <c r="B604" i="1"/>
  <c r="A605" i="1"/>
  <c r="E605" i="1"/>
  <c r="F605" i="1"/>
  <c r="D605" i="1"/>
  <c r="C605" i="1"/>
  <c r="B605" i="1"/>
  <c r="A606" i="1"/>
  <c r="E606" i="1"/>
  <c r="F606" i="1"/>
  <c r="D606" i="1"/>
  <c r="C606" i="1"/>
  <c r="B606" i="1"/>
  <c r="A607" i="1"/>
  <c r="E607" i="1"/>
  <c r="F607" i="1"/>
  <c r="D607" i="1"/>
  <c r="C607" i="1"/>
  <c r="B607" i="1"/>
</calcChain>
</file>

<file path=xl/sharedStrings.xml><?xml version="1.0" encoding="utf-8"?>
<sst xmlns="http://schemas.openxmlformats.org/spreadsheetml/2006/main" count="6" uniqueCount="6">
  <si>
    <t>開設者氏名</t>
  </si>
  <si>
    <t>許可番号</t>
    <phoneticPr fontId="18"/>
  </si>
  <si>
    <t>営業所の名称</t>
    <rPh sb="0" eb="3">
      <t>エイギョウショ</t>
    </rPh>
    <phoneticPr fontId="18"/>
  </si>
  <si>
    <t>営業所の所在地</t>
    <rPh sb="0" eb="3">
      <t>エイギョウショ</t>
    </rPh>
    <phoneticPr fontId="18"/>
  </si>
  <si>
    <t>有効期間（終）</t>
    <rPh sb="2" eb="4">
      <t>キカン</t>
    </rPh>
    <rPh sb="5" eb="6">
      <t>オ</t>
    </rPh>
    <phoneticPr fontId="18"/>
  </si>
  <si>
    <t>有効期間（始）</t>
    <rPh sb="2" eb="4">
      <t>キカン</t>
    </rPh>
    <rPh sb="5" eb="6">
      <t>ハジ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</si>
</sst>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7"/>
  <sheetViews>
    <sheetView tabSelected="1" topLeftCell="C466" workbookViewId="0">
      <selection activeCell="F11" sqref="F11"/>
    </sheetView>
  </sheetViews>
  <sheetFormatPr defaultRowHeight="13" x14ac:dyDescent="0.2"/>
  <cols>
    <col min="1" max="1" width="9.26953125" bestFit="1" customWidth="1"/>
    <col min="2" max="2" width="42" bestFit="1" customWidth="1"/>
    <col min="3" max="3" width="60.453125" bestFit="1" customWidth="1"/>
    <col min="4" max="4" width="47.1796875" bestFit="1" customWidth="1"/>
    <col min="5" max="6" width="13.54296875" bestFit="1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3</v>
      </c>
      <c r="E1" t="s">
        <v>5</v>
      </c>
      <c r="F1" t="s">
        <v>4</v>
      </c>
    </row>
    <row r="2" spans="1:6" x14ac:dyDescent="0.2">
      <c r="A2" t="str">
        <f>"第1502号"</f>
        <v>第1502号</v>
      </c>
      <c r="B2" t="str">
        <f>"株式会社エヴァ・ライフ"</f>
        <v>株式会社エヴァ・ライフ</v>
      </c>
      <c r="C2" t="str">
        <f>"ベストケア山鹿"</f>
        <v>ベストケア山鹿</v>
      </c>
      <c r="D2" t="str">
        <f>"山鹿市古閑１２８２－１"</f>
        <v>山鹿市古閑１２８２－１</v>
      </c>
      <c r="E2" t="str">
        <f>"R07.05.17"</f>
        <v>R07.05.17</v>
      </c>
      <c r="F2" t="str">
        <f>"R13.05.16"</f>
        <v>R13.05.16</v>
      </c>
    </row>
    <row r="3" spans="1:6" x14ac:dyDescent="0.2">
      <c r="A3" t="str">
        <f>"第1310号"</f>
        <v>第1310号</v>
      </c>
      <c r="B3" t="str">
        <f>"有限会社エース・薬局"</f>
        <v>有限会社エース・薬局</v>
      </c>
      <c r="C3" t="str">
        <f>"エース・薬局"</f>
        <v>エース・薬局</v>
      </c>
      <c r="D3" t="str">
        <f>"山鹿市古閑１０００番地１"</f>
        <v>山鹿市古閑１０００番地１</v>
      </c>
      <c r="E3" t="str">
        <f>"R07.01.01"</f>
        <v>R07.01.01</v>
      </c>
      <c r="F3" t="str">
        <f>"R12.12.31"</f>
        <v>R12.12.31</v>
      </c>
    </row>
    <row r="4" spans="1:6" x14ac:dyDescent="0.2">
      <c r="A4" t="str">
        <f>"第822号"</f>
        <v>第822号</v>
      </c>
      <c r="B4" t="str">
        <f>"株式会社ヨネザワ"</f>
        <v>株式会社ヨネザワ</v>
      </c>
      <c r="C4" t="str">
        <f>"メガネのヨネザワ鹿本店"</f>
        <v>メガネのヨネザワ鹿本店</v>
      </c>
      <c r="D4" t="str">
        <f>"山鹿市鹿本町御宇田６６３－２"</f>
        <v>山鹿市鹿本町御宇田６６３－２</v>
      </c>
      <c r="E4" t="str">
        <f>"R07.01.01"</f>
        <v>R07.01.01</v>
      </c>
      <c r="F4" t="str">
        <f>"R12.12.31"</f>
        <v>R12.12.31</v>
      </c>
    </row>
    <row r="5" spans="1:6" x14ac:dyDescent="0.2">
      <c r="A5" t="str">
        <f>"第1703号"</f>
        <v>第1703号</v>
      </c>
      <c r="B5" t="str">
        <f>"株式会社トリグラフ"</f>
        <v>株式会社トリグラフ</v>
      </c>
      <c r="C5" t="str">
        <f>"眼鏡市場　MrMAX山鹿店"</f>
        <v>眼鏡市場　MrMAX山鹿店</v>
      </c>
      <c r="D5" t="str">
        <f>"山鹿市方保田３４６２－１"</f>
        <v>山鹿市方保田３４６２－１</v>
      </c>
      <c r="E5" t="str">
        <f>"R06.10.15"</f>
        <v>R06.10.15</v>
      </c>
      <c r="F5" t="str">
        <f>"R12.10.14"</f>
        <v>R12.10.14</v>
      </c>
    </row>
    <row r="6" spans="1:6" x14ac:dyDescent="0.2">
      <c r="A6" t="str">
        <f>"第1686号"</f>
        <v>第1686号</v>
      </c>
      <c r="B6" t="str">
        <f>"クオール株式会社"</f>
        <v>クオール株式会社</v>
      </c>
      <c r="C6" t="str">
        <f>"クオール薬局山鹿店"</f>
        <v>クオール薬局山鹿店</v>
      </c>
      <c r="D6" t="str">
        <f>"山鹿市山鹿１４７９"</f>
        <v>山鹿市山鹿１４７９</v>
      </c>
      <c r="E6" t="str">
        <f>"R06.03.14"</f>
        <v>R06.03.14</v>
      </c>
      <c r="F6" t="str">
        <f>"R12.03.13"</f>
        <v>R12.03.13</v>
      </c>
    </row>
    <row r="7" spans="1:6" x14ac:dyDescent="0.2">
      <c r="A7" t="str">
        <f>"第1414号"</f>
        <v>第1414号</v>
      </c>
      <c r="B7" t="str">
        <f>"株式会社ＢＯＯＫＳあんとく"</f>
        <v>株式会社ＢＯＯＫＳあんとく</v>
      </c>
      <c r="C7" t="str">
        <f>"ＢＯＯＫＳあんとく　山鹿店"</f>
        <v>ＢＯＯＫＳあんとく　山鹿店</v>
      </c>
      <c r="D7" t="str">
        <f>"山鹿市山鹿７５４－１"</f>
        <v>山鹿市山鹿７５４－１</v>
      </c>
      <c r="E7" t="str">
        <f>"R05.03.27"</f>
        <v>R05.03.27</v>
      </c>
      <c r="F7" t="str">
        <f>"R11.03.26"</f>
        <v>R11.03.26</v>
      </c>
    </row>
    <row r="8" spans="1:6" x14ac:dyDescent="0.2">
      <c r="A8" t="str">
        <f>"第1085号"</f>
        <v>第1085号</v>
      </c>
      <c r="B8" t="str">
        <f>"株式会社　ドラッグストアモリ"</f>
        <v>株式会社　ドラッグストアモリ</v>
      </c>
      <c r="C8" t="str">
        <f>"ドラッグストアモリ山鹿店"</f>
        <v>ドラッグストアモリ山鹿店</v>
      </c>
      <c r="D8" t="str">
        <f>"山鹿市古閑１０７４番地１"</f>
        <v>山鹿市古閑１０７４番地１</v>
      </c>
      <c r="E8" t="str">
        <f>"R05.07.19"</f>
        <v>R05.07.19</v>
      </c>
      <c r="F8" t="str">
        <f>"R11.07.18"</f>
        <v>R11.07.18</v>
      </c>
    </row>
    <row r="9" spans="1:6" x14ac:dyDescent="0.2">
      <c r="A9" t="str">
        <f>"第243号"</f>
        <v>第243号</v>
      </c>
      <c r="B9" t="str">
        <f>"有限会社三栄商会"</f>
        <v>有限会社三栄商会</v>
      </c>
      <c r="C9" t="str">
        <f>"サンエイ・メディカル"</f>
        <v>サンエイ・メディカル</v>
      </c>
      <c r="D9" t="str">
        <f>"山鹿市中央通４０６"</f>
        <v>山鹿市中央通４０６</v>
      </c>
      <c r="E9" t="str">
        <f>"R05.01.01"</f>
        <v>R05.01.01</v>
      </c>
      <c r="F9" t="str">
        <f>"R10.12.31"</f>
        <v>R10.12.31</v>
      </c>
    </row>
    <row r="10" spans="1:6" x14ac:dyDescent="0.2">
      <c r="A10" t="str">
        <f>"第1470号"</f>
        <v>第1470号</v>
      </c>
      <c r="B10" t="str">
        <f>"株式会社ＶＥＮＵＳ"</f>
        <v>株式会社ＶＥＮＵＳ</v>
      </c>
      <c r="C10" t="str">
        <f>"山鹿いちご薬局"</f>
        <v>山鹿いちご薬局</v>
      </c>
      <c r="D10" t="str">
        <f>"山鹿市大橋通６０８番地"</f>
        <v>山鹿市大橋通６０８番地</v>
      </c>
      <c r="E10" t="str">
        <f>"R06.07.01"</f>
        <v>R06.07.01</v>
      </c>
      <c r="F10" t="str">
        <f>"R12.06.30"</f>
        <v>R12.06.30</v>
      </c>
    </row>
    <row r="11" spans="1:6" x14ac:dyDescent="0.2">
      <c r="A11" t="str">
        <f>"第1462号"</f>
        <v>第1462号</v>
      </c>
      <c r="B11" t="str">
        <f>"株式会社ＳＫＹ　ＣＲＥＡＴＥ"</f>
        <v>株式会社ＳＫＹ　ＣＲＥＡＴＥ</v>
      </c>
      <c r="C11" t="str">
        <f>"海浜総合薬局　山鹿店"</f>
        <v>海浜総合薬局　山鹿店</v>
      </c>
      <c r="D11" t="str">
        <f>"山鹿市新町２０５番地２"</f>
        <v>山鹿市新町２０５番地２</v>
      </c>
      <c r="E11" t="str">
        <f>"R06.04.16"</f>
        <v>R06.04.16</v>
      </c>
      <c r="F11" t="str">
        <f>"R12.04.15"</f>
        <v>R12.04.15</v>
      </c>
    </row>
    <row r="12" spans="1:6" x14ac:dyDescent="0.2">
      <c r="A12" t="str">
        <f>"第1024号"</f>
        <v>第1024号</v>
      </c>
      <c r="B12" t="str">
        <f>"鹿本菊池地区薬局事業協同組合"</f>
        <v>鹿本菊池地区薬局事業協同組合</v>
      </c>
      <c r="C12" t="str">
        <f>"城北中央薬局"</f>
        <v>城北中央薬局</v>
      </c>
      <c r="D12" t="str">
        <f>"山鹿市山鹿４９９－３番地"</f>
        <v>山鹿市山鹿４９９－３番地</v>
      </c>
      <c r="E12" t="str">
        <f>"R04.05.01"</f>
        <v>R04.05.01</v>
      </c>
      <c r="F12" t="str">
        <f>"R10.04.30"</f>
        <v>R10.04.30</v>
      </c>
    </row>
    <row r="13" spans="1:6" x14ac:dyDescent="0.2">
      <c r="A13" t="str">
        <f>"第636号"</f>
        <v>第636号</v>
      </c>
      <c r="B13" t="str">
        <f>"有限会社江上薬局"</f>
        <v>有限会社江上薬局</v>
      </c>
      <c r="C13" t="str">
        <f>"江上薬局大橋通"</f>
        <v>江上薬局大橋通</v>
      </c>
      <c r="D13" t="str">
        <f>"山鹿市大橋通７０４－１"</f>
        <v>山鹿市大橋通７０４－１</v>
      </c>
      <c r="E13" t="str">
        <f>"R06.01.01"</f>
        <v>R06.01.01</v>
      </c>
      <c r="F13" t="str">
        <f>"R11.12.31"</f>
        <v>R11.12.31</v>
      </c>
    </row>
    <row r="14" spans="1:6" x14ac:dyDescent="0.2">
      <c r="A14" t="str">
        <f>"第1645号"</f>
        <v>第1645号</v>
      </c>
      <c r="B14" t="str">
        <f>"株式会社コスモス薬品"</f>
        <v>株式会社コスモス薬品</v>
      </c>
      <c r="C14" t="str">
        <f>"ドラッグコスモス鹿本店"</f>
        <v>ドラッグコスモス鹿本店</v>
      </c>
      <c r="D14" t="str">
        <f>"山鹿市鹿本町御宇田水洗６６１"</f>
        <v>山鹿市鹿本町御宇田水洗６６１</v>
      </c>
      <c r="E14" t="str">
        <f>"R05.05.29"</f>
        <v>R05.05.29</v>
      </c>
      <c r="F14" t="str">
        <f>"R11.05.28"</f>
        <v>R11.05.28</v>
      </c>
    </row>
    <row r="15" spans="1:6" x14ac:dyDescent="0.2">
      <c r="A15" t="str">
        <f>"第1644号"</f>
        <v>第1644号</v>
      </c>
      <c r="B15" t="str">
        <f>"株式会社コスモス薬品"</f>
        <v>株式会社コスモス薬品</v>
      </c>
      <c r="C15" t="str">
        <f>"ドラッグコスモス山鹿店"</f>
        <v>ドラッグコスモス山鹿店</v>
      </c>
      <c r="D15" t="str">
        <f>"山鹿市古閑１０２９－１"</f>
        <v>山鹿市古閑１０２９－１</v>
      </c>
      <c r="E15" t="str">
        <f>"R05.05.29"</f>
        <v>R05.05.29</v>
      </c>
      <c r="F15" t="str">
        <f>"R11.05.28"</f>
        <v>R11.05.28</v>
      </c>
    </row>
    <row r="16" spans="1:6" x14ac:dyDescent="0.2">
      <c r="A16" t="str">
        <f>"第1072号"</f>
        <v>第1072号</v>
      </c>
      <c r="B16" t="str">
        <f>"澤井　一乃介"</f>
        <v>澤井　一乃介</v>
      </c>
      <c r="C16" t="str">
        <f>"サワイメディカル"</f>
        <v>サワイメディカル</v>
      </c>
      <c r="D16" t="str">
        <f>"山鹿市小原２８４５"</f>
        <v>山鹿市小原２８４５</v>
      </c>
      <c r="E16" t="str">
        <f>"R05.05.09"</f>
        <v>R05.05.09</v>
      </c>
      <c r="F16" t="str">
        <f>"R11.05.08"</f>
        <v>R11.05.08</v>
      </c>
    </row>
    <row r="17" spans="1:6" x14ac:dyDescent="0.2">
      <c r="A17" t="str">
        <f>"第242号"</f>
        <v>第242号</v>
      </c>
      <c r="B17" t="str">
        <f>"株式会社ヨネザワ"</f>
        <v>株式会社ヨネザワ</v>
      </c>
      <c r="C17" t="str">
        <f>"ヨネザワコンタクト鹿本店"</f>
        <v>ヨネザワコンタクト鹿本店</v>
      </c>
      <c r="D17" t="str">
        <f>"山鹿市鹿本町御宇田７２２－１"</f>
        <v>山鹿市鹿本町御宇田７２２－１</v>
      </c>
      <c r="E17" t="str">
        <f>"R05.01.01"</f>
        <v>R05.01.01</v>
      </c>
      <c r="F17" t="str">
        <f>"R10.12.31"</f>
        <v>R10.12.31</v>
      </c>
    </row>
    <row r="18" spans="1:6" x14ac:dyDescent="0.2">
      <c r="A18" t="str">
        <f>"第1381号"</f>
        <v>第1381号</v>
      </c>
      <c r="B18" t="str">
        <f>"合同会社山鹿ＣＬ"</f>
        <v>合同会社山鹿ＣＬ</v>
      </c>
      <c r="C18" t="str">
        <f>"合同会社山鹿ＣＬ"</f>
        <v>合同会社山鹿ＣＬ</v>
      </c>
      <c r="D18" t="str">
        <f>"山鹿市山鹿９９２番地８"</f>
        <v>山鹿市山鹿９９２番地８</v>
      </c>
      <c r="E18" t="str">
        <f>"R04.01.14"</f>
        <v>R04.01.14</v>
      </c>
      <c r="F18" t="str">
        <f>"R10.01.13"</f>
        <v>R10.01.13</v>
      </c>
    </row>
    <row r="19" spans="1:6" x14ac:dyDescent="0.2">
      <c r="A19" t="str">
        <f>"第987号"</f>
        <v>第987号</v>
      </c>
      <c r="B19" t="str">
        <f>"有限会社まつ薬局"</f>
        <v>有限会社まつ薬局</v>
      </c>
      <c r="C19" t="str">
        <f>"まつ薬局"</f>
        <v>まつ薬局</v>
      </c>
      <c r="D19" t="str">
        <f>"山鹿市山鹿１番地"</f>
        <v>山鹿市山鹿１番地</v>
      </c>
      <c r="E19" t="str">
        <f>"R03.12.12"</f>
        <v>R03.12.12</v>
      </c>
      <c r="F19" t="str">
        <f>"R09.12.11"</f>
        <v>R09.12.11</v>
      </c>
    </row>
    <row r="20" spans="1:6" x14ac:dyDescent="0.2">
      <c r="A20" t="str">
        <f>"第1373号"</f>
        <v>第1373号</v>
      </c>
      <c r="B20" t="str">
        <f>"株式会社K’Sファーマシー"</f>
        <v>株式会社K’Sファーマシー</v>
      </c>
      <c r="C20" t="str">
        <f>"鹿校通薬局"</f>
        <v>鹿校通薬局</v>
      </c>
      <c r="D20" t="str">
        <f>"山鹿市鹿校通三丁目２番４５－２号"</f>
        <v>山鹿市鹿校通三丁目２番４５－２号</v>
      </c>
      <c r="E20" t="str">
        <f>"R03.11.01"</f>
        <v>R03.11.01</v>
      </c>
      <c r="F20" t="str">
        <f>"R09.10.31"</f>
        <v>R09.10.31</v>
      </c>
    </row>
    <row r="21" spans="1:6" x14ac:dyDescent="0.2">
      <c r="A21" t="str">
        <f>"第1343号"</f>
        <v>第1343号</v>
      </c>
      <c r="B21" t="str">
        <f>"株式会社キラキラファーマ"</f>
        <v>株式会社キラキラファーマ</v>
      </c>
      <c r="C21" t="str">
        <f>"きらきら薬局"</f>
        <v>きらきら薬局</v>
      </c>
      <c r="D21" t="str">
        <f>"山鹿市中９７４"</f>
        <v>山鹿市中９７４</v>
      </c>
      <c r="E21" t="str">
        <f>"R03.02.13"</f>
        <v>R03.02.13</v>
      </c>
      <c r="F21" t="str">
        <f>"R09.02.12"</f>
        <v>R09.02.12</v>
      </c>
    </row>
    <row r="22" spans="1:6" x14ac:dyDescent="0.2">
      <c r="A22" t="str">
        <f>"第1281号"</f>
        <v>第1281号</v>
      </c>
      <c r="B22" t="str">
        <f>"株式会社ヨネザワ"</f>
        <v>株式会社ヨネザワ</v>
      </c>
      <c r="C22" t="str">
        <f>"メガネのヨネザワ　山鹿店"</f>
        <v>メガネのヨネザワ　山鹿店</v>
      </c>
      <c r="D22" t="str">
        <f>"山鹿市中８２５"</f>
        <v>山鹿市中８２５</v>
      </c>
      <c r="E22" t="str">
        <f>"R02.04.03"</f>
        <v>R02.04.03</v>
      </c>
      <c r="F22" t="str">
        <f>"R08.04.02"</f>
        <v>R08.04.02</v>
      </c>
    </row>
    <row r="23" spans="1:6" x14ac:dyDescent="0.2">
      <c r="A23" t="str">
        <f>"第1534号"</f>
        <v>第1534号</v>
      </c>
      <c r="B23" t="str">
        <f>"Ｇｒｏｗ　Ｕｐ株式会社"</f>
        <v>Ｇｒｏｗ　Ｕｐ株式会社</v>
      </c>
      <c r="C23" t="str">
        <f>"えいせい堂薬局"</f>
        <v>えいせい堂薬局</v>
      </c>
      <c r="D23" t="str">
        <f>"山鹿市山鹿３４３番地４"</f>
        <v>山鹿市山鹿３４３番地４</v>
      </c>
      <c r="E23" t="str">
        <f>"R02.07.13"</f>
        <v>R02.07.13</v>
      </c>
      <c r="F23" t="str">
        <f>"R08.03.31"</f>
        <v>R08.03.31</v>
      </c>
    </row>
    <row r="24" spans="1:6" x14ac:dyDescent="0.2">
      <c r="A24" t="str">
        <f>"第1264号"</f>
        <v>第1264号</v>
      </c>
      <c r="B24" t="str">
        <f>"吉野　勝哉"</f>
        <v>吉野　勝哉</v>
      </c>
      <c r="C24" t="str">
        <f>"ハニー薬局"</f>
        <v>ハニー薬局</v>
      </c>
      <c r="D24" t="str">
        <f>"山鹿市熊入町３１５"</f>
        <v>山鹿市熊入町３１５</v>
      </c>
      <c r="E24" t="str">
        <f>"R01.12.18"</f>
        <v>R01.12.18</v>
      </c>
      <c r="F24" t="str">
        <f>"R07.12.17"</f>
        <v>R07.12.17</v>
      </c>
    </row>
    <row r="25" spans="1:6" x14ac:dyDescent="0.2">
      <c r="A25" t="str">
        <f>"第1386号"</f>
        <v>第1386号</v>
      </c>
      <c r="B25" t="str">
        <f>"一般社団法人健康共同ファルマ"</f>
        <v>一般社団法人健康共同ファルマ</v>
      </c>
      <c r="C25" t="str">
        <f>"たんぽぽ薬局"</f>
        <v>たんぽぽ薬局</v>
      </c>
      <c r="D25" t="str">
        <f>"菊池郡菊陽町原水字下中野５５８７－４"</f>
        <v>菊池郡菊陽町原水字下中野５５８７－４</v>
      </c>
      <c r="E25" t="str">
        <f>"R04.04.01"</f>
        <v>R04.04.01</v>
      </c>
      <c r="F25" t="str">
        <f>"R10.03.31"</f>
        <v>R10.03.31</v>
      </c>
    </row>
    <row r="26" spans="1:6" x14ac:dyDescent="0.2">
      <c r="A26" t="str">
        <f>"第1596号"</f>
        <v>第1596号</v>
      </c>
      <c r="B26" t="str">
        <f>"株式会社ファーマダイワ"</f>
        <v>株式会社ファーマダイワ</v>
      </c>
      <c r="C26" t="str">
        <f>"ひまわり薬局　西合志店"</f>
        <v>ひまわり薬局　西合志店</v>
      </c>
      <c r="D26" t="str">
        <f>"合志市須屋２６６５－１０"</f>
        <v>合志市須屋２６６５－１０</v>
      </c>
      <c r="E26" t="str">
        <f>"R03.11.01"</f>
        <v>R03.11.01</v>
      </c>
      <c r="F26" t="str">
        <f>"R09.10.31"</f>
        <v>R09.10.31</v>
      </c>
    </row>
    <row r="27" spans="1:6" x14ac:dyDescent="0.2">
      <c r="A27" t="str">
        <f>"第1733号"</f>
        <v>第1733号</v>
      </c>
      <c r="B27" t="str">
        <f>"株式会社ファーマダイワ"</f>
        <v>株式会社ファーマダイワ</v>
      </c>
      <c r="C27" t="str">
        <f>"あいおい薬局"</f>
        <v>あいおい薬局</v>
      </c>
      <c r="D27" t="str">
        <f>"合志市合生３８２８番３"</f>
        <v>合志市合生３８２８番３</v>
      </c>
      <c r="E27" t="str">
        <f>"R07.06.10"</f>
        <v>R07.06.10</v>
      </c>
      <c r="F27" t="str">
        <f>"R13.06.09"</f>
        <v>R13.06.09</v>
      </c>
    </row>
    <row r="28" spans="1:6" x14ac:dyDescent="0.2">
      <c r="A28" t="str">
        <f>"第259号"</f>
        <v>第259号</v>
      </c>
      <c r="B28" t="str">
        <f>"総合メディカル株式会社"</f>
        <v>総合メディカル株式会社</v>
      </c>
      <c r="C28" t="str">
        <f>"そうごう薬局　菊池店"</f>
        <v>そうごう薬局　菊池店</v>
      </c>
      <c r="D28" t="str">
        <f>"菊池市隈府南古町４７２－５"</f>
        <v>菊池市隈府南古町４７２－５</v>
      </c>
      <c r="E28" t="str">
        <f>"R05.01.01"</f>
        <v>R05.01.01</v>
      </c>
      <c r="F28" t="str">
        <f>"R10.12.31"</f>
        <v>R10.12.31</v>
      </c>
    </row>
    <row r="29" spans="1:6" x14ac:dyDescent="0.2">
      <c r="A29" t="str">
        <f>"第1047号"</f>
        <v>第1047号</v>
      </c>
      <c r="B29" t="str">
        <f>"総合メディカル株式会社"</f>
        <v>総合メディカル株式会社</v>
      </c>
      <c r="C29" t="str">
        <f>"そうごう薬局　合志店"</f>
        <v>そうごう薬局　合志店</v>
      </c>
      <c r="D29" t="str">
        <f>"合志市須屋字中ノ平１４１５番地６"</f>
        <v>合志市須屋字中ノ平１４１５番地６</v>
      </c>
      <c r="E29" t="str">
        <f>"R04.01.01"</f>
        <v>R04.01.01</v>
      </c>
      <c r="F29" t="str">
        <f>"R09.12.31"</f>
        <v>R09.12.31</v>
      </c>
    </row>
    <row r="30" spans="1:6" x14ac:dyDescent="0.2">
      <c r="A30" t="str">
        <f>"第1350号"</f>
        <v>第1350号</v>
      </c>
      <c r="B30" t="str">
        <f>"株式会社イズミ"</f>
        <v>株式会社イズミ</v>
      </c>
      <c r="C30" t="str">
        <f>"メディカルワン　光の森店"</f>
        <v>メディカルワン　光の森店</v>
      </c>
      <c r="D30" t="str">
        <f>"菊池郡菊陽町光の森７丁目３３－１"</f>
        <v>菊池郡菊陽町光の森７丁目３３－１</v>
      </c>
      <c r="E30" t="str">
        <f>"R03.04.22"</f>
        <v>R03.04.22</v>
      </c>
      <c r="F30" t="str">
        <f>"R09.04.21"</f>
        <v>R09.04.21</v>
      </c>
    </row>
    <row r="31" spans="1:6" x14ac:dyDescent="0.2">
      <c r="A31" t="str">
        <f>"第857号"</f>
        <v>第857号</v>
      </c>
      <c r="B31" t="str">
        <f>"株式会社　イズミ車体製作所"</f>
        <v>株式会社　イズミ車体製作所</v>
      </c>
      <c r="C31" t="str">
        <f>"株式会社　イズミ車体製作所"</f>
        <v>株式会社　イズミ車体製作所</v>
      </c>
      <c r="D31" t="str">
        <f>"菊池郡大津町大字岩坂３２５８－４"</f>
        <v>菊池郡大津町大字岩坂３２５８－４</v>
      </c>
      <c r="E31" t="str">
        <f>"R02.01.01"</f>
        <v>R02.01.01</v>
      </c>
      <c r="F31" t="str">
        <f>"R07.12.31"</f>
        <v>R07.12.31</v>
      </c>
    </row>
    <row r="32" spans="1:6" x14ac:dyDescent="0.2">
      <c r="A32" t="str">
        <f>"第1708号"</f>
        <v>第1708号</v>
      </c>
      <c r="B32" t="str">
        <f>"イオンウエルシア九州株式会社"</f>
        <v>イオンウエルシア九州株式会社</v>
      </c>
      <c r="C32" t="str">
        <f>"ウエルシアプラス薬局永江団地店"</f>
        <v>ウエルシアプラス薬局永江団地店</v>
      </c>
      <c r="D32" t="str">
        <f>"合志市幾久富１８６６―１３９５"</f>
        <v>合志市幾久富１８６６―１３９５</v>
      </c>
      <c r="E32" t="str">
        <f>"R06.12.09"</f>
        <v>R06.12.09</v>
      </c>
      <c r="F32" t="str">
        <f>"R12.12.08"</f>
        <v>R12.12.08</v>
      </c>
    </row>
    <row r="33" spans="1:6" x14ac:dyDescent="0.2">
      <c r="A33" t="str">
        <f>"第1505号"</f>
        <v>第1505号</v>
      </c>
      <c r="B33" t="str">
        <f>"株式会社ｆｏｕｒｌｅａｆｃｌｏｖｅｒ"</f>
        <v>株式会社ｆｏｕｒｌｅａｆｃｌｏｖｅｒ</v>
      </c>
      <c r="C33" t="str">
        <f>"みつばち薬局"</f>
        <v>みつばち薬局</v>
      </c>
      <c r="D33" t="str">
        <f>"菊池市隈府９５２番地１"</f>
        <v>菊池市隈府９５２番地１</v>
      </c>
      <c r="E33" t="str">
        <f>"R07.06.18"</f>
        <v>R07.06.18</v>
      </c>
      <c r="F33" t="str">
        <f>"R13.06.17"</f>
        <v>R13.06.17</v>
      </c>
    </row>
    <row r="34" spans="1:6" x14ac:dyDescent="0.2">
      <c r="A34" t="str">
        <f>"第1729号"</f>
        <v>第1729号</v>
      </c>
      <c r="B34" t="str">
        <f>"株式会社ヨネザワ"</f>
        <v>株式会社ヨネザワ</v>
      </c>
      <c r="C34" t="str">
        <f>"ヨネザワコンタクト　イオン大津店"</f>
        <v>ヨネザワコンタクト　イオン大津店</v>
      </c>
      <c r="D34" t="str">
        <f>"菊池郡大津町大字室１３７"</f>
        <v>菊池郡大津町大字室１３７</v>
      </c>
      <c r="E34" t="str">
        <f>"R07.05.13"</f>
        <v>R07.05.13</v>
      </c>
      <c r="F34" t="str">
        <f>"R13.05.12"</f>
        <v>R13.05.12</v>
      </c>
    </row>
    <row r="35" spans="1:6" x14ac:dyDescent="0.2">
      <c r="A35" t="str">
        <f>"第248号"</f>
        <v>第248号</v>
      </c>
      <c r="B35" t="str">
        <f>"株式会社アトル"</f>
        <v>株式会社アトル</v>
      </c>
      <c r="C35" t="str">
        <f>"株式会社アトル　大津支店"</f>
        <v>株式会社アトル　大津支店</v>
      </c>
      <c r="D35" t="str">
        <f>"菊池郡大津町大字森字居島７８９－２"</f>
        <v>菊池郡大津町大字森字居島７８９－２</v>
      </c>
      <c r="E35" t="str">
        <f>"R05.01.01"</f>
        <v>R05.01.01</v>
      </c>
      <c r="F35" t="str">
        <f>"R10.12.31"</f>
        <v>R10.12.31</v>
      </c>
    </row>
    <row r="36" spans="1:6" x14ac:dyDescent="0.2">
      <c r="A36" t="str">
        <f>"第1298号"</f>
        <v>第1298号</v>
      </c>
      <c r="B36" t="str">
        <f>"株式会社なの花九州"</f>
        <v>株式会社なの花九州</v>
      </c>
      <c r="C36" t="str">
        <f>"菊南薬局"</f>
        <v>菊南薬局</v>
      </c>
      <c r="D36" t="str">
        <f>"合志市須屋７０８－６"</f>
        <v>合志市須屋７０８－６</v>
      </c>
      <c r="E36" t="str">
        <f>"R02.07.01"</f>
        <v>R02.07.01</v>
      </c>
      <c r="F36" t="str">
        <f>"R08.06.30"</f>
        <v>R08.06.30</v>
      </c>
    </row>
    <row r="37" spans="1:6" x14ac:dyDescent="0.2">
      <c r="A37" t="str">
        <f>"第1510号"</f>
        <v>第1510号</v>
      </c>
      <c r="B37" t="str">
        <f>"有限会社呉服薬局"</f>
        <v>有限会社呉服薬局</v>
      </c>
      <c r="C37" t="str">
        <f>"大津ごふく薬局"</f>
        <v>大津ごふく薬局</v>
      </c>
      <c r="D37" t="str">
        <f>"菊池郡大津町室９２５－５"</f>
        <v>菊池郡大津町室９２５－５</v>
      </c>
      <c r="E37" t="str">
        <f>"R07.01.01"</f>
        <v>R07.01.01</v>
      </c>
      <c r="F37" t="str">
        <f>"R12.12.31"</f>
        <v>R12.12.31</v>
      </c>
    </row>
    <row r="38" spans="1:6" x14ac:dyDescent="0.2">
      <c r="A38" t="str">
        <f>"第1118号"</f>
        <v>第1118号</v>
      </c>
      <c r="B38" t="str">
        <f>"有限会社岡山薬局"</f>
        <v>有限会社岡山薬局</v>
      </c>
      <c r="C38" t="str">
        <f>"栄町薬局"</f>
        <v>栄町薬局</v>
      </c>
      <c r="D38" t="str">
        <f>"菊池市隈府７８０－１３"</f>
        <v>菊池市隈府７８０－１３</v>
      </c>
      <c r="E38" t="str">
        <f>"R06.03.12"</f>
        <v>R06.03.12</v>
      </c>
      <c r="F38" t="str">
        <f>"R12.03.11"</f>
        <v>R12.03.11</v>
      </c>
    </row>
    <row r="39" spans="1:6" x14ac:dyDescent="0.2">
      <c r="A39" t="str">
        <f>"第1500号"</f>
        <v>第1500号</v>
      </c>
      <c r="B39" t="str">
        <f>"株式会社九州セイムス"</f>
        <v>株式会社九州セイムス</v>
      </c>
      <c r="C39" t="str">
        <f>"ドラッグセイムス　泗水店"</f>
        <v>ドラッグセイムス　泗水店</v>
      </c>
      <c r="D39" t="str">
        <f>"菊池市泗水町大字豊水３３３６"</f>
        <v>菊池市泗水町大字豊水３３３６</v>
      </c>
      <c r="E39" t="str">
        <f>"R07.04.12"</f>
        <v>R07.04.12</v>
      </c>
      <c r="F39" t="str">
        <f>"R13.04.11"</f>
        <v>R13.04.11</v>
      </c>
    </row>
    <row r="40" spans="1:6" x14ac:dyDescent="0.2">
      <c r="A40" t="str">
        <f>"第1723号"</f>
        <v>第1723号</v>
      </c>
      <c r="B40" t="str">
        <f>"合同会社ゆうあいファーマ"</f>
        <v>合同会社ゆうあいファーマ</v>
      </c>
      <c r="C40" t="str">
        <f>"ほおじろ薬局"</f>
        <v>ほおじろ薬局</v>
      </c>
      <c r="D40" t="str">
        <f>"菊池郡大津町大字大津２４１１－７"</f>
        <v>菊池郡大津町大字大津２４１１－７</v>
      </c>
      <c r="E40" t="str">
        <f>"R07.03.18"</f>
        <v>R07.03.18</v>
      </c>
      <c r="F40" t="str">
        <f>"R12.12.31"</f>
        <v>R12.12.31</v>
      </c>
    </row>
    <row r="41" spans="1:6" x14ac:dyDescent="0.2">
      <c r="A41" t="str">
        <f>"第1004号"</f>
        <v>第1004号</v>
      </c>
      <c r="B41" t="str">
        <f>"株式会社パリミキ"</f>
        <v>株式会社パリミキ</v>
      </c>
      <c r="C41" t="str">
        <f>"パリミキ　大津店"</f>
        <v>パリミキ　大津店</v>
      </c>
      <c r="D41" t="str">
        <f>"菊池郡大津町大津１２８５－１"</f>
        <v>菊池郡大津町大津１２８５－１</v>
      </c>
      <c r="E41" t="str">
        <f>"R03.12.16"</f>
        <v>R03.12.16</v>
      </c>
      <c r="F41" t="str">
        <f>"R09.12.15"</f>
        <v>R09.12.15</v>
      </c>
    </row>
    <row r="42" spans="1:6" x14ac:dyDescent="0.2">
      <c r="A42" t="str">
        <f>"第1564号"</f>
        <v>第1564号</v>
      </c>
      <c r="B42" t="str">
        <f>"株式会社ドラッグストアモリ"</f>
        <v>株式会社ドラッグストアモリ</v>
      </c>
      <c r="C42" t="str">
        <f>"ドラッグストアモリ大津店"</f>
        <v>ドラッグストアモリ大津店</v>
      </c>
      <c r="D42" t="str">
        <f>"菊池郡大津町大字室１７５７番地６"</f>
        <v>菊池郡大津町大字室１７５７番地６</v>
      </c>
      <c r="E42" t="str">
        <f>"R03.03.19"</f>
        <v>R03.03.19</v>
      </c>
      <c r="F42" t="str">
        <f>"R09.03.18"</f>
        <v>R09.03.18</v>
      </c>
    </row>
    <row r="43" spans="1:6" x14ac:dyDescent="0.2">
      <c r="A43" t="str">
        <f>"第258号"</f>
        <v>第258号</v>
      </c>
      <c r="B43" t="str">
        <f>"株式会社エーアイピー"</f>
        <v>株式会社エーアイピー</v>
      </c>
      <c r="C43" t="str">
        <f>"シティコンタクト合志店"</f>
        <v>シティコンタクト合志店</v>
      </c>
      <c r="D43" t="str">
        <f>"合志市幾久富字下沖野１８６６－３５６"</f>
        <v>合志市幾久富字下沖野１８６６－３５６</v>
      </c>
      <c r="E43" t="str">
        <f>"R05.01.01"</f>
        <v>R05.01.01</v>
      </c>
      <c r="F43" t="str">
        <f>"R10.12.31"</f>
        <v>R10.12.31</v>
      </c>
    </row>
    <row r="44" spans="1:6" x14ac:dyDescent="0.2">
      <c r="A44" t="str">
        <f>"第1595号"</f>
        <v>第1595号</v>
      </c>
      <c r="B44" t="str">
        <f>"株式会社ドン・キホーテ"</f>
        <v>株式会社ドン・キホーテ</v>
      </c>
      <c r="C44" t="str">
        <f>"ドン・キホーテ合志店"</f>
        <v>ドン・キホーテ合志店</v>
      </c>
      <c r="D44" t="str">
        <f>"合志市須屋１９３６－１"</f>
        <v>合志市須屋１９３６－１</v>
      </c>
      <c r="E44" t="str">
        <f>"R03.10.22"</f>
        <v>R03.10.22</v>
      </c>
      <c r="F44" t="str">
        <f>"R09.10.21"</f>
        <v>R09.10.21</v>
      </c>
    </row>
    <row r="45" spans="1:6" x14ac:dyDescent="0.2">
      <c r="A45" t="str">
        <f>"第1266号"</f>
        <v>第1266号</v>
      </c>
      <c r="B45" t="str">
        <f>"株式会社ドン・キホーテ"</f>
        <v>株式会社ドン・キホーテ</v>
      </c>
      <c r="C45" t="str">
        <f>"ＭＥＧＡドン・キホーテ　菊陽店"</f>
        <v>ＭＥＧＡドン・キホーテ　菊陽店</v>
      </c>
      <c r="D45" t="str">
        <f>"菊池郡菊陽町大字津久礼２５２７番地２"</f>
        <v>菊池郡菊陽町大字津久礼２５２７番地２</v>
      </c>
      <c r="E45" t="str">
        <f>"R01.12.24"</f>
        <v>R01.12.24</v>
      </c>
      <c r="F45" t="str">
        <f>"R07.12.23"</f>
        <v>R07.12.23</v>
      </c>
    </row>
    <row r="46" spans="1:6" x14ac:dyDescent="0.2">
      <c r="A46" t="str">
        <f>"第431号"</f>
        <v>第431号</v>
      </c>
      <c r="B46" t="str">
        <f>"有限会社深川調剤薬局"</f>
        <v>有限会社深川調剤薬局</v>
      </c>
      <c r="C46" t="str">
        <f>"有限会社深川調剤薬局"</f>
        <v>有限会社深川調剤薬局</v>
      </c>
      <c r="D46" t="str">
        <f>"菊池市深川４１１－７"</f>
        <v>菊池市深川４１１－７</v>
      </c>
      <c r="E46" t="str">
        <f>"R05.01.01"</f>
        <v>R05.01.01</v>
      </c>
      <c r="F46" t="str">
        <f>"R10.12.31"</f>
        <v>R10.12.31</v>
      </c>
    </row>
    <row r="47" spans="1:6" x14ac:dyDescent="0.2">
      <c r="A47" t="str">
        <f>"第1224号"</f>
        <v>第1224号</v>
      </c>
      <c r="B47" t="str">
        <f>"有限会社西口晴秀堂"</f>
        <v>有限会社西口晴秀堂</v>
      </c>
      <c r="C47" t="str">
        <f>"すこやか堂薬局　みよし店"</f>
        <v>すこやか堂薬局　みよし店</v>
      </c>
      <c r="D47" t="str">
        <f>"合志市御代志２０３７－５"</f>
        <v>合志市御代志２０３７－５</v>
      </c>
      <c r="E47" t="str">
        <f>"R07.01.01"</f>
        <v>R07.01.01</v>
      </c>
      <c r="F47" t="str">
        <f>"R12.12.31"</f>
        <v>R12.12.31</v>
      </c>
    </row>
    <row r="48" spans="1:6" x14ac:dyDescent="0.2">
      <c r="A48" t="str">
        <f>"第1709号"</f>
        <v>第1709号</v>
      </c>
      <c r="B48" t="str">
        <f>"株式会社ファルマウニオン"</f>
        <v>株式会社ファルマウニオン</v>
      </c>
      <c r="C48" t="str">
        <f>"アップル調剤薬局大津店"</f>
        <v>アップル調剤薬局大津店</v>
      </c>
      <c r="D48" t="str">
        <f>"菊池郡大津町室５３９―１１"</f>
        <v>菊池郡大津町室５３９―１１</v>
      </c>
      <c r="E48" t="str">
        <f>"R07.01.01"</f>
        <v>R07.01.01</v>
      </c>
      <c r="F48" t="str">
        <f>"R12.12.31"</f>
        <v>R12.12.31</v>
      </c>
    </row>
    <row r="49" spans="1:6" x14ac:dyDescent="0.2">
      <c r="A49" t="str">
        <f>"第1190号"</f>
        <v>第1190号</v>
      </c>
      <c r="B49" t="str">
        <f>"株式会社新生堂薬局"</f>
        <v>株式会社新生堂薬局</v>
      </c>
      <c r="C49" t="str">
        <f>"新生堂薬局　大津店"</f>
        <v>新生堂薬局　大津店</v>
      </c>
      <c r="D49" t="str">
        <f>"菊池郡大津町大字大津字門出１２１１－１"</f>
        <v>菊池郡大津町大字大津字門出１２１１－１</v>
      </c>
      <c r="E49" t="str">
        <f>"R06.12.03"</f>
        <v>R06.12.03</v>
      </c>
      <c r="F49" t="str">
        <f>"R12.12.02"</f>
        <v>R12.12.02</v>
      </c>
    </row>
    <row r="50" spans="1:6" x14ac:dyDescent="0.2">
      <c r="A50" t="str">
        <f>"第1193号"</f>
        <v>第1193号</v>
      </c>
      <c r="B50" t="str">
        <f>"株式会社下川薬局"</f>
        <v>株式会社下川薬局</v>
      </c>
      <c r="C50" t="str">
        <f>"シモカワ合志調剤薬局"</f>
        <v>シモカワ合志調剤薬局</v>
      </c>
      <c r="D50" t="str">
        <f>"合志市幾久富１９０９番１７２０"</f>
        <v>合志市幾久富１９０９番１７２０</v>
      </c>
      <c r="E50" t="str">
        <f>"R07.01.01"</f>
        <v>R07.01.01</v>
      </c>
      <c r="F50" t="str">
        <f>"R12.12.31"</f>
        <v>R12.12.31</v>
      </c>
    </row>
    <row r="51" spans="1:6" x14ac:dyDescent="0.2">
      <c r="A51" t="str">
        <f>"第1484号"</f>
        <v>第1484号</v>
      </c>
      <c r="B51" t="str">
        <f>"株式会社ヨネザワ"</f>
        <v>株式会社ヨネザワ</v>
      </c>
      <c r="C51" t="str">
        <f>"メガネのヨネザワ　アンビー熊本店"</f>
        <v>メガネのヨネザワ　アンビー熊本店</v>
      </c>
      <c r="D51" t="str">
        <f>"合志市竹迫２２５８"</f>
        <v>合志市竹迫２２５８</v>
      </c>
      <c r="E51" t="str">
        <f>"R06.11.09"</f>
        <v>R06.11.09</v>
      </c>
      <c r="F51" t="str">
        <f>"R12.11.08"</f>
        <v>R12.11.08</v>
      </c>
    </row>
    <row r="52" spans="1:6" x14ac:dyDescent="0.2">
      <c r="A52" t="str">
        <f>"第1627号"</f>
        <v>第1627号</v>
      </c>
      <c r="B52" t="str">
        <f>"大陽日酸株式会社"</f>
        <v>大陽日酸株式会社</v>
      </c>
      <c r="C52" t="str">
        <f>"大陽日酸株式会社　九州支社　熊本支店"</f>
        <v>大陽日酸株式会社　九州支社　熊本支店</v>
      </c>
      <c r="D52" t="str">
        <f>"菊池郡菊陽町原水５６２２－２"</f>
        <v>菊池郡菊陽町原水５６２２－２</v>
      </c>
      <c r="E52" t="str">
        <f>"R05.01.10"</f>
        <v>R05.01.10</v>
      </c>
      <c r="F52" t="str">
        <f>"R10.12.31"</f>
        <v>R10.12.31</v>
      </c>
    </row>
    <row r="53" spans="1:6" x14ac:dyDescent="0.2">
      <c r="A53" t="str">
        <f>"第722号"</f>
        <v>第722号</v>
      </c>
      <c r="B53" t="str">
        <f>"株式会社ヨネザワ"</f>
        <v>株式会社ヨネザワ</v>
      </c>
      <c r="C53" t="str">
        <f>"メガネのヨネザワ　菊南店"</f>
        <v>メガネのヨネザワ　菊南店</v>
      </c>
      <c r="D53" t="str">
        <f>"合志市須屋７０７－１"</f>
        <v>合志市須屋７０７－１</v>
      </c>
      <c r="E53" t="str">
        <f>"R06.10.05"</f>
        <v>R06.10.05</v>
      </c>
      <c r="F53" t="str">
        <f>"R12.10.04"</f>
        <v>R12.10.04</v>
      </c>
    </row>
    <row r="54" spans="1:6" x14ac:dyDescent="0.2">
      <c r="A54" t="str">
        <f>"第1188号"</f>
        <v>第1188号</v>
      </c>
      <c r="B54" t="str">
        <f>"株式会社メガネトップ"</f>
        <v>株式会社メガネトップ</v>
      </c>
      <c r="C54" t="str">
        <f>"眼鏡市場　熊本光の森店"</f>
        <v>眼鏡市場　熊本光の森店</v>
      </c>
      <c r="D54" t="str">
        <f>"菊池郡菊陽町光の森二丁目２２番１"</f>
        <v>菊池郡菊陽町光の森二丁目２２番１</v>
      </c>
      <c r="E54" t="str">
        <f>"R06.11.19"</f>
        <v>R06.11.19</v>
      </c>
      <c r="F54" t="str">
        <f>"R12.11.18"</f>
        <v>R12.11.18</v>
      </c>
    </row>
    <row r="55" spans="1:6" x14ac:dyDescent="0.2">
      <c r="A55" t="str">
        <f>"第719号"</f>
        <v>第719号</v>
      </c>
      <c r="B55" t="str">
        <f>"株式会社ヨネザワ"</f>
        <v>株式会社ヨネザワ</v>
      </c>
      <c r="C55" t="str">
        <f>"メガネのヨネザワ　菊池キャニオン店"</f>
        <v>メガネのヨネザワ　菊池キャニオン店</v>
      </c>
      <c r="D55" t="str">
        <f>"菊池市片角２９０"</f>
        <v>菊池市片角２９０</v>
      </c>
      <c r="E55" t="str">
        <f>"R06.10.05"</f>
        <v>R06.10.05</v>
      </c>
      <c r="F55" t="str">
        <f>"R12.10.04"</f>
        <v>R12.10.04</v>
      </c>
    </row>
    <row r="56" spans="1:6" x14ac:dyDescent="0.2">
      <c r="A56" t="str">
        <f>"第720号"</f>
        <v>第720号</v>
      </c>
      <c r="B56" t="str">
        <f>"株式会社ヨネザワ"</f>
        <v>株式会社ヨネザワ</v>
      </c>
      <c r="C56" t="str">
        <f>"メガネのヨネザワ　大津店"</f>
        <v>メガネのヨネザワ　大津店</v>
      </c>
      <c r="D56" t="str">
        <f>"菊池郡大津町室門出１７３－１"</f>
        <v>菊池郡大津町室門出１７３－１</v>
      </c>
      <c r="E56" t="str">
        <f>"R06.10.05"</f>
        <v>R06.10.05</v>
      </c>
      <c r="F56" t="str">
        <f>"R12.10.04"</f>
        <v>R12.10.04</v>
      </c>
    </row>
    <row r="57" spans="1:6" x14ac:dyDescent="0.2">
      <c r="A57" t="str">
        <f>"第1635号"</f>
        <v>第1635号</v>
      </c>
      <c r="B57" t="str">
        <f>"株式会社コスモス薬品"</f>
        <v>株式会社コスモス薬品</v>
      </c>
      <c r="C57" t="str">
        <f>"ドラッグコスモス光の森店"</f>
        <v>ドラッグコスモス光の森店</v>
      </c>
      <c r="D57" t="str">
        <f>"菊池郡菊陽町光の森５丁目２２－３"</f>
        <v>菊池郡菊陽町光の森５丁目２２－３</v>
      </c>
      <c r="E57" t="str">
        <f>"R05.04.03"</f>
        <v>R05.04.03</v>
      </c>
      <c r="F57" t="str">
        <f>"R11.04.02"</f>
        <v>R11.04.02</v>
      </c>
    </row>
    <row r="58" spans="1:6" x14ac:dyDescent="0.2">
      <c r="A58" t="str">
        <f>"第1701号"</f>
        <v>第1701号</v>
      </c>
      <c r="B58" t="str">
        <f>"株式会社メディバリー"</f>
        <v>株式会社メディバリー</v>
      </c>
      <c r="C58" t="str">
        <f>"アル薬局　光の森店"</f>
        <v>アル薬局　光の森店</v>
      </c>
      <c r="D58" t="str">
        <f>"菊池郡菊陽町光の森５丁目２０-１１"</f>
        <v>菊池郡菊陽町光の森５丁目２０-１１</v>
      </c>
      <c r="E58" t="str">
        <f>"R06.10.01"</f>
        <v>R06.10.01</v>
      </c>
      <c r="F58" t="str">
        <f>"R12.09.30"</f>
        <v>R12.09.30</v>
      </c>
    </row>
    <row r="59" spans="1:6" x14ac:dyDescent="0.2">
      <c r="A59" t="str">
        <f>"第1154号"</f>
        <v>第1154号</v>
      </c>
      <c r="B59" t="str">
        <f>"鹿本菊池地区薬局事業協同組合"</f>
        <v>鹿本菊池地区薬局事業協同組合</v>
      </c>
      <c r="C59" t="str">
        <f>"きくち薬局"</f>
        <v>きくち薬局</v>
      </c>
      <c r="D59" t="str">
        <f>"菊池市大琳寺７５－４"</f>
        <v>菊池市大琳寺７５－４</v>
      </c>
      <c r="E59" t="str">
        <f>"R06.01.01"</f>
        <v>R06.01.01</v>
      </c>
      <c r="F59" t="str">
        <f>"R11.12.31"</f>
        <v>R11.12.31</v>
      </c>
    </row>
    <row r="60" spans="1:6" x14ac:dyDescent="0.2">
      <c r="A60" t="str">
        <f>"第876号"</f>
        <v>第876号</v>
      </c>
      <c r="B60" t="str">
        <f>"株式会社ＶＨリテールサービス"</f>
        <v>株式会社ＶＨリテールサービス</v>
      </c>
      <c r="C60" t="str">
        <f>"メガネスーパー熊本光の森店"</f>
        <v>メガネスーパー熊本光の森店</v>
      </c>
      <c r="D60" t="str">
        <f>"菊池郡菊陽町光の森７－２－９"</f>
        <v>菊池郡菊陽町光の森７－２－９</v>
      </c>
      <c r="E60" t="str">
        <f>"R02.01.01"</f>
        <v>R02.01.01</v>
      </c>
      <c r="F60" t="str">
        <f>"R07.12.31"</f>
        <v>R07.12.31</v>
      </c>
    </row>
    <row r="61" spans="1:6" x14ac:dyDescent="0.2">
      <c r="A61" t="str">
        <f>"第1474号"</f>
        <v>第1474号</v>
      </c>
      <c r="B61" t="str">
        <f>"株式会社髙城広域防災"</f>
        <v>株式会社髙城広域防災</v>
      </c>
      <c r="C61" t="str">
        <f>"株式会社髙城広域防災"</f>
        <v>株式会社髙城広域防災</v>
      </c>
      <c r="D61" t="str">
        <f>"菊池市隈府２４１番地"</f>
        <v>菊池市隈府２４１番地</v>
      </c>
      <c r="E61" t="str">
        <f>"R06.07.30"</f>
        <v>R06.07.30</v>
      </c>
      <c r="F61" t="str">
        <f>"R12.07.29"</f>
        <v>R12.07.29</v>
      </c>
    </row>
    <row r="62" spans="1:6" x14ac:dyDescent="0.2">
      <c r="A62" t="str">
        <f>"第246号"</f>
        <v>第246号</v>
      </c>
      <c r="B62" t="str">
        <f>"株式会社アステム"</f>
        <v>株式会社アステム</v>
      </c>
      <c r="C62" t="str">
        <f>"株式会社アステム　熊本東支店"</f>
        <v>株式会社アステム　熊本東支店</v>
      </c>
      <c r="D62" t="str">
        <f>"菊池郡菊陽町久保田２８２２－６"</f>
        <v>菊池郡菊陽町久保田２８２２－６</v>
      </c>
      <c r="E62" t="str">
        <f>"R05.01.01"</f>
        <v>R05.01.01</v>
      </c>
      <c r="F62" t="str">
        <f>"R10.12.31"</f>
        <v>R10.12.31</v>
      </c>
    </row>
    <row r="63" spans="1:6" x14ac:dyDescent="0.2">
      <c r="A63" t="str">
        <f>"第426号"</f>
        <v>第426号</v>
      </c>
      <c r="B63" t="str">
        <f>"有限会社もり薬品"</f>
        <v>有限会社もり薬品</v>
      </c>
      <c r="C63" t="str">
        <f>"ドラッグストアモリ光の森店"</f>
        <v>ドラッグストアモリ光の森店</v>
      </c>
      <c r="D63" t="str">
        <f>"菊池郡菊陽町光の森７丁目５０番地１"</f>
        <v>菊池郡菊陽町光の森７丁目５０番地１</v>
      </c>
      <c r="E63" t="str">
        <f>"R05.01.01"</f>
        <v>R05.01.01</v>
      </c>
      <c r="F63" t="str">
        <f>"R10.12.31"</f>
        <v>R10.12.31</v>
      </c>
    </row>
    <row r="64" spans="1:6" x14ac:dyDescent="0.2">
      <c r="A64" t="str">
        <f>"第1471号"</f>
        <v>第1471号</v>
      </c>
      <c r="B64" t="str">
        <f>"ＫＭバイオロジクス株式会社"</f>
        <v>ＫＭバイオロジクス株式会社</v>
      </c>
      <c r="C64" t="str">
        <f>"ＫＭバイオロジクス株式会社　配送センター"</f>
        <v>ＫＭバイオロジクス株式会社　配送センター</v>
      </c>
      <c r="D64" t="str">
        <f>"菊池郡大津町大字杉水７０５番地１"</f>
        <v>菊池郡大津町大字杉水７０５番地１</v>
      </c>
      <c r="E64" t="str">
        <f>"R06.07.01"</f>
        <v>R06.07.01</v>
      </c>
      <c r="F64" t="str">
        <f>"R12.06.30"</f>
        <v>R12.06.30</v>
      </c>
    </row>
    <row r="65" spans="1:6" x14ac:dyDescent="0.2">
      <c r="A65" t="str">
        <f>"第1695号"</f>
        <v>第1695号</v>
      </c>
      <c r="B65" t="str">
        <f>"有限会社峰正商事"</f>
        <v>有限会社峰正商事</v>
      </c>
      <c r="C65" t="str">
        <f>"三恵薬局合志店"</f>
        <v>三恵薬局合志店</v>
      </c>
      <c r="D65" t="str">
        <f>"合志市御代志８１７－４"</f>
        <v>合志市御代志８１７－４</v>
      </c>
      <c r="E65" t="str">
        <f>"R06.05.27"</f>
        <v>R06.05.27</v>
      </c>
      <c r="F65" t="str">
        <f>"R12.05.26"</f>
        <v>R12.05.26</v>
      </c>
    </row>
    <row r="66" spans="1:6" x14ac:dyDescent="0.2">
      <c r="A66" t="str">
        <f>"第1438号"</f>
        <v>第1438号</v>
      </c>
      <c r="B66" t="str">
        <f>"株式会社八尾ムトウ"</f>
        <v>株式会社八尾ムトウ</v>
      </c>
      <c r="C66" t="str">
        <f>"株式会社八尾ムトウ　菊池支店"</f>
        <v>株式会社八尾ムトウ　菊池支店</v>
      </c>
      <c r="D66" t="str">
        <f>"菊池市木柑子１４２７－１１"</f>
        <v>菊池市木柑子１４２７－１１</v>
      </c>
      <c r="E66" t="str">
        <f>"R05.08.17"</f>
        <v>R05.08.17</v>
      </c>
      <c r="F66" t="str">
        <f>"R11.08.16"</f>
        <v>R11.08.16</v>
      </c>
    </row>
    <row r="67" spans="1:6" x14ac:dyDescent="0.2">
      <c r="A67" t="str">
        <f>"第1051号"</f>
        <v>第1051号</v>
      </c>
      <c r="B67" t="str">
        <f>"株式会社ドラッグストアモリ"</f>
        <v>株式会社ドラッグストアモリ</v>
      </c>
      <c r="C67" t="str">
        <f>"ドラッグストアモリ　菊池店"</f>
        <v>ドラッグストアモリ　菊池店</v>
      </c>
      <c r="D67" t="str">
        <f>"菊池市大琳寺３０－１"</f>
        <v>菊池市大琳寺３０－１</v>
      </c>
      <c r="E67" t="str">
        <f>"R04.11.09"</f>
        <v>R04.11.09</v>
      </c>
      <c r="F67" t="str">
        <f>"R10.11.08"</f>
        <v>R10.11.08</v>
      </c>
    </row>
    <row r="68" spans="1:6" x14ac:dyDescent="0.2">
      <c r="A68" t="str">
        <f>"第1664号"</f>
        <v>第1664号</v>
      </c>
      <c r="B68" t="str">
        <f>"さくら薬局株式会社"</f>
        <v>さくら薬局株式会社</v>
      </c>
      <c r="C68" t="str">
        <f>"さくら調剤薬局　菊陽店"</f>
        <v>さくら調剤薬局　菊陽店</v>
      </c>
      <c r="D68" t="str">
        <f>"菊池郡菊陽町大字津久礼３００９番地３"</f>
        <v>菊池郡菊陽町大字津久礼３００９番地３</v>
      </c>
      <c r="E68" t="str">
        <f>"R05.11.01"</f>
        <v>R05.11.01</v>
      </c>
      <c r="F68" t="str">
        <f>"R11.10.31"</f>
        <v>R11.10.31</v>
      </c>
    </row>
    <row r="69" spans="1:6" x14ac:dyDescent="0.2">
      <c r="A69" t="str">
        <f>"第1629号"</f>
        <v>第1629号</v>
      </c>
      <c r="B69" t="str">
        <f>"株式会社ミズ"</f>
        <v>株式会社ミズ</v>
      </c>
      <c r="C69" t="str">
        <f>"溝上薬局　隈府店"</f>
        <v>溝上薬局　隈府店</v>
      </c>
      <c r="D69" t="str">
        <f>"菊池市隈府９２３－１"</f>
        <v>菊池市隈府９２３－１</v>
      </c>
      <c r="E69" t="str">
        <f>"R05.03.01"</f>
        <v>R05.03.01</v>
      </c>
      <c r="F69" t="str">
        <f>"R11.02.28"</f>
        <v>R11.02.28</v>
      </c>
    </row>
    <row r="70" spans="1:6" x14ac:dyDescent="0.2">
      <c r="A70" t="str">
        <f>"第1691号"</f>
        <v>第1691号</v>
      </c>
      <c r="B70" t="str">
        <f>"株式会社大賀薬局"</f>
        <v>株式会社大賀薬局</v>
      </c>
      <c r="C70" t="str">
        <f>"株式会社大賀薬局　菊陽２号店"</f>
        <v>株式会社大賀薬局　菊陽２号店</v>
      </c>
      <c r="D70" t="str">
        <f>"菊池郡菊陽町大字原水２９０９-３"</f>
        <v>菊池郡菊陽町大字原水２９０９-３</v>
      </c>
      <c r="E70" t="str">
        <f>"R06.04.17"</f>
        <v>R06.04.17</v>
      </c>
      <c r="F70" t="str">
        <f>"R12.04.16"</f>
        <v>R12.04.16</v>
      </c>
    </row>
    <row r="71" spans="1:6" x14ac:dyDescent="0.2">
      <c r="A71" t="str">
        <f>"第1446号"</f>
        <v>第1446号</v>
      </c>
      <c r="B71" t="str">
        <f>"株式会社新生堂薬局"</f>
        <v>株式会社新生堂薬局</v>
      </c>
      <c r="C71" t="str">
        <f>"ドラッグ新生堂　大津店"</f>
        <v>ドラッグ新生堂　大津店</v>
      </c>
      <c r="D71" t="str">
        <f>"菊池郡大津町大字大津字門出１２１１－１"</f>
        <v>菊池郡大津町大字大津字門出１２１１－１</v>
      </c>
      <c r="E71" t="str">
        <f>"R05.09.28"</f>
        <v>R05.09.28</v>
      </c>
      <c r="F71" t="str">
        <f>"R11.09.27"</f>
        <v>R11.09.27</v>
      </c>
    </row>
    <row r="72" spans="1:6" x14ac:dyDescent="0.2">
      <c r="A72" t="str">
        <f>"第1526号"</f>
        <v>第1526号</v>
      </c>
      <c r="B72" t="str">
        <f>"株式会社アレス"</f>
        <v>株式会社アレス</v>
      </c>
      <c r="C72" t="str">
        <f>"スーパーキッド大津店"</f>
        <v>スーパーキッド大津店</v>
      </c>
      <c r="D72" t="str">
        <f>"菊池郡大津町室９６３"</f>
        <v>菊池郡大津町室９６３</v>
      </c>
      <c r="E72" t="str">
        <f>"R02.03.13"</f>
        <v>R02.03.13</v>
      </c>
      <c r="F72" t="str">
        <f>"R07.12.31"</f>
        <v>R07.12.31</v>
      </c>
    </row>
    <row r="73" spans="1:6" x14ac:dyDescent="0.2">
      <c r="A73" t="str">
        <f>"第1676号"</f>
        <v>第1676号</v>
      </c>
      <c r="B73" t="str">
        <f>"株式会社コスモス薬品"</f>
        <v>株式会社コスモス薬品</v>
      </c>
      <c r="C73" t="str">
        <f>"ドラッグコスモス引水店"</f>
        <v>ドラッグコスモス引水店</v>
      </c>
      <c r="D73" t="str">
        <f>"菊池郡大津町引水６８３－１"</f>
        <v>菊池郡大津町引水６８３－１</v>
      </c>
      <c r="E73" t="str">
        <f>"R05.11.30"</f>
        <v>R05.11.30</v>
      </c>
      <c r="F73" t="str">
        <f>"R11.11.29"</f>
        <v>R11.11.29</v>
      </c>
    </row>
    <row r="74" spans="1:6" x14ac:dyDescent="0.2">
      <c r="A74" t="str">
        <f>"第1200号"</f>
        <v>第1200号</v>
      </c>
      <c r="B74" t="str">
        <f>"株式会社アレス"</f>
        <v>株式会社アレス</v>
      </c>
      <c r="C74" t="str">
        <f>"スーパーキッド菊南店"</f>
        <v>スーパーキッド菊南店</v>
      </c>
      <c r="D74" t="str">
        <f>"合志市須屋１８２１－１１"</f>
        <v>合志市須屋１８２１－１１</v>
      </c>
      <c r="E74" t="str">
        <f>"R06.01.01"</f>
        <v>R06.01.01</v>
      </c>
      <c r="F74" t="str">
        <f>"R11.12.31"</f>
        <v>R11.12.31</v>
      </c>
    </row>
    <row r="75" spans="1:6" x14ac:dyDescent="0.2">
      <c r="A75" t="str">
        <f>"第1451号"</f>
        <v>第1451号</v>
      </c>
      <c r="B75" t="str">
        <f>"有限会社深川調剤薬局"</f>
        <v>有限会社深川調剤薬局</v>
      </c>
      <c r="C75" t="str">
        <f>"きくちドライブスルー薬局"</f>
        <v>きくちドライブスルー薬局</v>
      </c>
      <c r="D75" t="str">
        <f>"菊池市西寺１３９２－１"</f>
        <v>菊池市西寺１３９２－１</v>
      </c>
      <c r="E75" t="str">
        <f>"R05.12.12"</f>
        <v>R05.12.12</v>
      </c>
      <c r="F75" t="str">
        <f>"R11.12.11"</f>
        <v>R11.12.11</v>
      </c>
    </row>
    <row r="76" spans="1:6" x14ac:dyDescent="0.2">
      <c r="A76" t="str">
        <f>"第1610号"</f>
        <v>第1610号</v>
      </c>
      <c r="B76" t="str">
        <f>"株式会社メディカルパートナーズ"</f>
        <v>株式会社メディカルパートナーズ</v>
      </c>
      <c r="C76" t="str">
        <f>"むろ薬局"</f>
        <v>むろ薬局</v>
      </c>
      <c r="D76" t="str">
        <f>"菊池郡大津町室２１３番地１０"</f>
        <v>菊池郡大津町室２１３番地１０</v>
      </c>
      <c r="E76" t="str">
        <f>"R04.04.20"</f>
        <v>R04.04.20</v>
      </c>
      <c r="F76" t="str">
        <f>"R10.04.19"</f>
        <v>R10.04.19</v>
      </c>
    </row>
    <row r="77" spans="1:6" x14ac:dyDescent="0.2">
      <c r="A77" t="str">
        <f>"第1652号"</f>
        <v>第1652号</v>
      </c>
      <c r="B77" t="str">
        <f>"株式会社コスモス薬品"</f>
        <v>株式会社コスモス薬品</v>
      </c>
      <c r="C77" t="str">
        <f>"ドラッグコスモス泗水店"</f>
        <v>ドラッグコスモス泗水店</v>
      </c>
      <c r="D77" t="str">
        <f>"菊池市泗水町豊水３３８９－１"</f>
        <v>菊池市泗水町豊水３３８９－１</v>
      </c>
      <c r="E77" t="str">
        <f>"R05.06.15"</f>
        <v>R05.06.15</v>
      </c>
      <c r="F77" t="str">
        <f>"R11.06.14"</f>
        <v>R11.06.14</v>
      </c>
    </row>
    <row r="78" spans="1:6" x14ac:dyDescent="0.2">
      <c r="A78" t="str">
        <f>"第1587号"</f>
        <v>第1587号</v>
      </c>
      <c r="B78" t="str">
        <f>"株式会社コスモス薬品"</f>
        <v>株式会社コスモス薬品</v>
      </c>
      <c r="C78" t="str">
        <f>"ドラッグコスモス津久礼店"</f>
        <v>ドラッグコスモス津久礼店</v>
      </c>
      <c r="D78" t="str">
        <f>"菊池郡菊陽町津久礼２８０３－１"</f>
        <v>菊池郡菊陽町津久礼２８０３－１</v>
      </c>
      <c r="E78" t="str">
        <f>"R03.08.27"</f>
        <v>R03.08.27</v>
      </c>
      <c r="F78" t="str">
        <f>"R09.08.26"</f>
        <v>R09.08.26</v>
      </c>
    </row>
    <row r="79" spans="1:6" x14ac:dyDescent="0.2">
      <c r="A79" t="str">
        <f>"第1588号"</f>
        <v>第1588号</v>
      </c>
      <c r="B79" t="str">
        <f>"株式会社コスモス薬品"</f>
        <v>株式会社コスモス薬品</v>
      </c>
      <c r="C79" t="str">
        <f>"ドラッグコスモス大津バイパス店"</f>
        <v>ドラッグコスモス大津バイパス店</v>
      </c>
      <c r="D79" t="str">
        <f>"菊池郡大津町大津１３１１－１"</f>
        <v>菊池郡大津町大津１３１１－１</v>
      </c>
      <c r="E79" t="str">
        <f>"R03.08.27"</f>
        <v>R03.08.27</v>
      </c>
      <c r="F79" t="str">
        <f>"R09.08.26"</f>
        <v>R09.08.26</v>
      </c>
    </row>
    <row r="80" spans="1:6" x14ac:dyDescent="0.2">
      <c r="A80" t="str">
        <f>"第1400号"</f>
        <v>第1400号</v>
      </c>
      <c r="B80" t="str">
        <f>"株式会社コスモス薬品"</f>
        <v>株式会社コスモス薬品</v>
      </c>
      <c r="C80" t="str">
        <f>"ドラッグコスモス菊南店"</f>
        <v>ドラッグコスモス菊南店</v>
      </c>
      <c r="D80" t="str">
        <f>"合志市須屋１９１０"</f>
        <v>合志市須屋１９１０</v>
      </c>
      <c r="E80" t="str">
        <f>"R04.10.19"</f>
        <v>R04.10.19</v>
      </c>
      <c r="F80" t="str">
        <f>"R10.10.18"</f>
        <v>R10.10.18</v>
      </c>
    </row>
    <row r="81" spans="1:6" x14ac:dyDescent="0.2">
      <c r="A81" t="str">
        <f>"第1674号"</f>
        <v>第1674号</v>
      </c>
      <c r="B81" t="str">
        <f>"有限会社泗水中央薬局"</f>
        <v>有限会社泗水中央薬局</v>
      </c>
      <c r="C81" t="str">
        <f>"菊池中通り薬局"</f>
        <v>菊池中通り薬局</v>
      </c>
      <c r="D81" t="str">
        <f>"菊池市隈府１１５番地６"</f>
        <v>菊池市隈府１１５番地６</v>
      </c>
      <c r="E81" t="str">
        <f>"R05.10.01"</f>
        <v>R05.10.01</v>
      </c>
      <c r="F81" t="str">
        <f>"R11.09.30"</f>
        <v>R11.09.30</v>
      </c>
    </row>
    <row r="82" spans="1:6" x14ac:dyDescent="0.2">
      <c r="A82" t="str">
        <f>"第1099号"</f>
        <v>第1099号</v>
      </c>
      <c r="B82" t="str">
        <f>"株式会社熊本介護"</f>
        <v>株式会社熊本介護</v>
      </c>
      <c r="C82" t="str">
        <f>"株式会社熊本介護"</f>
        <v>株式会社熊本介護</v>
      </c>
      <c r="D82" t="str">
        <f>"合志市豊岡２０００番地１８７"</f>
        <v>合志市豊岡２０００番地１８７</v>
      </c>
      <c r="E82" t="str">
        <f>"R05.10.03"</f>
        <v>R05.10.03</v>
      </c>
      <c r="F82" t="str">
        <f>"R11.10.02"</f>
        <v>R11.10.02</v>
      </c>
    </row>
    <row r="83" spans="1:6" x14ac:dyDescent="0.2">
      <c r="A83" t="str">
        <f>"第605号"</f>
        <v>第605号</v>
      </c>
      <c r="B83" t="str">
        <f>"株式会社　リニエルサプライ"</f>
        <v>株式会社　リニエルサプライ</v>
      </c>
      <c r="C83" t="str">
        <f>"株式会社　リニエルサプライ"</f>
        <v>株式会社　リニエルサプライ</v>
      </c>
      <c r="D83" t="str">
        <f>"菊池郡大津町大津１４３８－９"</f>
        <v>菊池郡大津町大津１４３８－９</v>
      </c>
      <c r="E83" t="str">
        <f>"R05.09.20"</f>
        <v>R05.09.20</v>
      </c>
      <c r="F83" t="str">
        <f>"R11.09.19"</f>
        <v>R11.09.19</v>
      </c>
    </row>
    <row r="84" spans="1:6" x14ac:dyDescent="0.2">
      <c r="A84" t="str">
        <f>"第1433号"</f>
        <v>第1433号</v>
      </c>
      <c r="B84" t="str">
        <f>"株式会社アレス"</f>
        <v>株式会社アレス</v>
      </c>
      <c r="C84" t="str">
        <f>"スーパーキッド新地店"</f>
        <v>スーパーキッド新地店</v>
      </c>
      <c r="D84" t="str">
        <f>"菊池郡菊陽町花立３－９－１"</f>
        <v>菊池郡菊陽町花立３－９－１</v>
      </c>
      <c r="E84" t="str">
        <f>"R05.08.15"</f>
        <v>R05.08.15</v>
      </c>
      <c r="F84" t="str">
        <f>"R11.08.14"</f>
        <v>R11.08.14</v>
      </c>
    </row>
    <row r="85" spans="1:6" x14ac:dyDescent="0.2">
      <c r="A85" t="str">
        <f>"第1660号"</f>
        <v>第1660号</v>
      </c>
      <c r="B85" t="str">
        <f>"株式会社ＢＩＬＬＩＯＮ"</f>
        <v>株式会社ＢＩＬＬＩＯＮ</v>
      </c>
      <c r="C85" t="str">
        <f>"ＯＺＳｈｏｐ　カリーノ菊陽店"</f>
        <v>ＯＺＳｈｏｐ　カリーノ菊陽店</v>
      </c>
      <c r="D85" t="str">
        <f>"菊池郡菊陽町津久礼字廣街道２４６４"</f>
        <v>菊池郡菊陽町津久礼字廣街道２４６４</v>
      </c>
      <c r="E85" t="str">
        <f>"R05.08.01"</f>
        <v>R05.08.01</v>
      </c>
      <c r="F85" t="str">
        <f>"R11.07.31"</f>
        <v>R11.07.31</v>
      </c>
    </row>
    <row r="86" spans="1:6" x14ac:dyDescent="0.2">
      <c r="A86" t="str">
        <f>"第1439号"</f>
        <v>第1439号</v>
      </c>
      <c r="B86" t="str">
        <f>"九州東邦株式会社"</f>
        <v>九州東邦株式会社</v>
      </c>
      <c r="C86" t="str">
        <f>"九州東邦株式会社　熊本北営業所"</f>
        <v>九州東邦株式会社　熊本北営業所</v>
      </c>
      <c r="D86" t="str">
        <f>"合志市竹迫２２２０番地"</f>
        <v>合志市竹迫２２２０番地</v>
      </c>
      <c r="E86" t="str">
        <f>"R05.01.01"</f>
        <v>R05.01.01</v>
      </c>
      <c r="F86" t="str">
        <f>"R10.12.31"</f>
        <v>R10.12.31</v>
      </c>
    </row>
    <row r="87" spans="1:6" x14ac:dyDescent="0.2">
      <c r="A87" t="str">
        <f>"第1650号"</f>
        <v>第1650号</v>
      </c>
      <c r="B87" t="str">
        <f>"株式会社Ｗｉｓｄｏｍ"</f>
        <v>株式会社Ｗｉｓｄｏｍ</v>
      </c>
      <c r="C87" t="str">
        <f>"やまと薬局　光の森店"</f>
        <v>やまと薬局　光の森店</v>
      </c>
      <c r="D87" t="str">
        <f>"合志市幾久富１９０９－１３８７"</f>
        <v>合志市幾久富１９０９－１３８７</v>
      </c>
      <c r="E87" t="str">
        <f>"R05.07.01"</f>
        <v>R05.07.01</v>
      </c>
      <c r="F87" t="str">
        <f>"R10.12.31"</f>
        <v>R10.12.31</v>
      </c>
    </row>
    <row r="88" spans="1:6" x14ac:dyDescent="0.2">
      <c r="A88" t="str">
        <f>"第1655号"</f>
        <v>第1655号</v>
      </c>
      <c r="B88" t="str">
        <f>"株式会社コスモス薬品"</f>
        <v>株式会社コスモス薬品</v>
      </c>
      <c r="C88" t="str">
        <f>"ドラッグコスモス菊陽店"</f>
        <v>ドラッグコスモス菊陽店</v>
      </c>
      <c r="D88" t="str">
        <f>"菊池郡菊陽町津久礼２２０４－１"</f>
        <v>菊池郡菊陽町津久礼２２０４－１</v>
      </c>
      <c r="E88" t="str">
        <f>"R05.06.15"</f>
        <v>R05.06.15</v>
      </c>
      <c r="F88" t="str">
        <f>"R11.06.14"</f>
        <v>R11.06.14</v>
      </c>
    </row>
    <row r="89" spans="1:6" x14ac:dyDescent="0.2">
      <c r="A89" t="str">
        <f>"第1653号"</f>
        <v>第1653号</v>
      </c>
      <c r="B89" t="str">
        <f>"株式会社コスモス薬品"</f>
        <v>株式会社コスモス薬品</v>
      </c>
      <c r="C89" t="str">
        <f>"ドラッグコスモス菊池店"</f>
        <v>ドラッグコスモス菊池店</v>
      </c>
      <c r="D89" t="str">
        <f>"菊池市隈府字古町５４６－１"</f>
        <v>菊池市隈府字古町５４６－１</v>
      </c>
      <c r="E89" t="str">
        <f>"R05.06.15"</f>
        <v>R05.06.15</v>
      </c>
      <c r="F89" t="str">
        <f>"R11.06.14"</f>
        <v>R11.06.14</v>
      </c>
    </row>
    <row r="90" spans="1:6" x14ac:dyDescent="0.2">
      <c r="A90" t="str">
        <f>"第1420号"</f>
        <v>第1420号</v>
      </c>
      <c r="B90" t="str">
        <f>"株式会社ピカッシュ"</f>
        <v>株式会社ピカッシュ</v>
      </c>
      <c r="C90" t="str">
        <f>"株式会社ピカッシュ"</f>
        <v>株式会社ピカッシュ</v>
      </c>
      <c r="D90" t="str">
        <f>"菊池郡菊陽町大字原水２８４９番地１"</f>
        <v>菊池郡菊陽町大字原水２８４９番地１</v>
      </c>
      <c r="E90" t="str">
        <f>"R05.06.15"</f>
        <v>R05.06.15</v>
      </c>
      <c r="F90" t="str">
        <f>"R11.06.14"</f>
        <v>R11.06.14</v>
      </c>
    </row>
    <row r="91" spans="1:6" x14ac:dyDescent="0.2">
      <c r="A91" t="str">
        <f>"第1550号"</f>
        <v>第1550号</v>
      </c>
      <c r="B91" t="str">
        <f>"株式会社大賀薬局"</f>
        <v>株式会社大賀薬局</v>
      </c>
      <c r="C91" t="str">
        <f>"株式会社大賀薬局　菊陽店"</f>
        <v>株式会社大賀薬局　菊陽店</v>
      </c>
      <c r="D91" t="str">
        <f>"菊池郡菊陽町大字原水２９１０番地１"</f>
        <v>菊池郡菊陽町大字原水２９１０番地１</v>
      </c>
      <c r="E91" t="str">
        <f>"R02.12.15"</f>
        <v>R02.12.15</v>
      </c>
      <c r="F91" t="str">
        <f>"R08.12.14"</f>
        <v>R08.12.14</v>
      </c>
    </row>
    <row r="92" spans="1:6" x14ac:dyDescent="0.2">
      <c r="A92" t="str">
        <f>"第1628号"</f>
        <v>第1628号</v>
      </c>
      <c r="B92" t="str">
        <f>"株式会社新星薬局"</f>
        <v>株式会社新星薬局</v>
      </c>
      <c r="C92" t="str">
        <f>"フレンド薬局　合志店"</f>
        <v>フレンド薬局　合志店</v>
      </c>
      <c r="D92" t="str">
        <f>"合志市幾久富１９０９－２２１"</f>
        <v>合志市幾久富１９０９－２２１</v>
      </c>
      <c r="E92" t="str">
        <f>"R05.02.13"</f>
        <v>R05.02.13</v>
      </c>
      <c r="F92" t="str">
        <f t="shared" ref="F92:F102" si="0">"R10.12.31"</f>
        <v>R10.12.31</v>
      </c>
    </row>
    <row r="93" spans="1:6" x14ac:dyDescent="0.2">
      <c r="A93" t="str">
        <f>"第430号"</f>
        <v>第430号</v>
      </c>
      <c r="B93" t="str">
        <f>"有限会社愛薬局"</f>
        <v>有限会社愛薬局</v>
      </c>
      <c r="C93" t="str">
        <f>"有限会社愛薬局"</f>
        <v>有限会社愛薬局</v>
      </c>
      <c r="D93" t="str">
        <f>"菊池市大琳寺２４１－１８"</f>
        <v>菊池市大琳寺２４１－１８</v>
      </c>
      <c r="E93" t="str">
        <f t="shared" ref="E93:E102" si="1">"R05.01.01"</f>
        <v>R05.01.01</v>
      </c>
      <c r="F93" t="str">
        <f t="shared" si="0"/>
        <v>R10.12.31</v>
      </c>
    </row>
    <row r="94" spans="1:6" x14ac:dyDescent="0.2">
      <c r="A94" t="str">
        <f>"第433号"</f>
        <v>第433号</v>
      </c>
      <c r="B94" t="str">
        <f>"有限会社泗水中央薬局"</f>
        <v>有限会社泗水中央薬局</v>
      </c>
      <c r="C94" t="str">
        <f>"高江バス停前薬局"</f>
        <v>高江バス停前薬局</v>
      </c>
      <c r="D94" t="str">
        <f>"菊池市泗水町豊水３７２７－１"</f>
        <v>菊池市泗水町豊水３７２７－１</v>
      </c>
      <c r="E94" t="str">
        <f t="shared" si="1"/>
        <v>R05.01.01</v>
      </c>
      <c r="F94" t="str">
        <f t="shared" si="0"/>
        <v>R10.12.31</v>
      </c>
    </row>
    <row r="95" spans="1:6" x14ac:dyDescent="0.2">
      <c r="A95" t="str">
        <f>"第432号"</f>
        <v>第432号</v>
      </c>
      <c r="B95" t="str">
        <f>"有限会社七城中央薬局"</f>
        <v>有限会社七城中央薬局</v>
      </c>
      <c r="C95" t="str">
        <f>"七城中央薬局"</f>
        <v>七城中央薬局</v>
      </c>
      <c r="D95" t="str">
        <f>"菊池市七城町甲佐町２９８－２"</f>
        <v>菊池市七城町甲佐町２９８－２</v>
      </c>
      <c r="E95" t="str">
        <f t="shared" si="1"/>
        <v>R05.01.01</v>
      </c>
      <c r="F95" t="str">
        <f t="shared" si="0"/>
        <v>R10.12.31</v>
      </c>
    </row>
    <row r="96" spans="1:6" x14ac:dyDescent="0.2">
      <c r="A96" t="str">
        <f>"第428号"</f>
        <v>第428号</v>
      </c>
      <c r="B96" t="str">
        <f>"有限会社アフロス・コーポレーション"</f>
        <v>有限会社アフロス・コーポレーション</v>
      </c>
      <c r="C96" t="str">
        <f>"有限会社アフロス・コーポレーション　クリンアイコンタクト"</f>
        <v>有限会社アフロス・コーポレーション　クリンアイコンタクト</v>
      </c>
      <c r="D96" t="str">
        <f>"合志市幾久富１９０９－１３７９"</f>
        <v>合志市幾久富１９０９－１３７９</v>
      </c>
      <c r="E96" t="str">
        <f t="shared" si="1"/>
        <v>R05.01.01</v>
      </c>
      <c r="F96" t="str">
        <f t="shared" si="0"/>
        <v>R10.12.31</v>
      </c>
    </row>
    <row r="97" spans="1:6" x14ac:dyDescent="0.2">
      <c r="A97" t="str">
        <f>"第250号"</f>
        <v>第250号</v>
      </c>
      <c r="B97" t="str">
        <f>"株式会社ヨネザワ"</f>
        <v>株式会社ヨネザワ</v>
      </c>
      <c r="C97" t="str">
        <f>"菊池コンタクト"</f>
        <v>菊池コンタクト</v>
      </c>
      <c r="D97" t="str">
        <f>"菊池市片角２５８－１"</f>
        <v>菊池市片角２５８－１</v>
      </c>
      <c r="E97" t="str">
        <f t="shared" si="1"/>
        <v>R05.01.01</v>
      </c>
      <c r="F97" t="str">
        <f t="shared" si="0"/>
        <v>R10.12.31</v>
      </c>
    </row>
    <row r="98" spans="1:6" x14ac:dyDescent="0.2">
      <c r="A98" t="str">
        <f>"第254号"</f>
        <v>第254号</v>
      </c>
      <c r="B98" t="str">
        <f>"株式会社ヨネザワ"</f>
        <v>株式会社ヨネザワ</v>
      </c>
      <c r="C98" t="str">
        <f>"ヨネザワむさしコンタクト"</f>
        <v>ヨネザワむさしコンタクト</v>
      </c>
      <c r="D98" t="str">
        <f>"合志市幾久富１９０９－５４５"</f>
        <v>合志市幾久富１９０９－５４５</v>
      </c>
      <c r="E98" t="str">
        <f t="shared" si="1"/>
        <v>R05.01.01</v>
      </c>
      <c r="F98" t="str">
        <f t="shared" si="0"/>
        <v>R10.12.31</v>
      </c>
    </row>
    <row r="99" spans="1:6" x14ac:dyDescent="0.2">
      <c r="A99" t="str">
        <f>"第1061号"</f>
        <v>第1061号</v>
      </c>
      <c r="B99" t="str">
        <f>"株式会社システック井上"</f>
        <v>株式会社システック井上</v>
      </c>
      <c r="C99" t="str">
        <f>"株式会社システック井上　熊本営業所"</f>
        <v>株式会社システック井上　熊本営業所</v>
      </c>
      <c r="D99" t="str">
        <f>"菊池郡菊陽町原水字下大谷４０００－６"</f>
        <v>菊池郡菊陽町原水字下大谷４０００－６</v>
      </c>
      <c r="E99" t="str">
        <f t="shared" si="1"/>
        <v>R05.01.01</v>
      </c>
      <c r="F99" t="str">
        <f t="shared" si="0"/>
        <v>R10.12.31</v>
      </c>
    </row>
    <row r="100" spans="1:6" x14ac:dyDescent="0.2">
      <c r="A100" t="str">
        <f>"第435号"</f>
        <v>第435号</v>
      </c>
      <c r="B100" t="str">
        <f>"有限会社みやもと薬局"</f>
        <v>有限会社みやもと薬局</v>
      </c>
      <c r="C100" t="str">
        <f>"フラワー薬局"</f>
        <v>フラワー薬局</v>
      </c>
      <c r="D100" t="str">
        <f>"菊池市隈府８１５－１"</f>
        <v>菊池市隈府８１５－１</v>
      </c>
      <c r="E100" t="str">
        <f t="shared" si="1"/>
        <v>R05.01.01</v>
      </c>
      <c r="F100" t="str">
        <f t="shared" si="0"/>
        <v>R10.12.31</v>
      </c>
    </row>
    <row r="101" spans="1:6" x14ac:dyDescent="0.2">
      <c r="A101" t="str">
        <f>"第249号"</f>
        <v>第249号</v>
      </c>
      <c r="B101" t="str">
        <f>"株式会社ヨネザワ"</f>
        <v>株式会社ヨネザワ</v>
      </c>
      <c r="C101" t="str">
        <f>"泗水コンタクト"</f>
        <v>泗水コンタクト</v>
      </c>
      <c r="D101" t="str">
        <f>"菊池市泗水町豊水３３８８－１"</f>
        <v>菊池市泗水町豊水３３８８－１</v>
      </c>
      <c r="E101" t="str">
        <f t="shared" si="1"/>
        <v>R05.01.01</v>
      </c>
      <c r="F101" t="str">
        <f t="shared" si="0"/>
        <v>R10.12.31</v>
      </c>
    </row>
    <row r="102" spans="1:6" x14ac:dyDescent="0.2">
      <c r="A102" t="str">
        <f>"第251号"</f>
        <v>第251号</v>
      </c>
      <c r="B102" t="str">
        <f>"堀川　正博"</f>
        <v>堀川　正博</v>
      </c>
      <c r="C102" t="str">
        <f>"菊陽メディカル"</f>
        <v>菊陽メディカル</v>
      </c>
      <c r="D102" t="str">
        <f>"菊池郡菊陽町原水２６７０"</f>
        <v>菊池郡菊陽町原水２６７０</v>
      </c>
      <c r="E102" t="str">
        <f t="shared" si="1"/>
        <v>R05.01.01</v>
      </c>
      <c r="F102" t="str">
        <f t="shared" si="0"/>
        <v>R10.12.31</v>
      </c>
    </row>
    <row r="103" spans="1:6" x14ac:dyDescent="0.2">
      <c r="A103" t="str">
        <f>"第845号"</f>
        <v>第845号</v>
      </c>
      <c r="B103" t="str">
        <f>"富田薬品株式会社"</f>
        <v>富田薬品株式会社</v>
      </c>
      <c r="C103" t="str">
        <f>"富田薬品株式会社　大津営業所"</f>
        <v>富田薬品株式会社　大津営業所</v>
      </c>
      <c r="D103" t="str">
        <f>"菊池郡大津町室１５１４番地"</f>
        <v>菊池郡大津町室１５１４番地</v>
      </c>
      <c r="E103" t="str">
        <f>"R02.01.01"</f>
        <v>R02.01.01</v>
      </c>
      <c r="F103" t="str">
        <f>"R07.12.31"</f>
        <v>R07.12.31</v>
      </c>
    </row>
    <row r="104" spans="1:6" x14ac:dyDescent="0.2">
      <c r="A104" t="str">
        <f>"第1392号"</f>
        <v>第1392号</v>
      </c>
      <c r="B104" t="str">
        <f>"株式会社タカヒロメディカル"</f>
        <v>株式会社タカヒロメディカル</v>
      </c>
      <c r="C104" t="str">
        <f>"すや調剤薬局"</f>
        <v>すや調剤薬局</v>
      </c>
      <c r="D104" t="str">
        <f>"合志市須屋字窪２６２番３２"</f>
        <v>合志市須屋字窪２６２番３２</v>
      </c>
      <c r="E104" t="str">
        <f>"R04.06.13"</f>
        <v>R04.06.13</v>
      </c>
      <c r="F104" t="str">
        <f>"R10.06.12"</f>
        <v>R10.06.12</v>
      </c>
    </row>
    <row r="105" spans="1:6" x14ac:dyDescent="0.2">
      <c r="A105" t="str">
        <f>"第1391号"</f>
        <v>第1391号</v>
      </c>
      <c r="B105" t="str">
        <f>"株式会社タカヒロメディカル"</f>
        <v>株式会社タカヒロメディカル</v>
      </c>
      <c r="C105" t="str">
        <f>"おおづ調剤薬局"</f>
        <v>おおづ調剤薬局</v>
      </c>
      <c r="D105" t="str">
        <f>"菊池郡大津町大字大津字門出１２０７番７"</f>
        <v>菊池郡大津町大字大津字門出１２０７番７</v>
      </c>
      <c r="E105" t="str">
        <f>"R04.06.13"</f>
        <v>R04.06.13</v>
      </c>
      <c r="F105" t="str">
        <f>"R10.06.12"</f>
        <v>R10.06.12</v>
      </c>
    </row>
    <row r="106" spans="1:6" x14ac:dyDescent="0.2">
      <c r="A106" t="str">
        <f>"第1390号"</f>
        <v>第1390号</v>
      </c>
      <c r="B106" t="str">
        <f>"有限会社大塚薬品"</f>
        <v>有限会社大塚薬品</v>
      </c>
      <c r="C106" t="str">
        <f>"大塚調剤薬局"</f>
        <v>大塚調剤薬局</v>
      </c>
      <c r="D106" t="str">
        <f>"合志市須屋栗山２５２６－５"</f>
        <v>合志市須屋栗山２５２６－５</v>
      </c>
      <c r="E106" t="str">
        <f>"R04.05.24"</f>
        <v>R04.05.24</v>
      </c>
      <c r="F106" t="str">
        <f>"R10.05.23"</f>
        <v>R10.05.23</v>
      </c>
    </row>
    <row r="107" spans="1:6" x14ac:dyDescent="0.2">
      <c r="A107" t="str">
        <f>"第1614号"</f>
        <v>第1614号</v>
      </c>
      <c r="B107" t="str">
        <f>"有限会社　泗水中央薬局"</f>
        <v>有限会社　泗水中央薬局</v>
      </c>
      <c r="C107" t="str">
        <f>"泗水よしとみ薬局"</f>
        <v>泗水よしとみ薬局</v>
      </c>
      <c r="D107" t="str">
        <f>"菊池市泗水町吉富１８５９番地"</f>
        <v>菊池市泗水町吉富１８５９番地</v>
      </c>
      <c r="E107" t="str">
        <f>"R04.05.18"</f>
        <v>R04.05.18</v>
      </c>
      <c r="F107" t="str">
        <f>"R10.05.17"</f>
        <v>R10.05.17</v>
      </c>
    </row>
    <row r="108" spans="1:6" x14ac:dyDescent="0.2">
      <c r="A108" t="str">
        <f>"第1385号"</f>
        <v>第1385号</v>
      </c>
      <c r="B108" t="str">
        <f>"有限会社園田教材社"</f>
        <v>有限会社園田教材社</v>
      </c>
      <c r="C108" t="str">
        <f>"有限会社園田教材社"</f>
        <v>有限会社園田教材社</v>
      </c>
      <c r="D108" t="str">
        <f>"合志市栄２１１９番地の２４"</f>
        <v>合志市栄２１１９番地の２４</v>
      </c>
      <c r="E108" t="str">
        <f>"R04.03.16"</f>
        <v>R04.03.16</v>
      </c>
      <c r="F108" t="str">
        <f>"R10.03.15"</f>
        <v>R10.03.15</v>
      </c>
    </row>
    <row r="109" spans="1:6" x14ac:dyDescent="0.2">
      <c r="A109" t="str">
        <f>"第1286号"</f>
        <v>第1286号</v>
      </c>
      <c r="B109" t="str">
        <f>"ミドリ安全熊本株式会社"</f>
        <v>ミドリ安全熊本株式会社</v>
      </c>
      <c r="C109" t="str">
        <f>"ミドリ安全熊本株式会社菊陽営業所"</f>
        <v>ミドリ安全熊本株式会社菊陽営業所</v>
      </c>
      <c r="D109" t="str">
        <f>"菊池郡大津町室狐平１６４６－１"</f>
        <v>菊池郡大津町室狐平１６４６－１</v>
      </c>
      <c r="E109" t="str">
        <f>"R02.04.22"</f>
        <v>R02.04.22</v>
      </c>
      <c r="F109" t="str">
        <f>"R08.04.21"</f>
        <v>R08.04.21</v>
      </c>
    </row>
    <row r="110" spans="1:6" x14ac:dyDescent="0.2">
      <c r="A110" t="str">
        <f>"第1054号"</f>
        <v>第1054号</v>
      </c>
      <c r="B110" t="str">
        <f>"株式会社堀田コンタクト"</f>
        <v>株式会社堀田コンタクト</v>
      </c>
      <c r="C110" t="str">
        <f>"堀田コンタクト"</f>
        <v>堀田コンタクト</v>
      </c>
      <c r="D110" t="str">
        <f>"菊池郡菊陽町久保田２８０２－１"</f>
        <v>菊池郡菊陽町久保田２８０２－１</v>
      </c>
      <c r="E110" t="str">
        <f>"R04.01.01"</f>
        <v>R04.01.01</v>
      </c>
      <c r="F110" t="str">
        <f>"R09.12.31"</f>
        <v>R09.12.31</v>
      </c>
    </row>
    <row r="111" spans="1:6" x14ac:dyDescent="0.2">
      <c r="A111" t="str">
        <f>"第1044号"</f>
        <v>第1044号</v>
      </c>
      <c r="B111" t="str">
        <f>"岩上　美和"</f>
        <v>岩上　美和</v>
      </c>
      <c r="C111" t="str">
        <f>"大津コンタクト"</f>
        <v>大津コンタクト</v>
      </c>
      <c r="D111" t="str">
        <f>"菊池郡大津町大津１２１２－２９"</f>
        <v>菊池郡大津町大津１２１２－２９</v>
      </c>
      <c r="E111" t="str">
        <f>"R04.01.01"</f>
        <v>R04.01.01</v>
      </c>
      <c r="F111" t="str">
        <f>"R09.12.31"</f>
        <v>R09.12.31</v>
      </c>
    </row>
    <row r="112" spans="1:6" x14ac:dyDescent="0.2">
      <c r="A112" t="str">
        <f>"第1015号"</f>
        <v>第1015号</v>
      </c>
      <c r="B112" t="str">
        <f>"有限会社三協車椅子製作所"</f>
        <v>有限会社三協車椅子製作所</v>
      </c>
      <c r="C112" t="str">
        <f>"有限会社三協車椅子製作所"</f>
        <v>有限会社三協車椅子製作所</v>
      </c>
      <c r="D112" t="str">
        <f>"合志市須屋２１２６番地５"</f>
        <v>合志市須屋２１２６番地５</v>
      </c>
      <c r="E112" t="str">
        <f>"R04.01.01"</f>
        <v>R04.01.01</v>
      </c>
      <c r="F112" t="str">
        <f>"R09.12.31"</f>
        <v>R09.12.31</v>
      </c>
    </row>
    <row r="113" spans="1:6" x14ac:dyDescent="0.2">
      <c r="A113" t="str">
        <f>"第998号"</f>
        <v>第998号</v>
      </c>
      <c r="B113" t="str">
        <f>"株式会社天翔"</f>
        <v>株式会社天翔</v>
      </c>
      <c r="C113" t="str">
        <f>"ＡＣＴ－１　ゆめタウン光の森店"</f>
        <v>ＡＣＴ－１　ゆめタウン光の森店</v>
      </c>
      <c r="D113" t="str">
        <f>"菊池郡菊陽町光の森７－３３－１"</f>
        <v>菊池郡菊陽町光の森７－３３－１</v>
      </c>
      <c r="E113" t="str">
        <f>"R03.12.09"</f>
        <v>R03.12.09</v>
      </c>
      <c r="F113" t="str">
        <f>"R09.12.08"</f>
        <v>R09.12.08</v>
      </c>
    </row>
    <row r="114" spans="1:6" x14ac:dyDescent="0.2">
      <c r="A114" t="str">
        <f>"第1528号"</f>
        <v>第1528号</v>
      </c>
      <c r="B114" t="str">
        <f>"株式会社サン・メディカル"</f>
        <v>株式会社サン・メディカル</v>
      </c>
      <c r="C114" t="str">
        <f>"サン・こうし薬局"</f>
        <v>サン・こうし薬局</v>
      </c>
      <c r="D114" t="str">
        <f>"合志市須屋２７８９－３０"</f>
        <v>合志市須屋２７８９－３０</v>
      </c>
      <c r="E114" t="str">
        <f>"R02.03.31"</f>
        <v>R02.03.31</v>
      </c>
      <c r="F114" t="str">
        <f>"R08.03.30"</f>
        <v>R08.03.30</v>
      </c>
    </row>
    <row r="115" spans="1:6" x14ac:dyDescent="0.2">
      <c r="A115" t="str">
        <f>"第988号"</f>
        <v>第988号</v>
      </c>
      <c r="B115" t="str">
        <f>"株式会社ＩＦオリーブ"</f>
        <v>株式会社ＩＦオリーブ</v>
      </c>
      <c r="C115" t="str">
        <f>"よつば調剤薬局"</f>
        <v>よつば調剤薬局</v>
      </c>
      <c r="D115" t="str">
        <f>"菊池郡菊陽町久保田字中原２９８７番地２"</f>
        <v>菊池郡菊陽町久保田字中原２９８７番地２</v>
      </c>
      <c r="E115" t="str">
        <f>"R03.11.18"</f>
        <v>R03.11.18</v>
      </c>
      <c r="F115" t="str">
        <f>"R09.11.17"</f>
        <v>R09.11.17</v>
      </c>
    </row>
    <row r="116" spans="1:6" x14ac:dyDescent="0.2">
      <c r="A116" t="str">
        <f>"第1374号"</f>
        <v>第1374号</v>
      </c>
      <c r="B116" t="str">
        <f>"株式会社タートル"</f>
        <v>株式会社タートル</v>
      </c>
      <c r="C116" t="str">
        <f>"株式会社タートル"</f>
        <v>株式会社タートル</v>
      </c>
      <c r="D116" t="str">
        <f>"菊池市隈府２７９番地"</f>
        <v>菊池市隈府２７９番地</v>
      </c>
      <c r="E116" t="str">
        <f>"R03.11.05"</f>
        <v>R03.11.05</v>
      </c>
      <c r="F116" t="str">
        <f>"R09.11.04"</f>
        <v>R09.11.04</v>
      </c>
    </row>
    <row r="117" spans="1:6" x14ac:dyDescent="0.2">
      <c r="A117" t="str">
        <f>"第1580号"</f>
        <v>第1580号</v>
      </c>
      <c r="B117" t="str">
        <f>"株式会社ヨネザワ"</f>
        <v>株式会社ヨネザワ</v>
      </c>
      <c r="C117" t="str">
        <f>"メガネのヨネザワ　菊池店"</f>
        <v>メガネのヨネザワ　菊池店</v>
      </c>
      <c r="D117" t="str">
        <f>"菊池市大琳寺字下原２７－１"</f>
        <v>菊池市大琳寺字下原２７－１</v>
      </c>
      <c r="E117" t="str">
        <f>"R03.06.04"</f>
        <v>R03.06.04</v>
      </c>
      <c r="F117" t="str">
        <f>"R09.06.03"</f>
        <v>R09.06.03</v>
      </c>
    </row>
    <row r="118" spans="1:6" x14ac:dyDescent="0.2">
      <c r="A118" t="str">
        <f>"第1351号"</f>
        <v>第1351号</v>
      </c>
      <c r="B118" t="str">
        <f>"株式会社ヨネザワ"</f>
        <v>株式会社ヨネザワ</v>
      </c>
      <c r="C118" t="str">
        <f>"ヨネザワコンタクト　ゆめタウン光の森店"</f>
        <v>ヨネザワコンタクト　ゆめタウン光の森店</v>
      </c>
      <c r="D118" t="str">
        <f>"菊池郡菊陽町光の森７丁目３９－１"</f>
        <v>菊池郡菊陽町光の森７丁目３９－１</v>
      </c>
      <c r="E118" t="str">
        <f>"R03.04.22"</f>
        <v>R03.04.22</v>
      </c>
      <c r="F118" t="str">
        <f>"R09.04.21"</f>
        <v>R09.04.21</v>
      </c>
    </row>
    <row r="119" spans="1:6" x14ac:dyDescent="0.2">
      <c r="A119" t="str">
        <f>"第1568号"</f>
        <v>第1568号</v>
      </c>
      <c r="B119" t="str">
        <f>"株式会社衛"</f>
        <v>株式会社衛</v>
      </c>
      <c r="C119" t="str">
        <f>"おおづまち薬局"</f>
        <v>おおづまち薬局</v>
      </c>
      <c r="D119" t="str">
        <f>"菊池郡大津町引水７３１－３"</f>
        <v>菊池郡大津町引水７３１－３</v>
      </c>
      <c r="E119" t="str">
        <f>"R03.04.07"</f>
        <v>R03.04.07</v>
      </c>
      <c r="F119" t="str">
        <f>"R09.04.06"</f>
        <v>R09.04.06</v>
      </c>
    </row>
    <row r="120" spans="1:6" x14ac:dyDescent="0.2">
      <c r="A120" t="str">
        <f>"第1566号"</f>
        <v>第1566号</v>
      </c>
      <c r="B120" t="str">
        <f>"株式会社air"</f>
        <v>株式会社air</v>
      </c>
      <c r="C120" t="str">
        <f>"きくちメガネ　カリーノ菊陽店"</f>
        <v>きくちメガネ　カリーノ菊陽店</v>
      </c>
      <c r="D120" t="str">
        <f>"菊池郡菊陽町津久礼２４６４"</f>
        <v>菊池郡菊陽町津久礼２４６４</v>
      </c>
      <c r="E120" t="str">
        <f>"R03.04.01"</f>
        <v>R03.04.01</v>
      </c>
      <c r="F120" t="str">
        <f>"R09.03.31"</f>
        <v>R09.03.31</v>
      </c>
    </row>
    <row r="121" spans="1:6" x14ac:dyDescent="0.2">
      <c r="A121" t="str">
        <f>"第1565号"</f>
        <v>第1565号</v>
      </c>
      <c r="B121" t="str">
        <f>"株式会社アルファ・ブレイン"</f>
        <v>株式会社アルファ・ブレイン</v>
      </c>
      <c r="C121" t="str">
        <f>"温新堂薬局　菊陽店"</f>
        <v>温新堂薬局　菊陽店</v>
      </c>
      <c r="D121" t="str">
        <f>"菊池郡菊陽町原水１１５６－１６"</f>
        <v>菊池郡菊陽町原水１１５６－１６</v>
      </c>
      <c r="E121" t="str">
        <f>"R03.04.01"</f>
        <v>R03.04.01</v>
      </c>
      <c r="F121" t="str">
        <f>"R09.03.31"</f>
        <v>R09.03.31</v>
      </c>
    </row>
    <row r="122" spans="1:6" x14ac:dyDescent="0.2">
      <c r="A122" t="str">
        <f>"第1548号"</f>
        <v>第1548号</v>
      </c>
      <c r="B122" t="str">
        <f>"有限会社　エンゼル"</f>
        <v>有限会社　エンゼル</v>
      </c>
      <c r="C122" t="str">
        <f>"有限会社　エンゼル"</f>
        <v>有限会社　エンゼル</v>
      </c>
      <c r="D122" t="str">
        <f>"菊池郡菊陽町光の森３丁目６－１５"</f>
        <v>菊池郡菊陽町光の森３丁目６－１５</v>
      </c>
      <c r="E122" t="str">
        <f>"R02.12.15"</f>
        <v>R02.12.15</v>
      </c>
      <c r="F122" t="str">
        <f>"R08.12.14"</f>
        <v>R08.12.14</v>
      </c>
    </row>
    <row r="123" spans="1:6" x14ac:dyDescent="0.2">
      <c r="A123" t="str">
        <f>"第1320号"</f>
        <v>第1320号</v>
      </c>
      <c r="B123" t="str">
        <f>"有限会社みよし薬局"</f>
        <v>有限会社みよし薬局</v>
      </c>
      <c r="C123" t="str">
        <f>"有限会社みよし薬局"</f>
        <v>有限会社みよし薬局</v>
      </c>
      <c r="D123" t="str">
        <f>"合志市野々島２４４９番地２"</f>
        <v>合志市野々島２４４９番地２</v>
      </c>
      <c r="E123" t="str">
        <f>"R02.10.21"</f>
        <v>R02.10.21</v>
      </c>
      <c r="F123" t="str">
        <f>"R08.10.20"</f>
        <v>R08.10.20</v>
      </c>
    </row>
    <row r="124" spans="1:6" x14ac:dyDescent="0.2">
      <c r="A124" t="str">
        <f>"第1530号"</f>
        <v>第1530号</v>
      </c>
      <c r="B124" t="str">
        <f>"有森　亨"</f>
        <v>有森　亨</v>
      </c>
      <c r="C124" t="str">
        <f>"河内教材"</f>
        <v>河内教材</v>
      </c>
      <c r="D124" t="str">
        <f>"合志市須屋２６９６－６９４"</f>
        <v>合志市須屋２６９６－６９４</v>
      </c>
      <c r="E124" t="str">
        <f>"R02.05.13"</f>
        <v>R02.05.13</v>
      </c>
      <c r="F124" t="str">
        <f>"R07.12.31"</f>
        <v>R07.12.31</v>
      </c>
    </row>
    <row r="125" spans="1:6" x14ac:dyDescent="0.2">
      <c r="A125" t="str">
        <f>"第875号"</f>
        <v>第875号</v>
      </c>
      <c r="B125" t="str">
        <f>"合同会社ケイ・メディサポート"</f>
        <v>合同会社ケイ・メディサポート</v>
      </c>
      <c r="C125" t="str">
        <f>"つぼみ調剤薬局"</f>
        <v>つぼみ調剤薬局</v>
      </c>
      <c r="D125" t="str">
        <f>"菊池郡菊陽町光の森３丁目１７番７号"</f>
        <v>菊池郡菊陽町光の森３丁目１７番７号</v>
      </c>
      <c r="E125" t="str">
        <f>"R02.05.09"</f>
        <v>R02.05.09</v>
      </c>
      <c r="F125" t="str">
        <f>"R08.05.08"</f>
        <v>R08.05.08</v>
      </c>
    </row>
    <row r="126" spans="1:6" x14ac:dyDescent="0.2">
      <c r="A126" t="str">
        <f>"第1279号"</f>
        <v>第1279号</v>
      </c>
      <c r="B126" t="str">
        <f>"株式会社フジキン"</f>
        <v>株式会社フジキン</v>
      </c>
      <c r="C126" t="str">
        <f>"株式会社フジキン　九州熊本営業所"</f>
        <v>株式会社フジキン　九州熊本営業所</v>
      </c>
      <c r="D126" t="str">
        <f>"菊池郡大津町大字室３６０－１７"</f>
        <v>菊池郡大津町大字室３６０－１７</v>
      </c>
      <c r="E126" t="str">
        <f>"R02.03.17"</f>
        <v>R02.03.17</v>
      </c>
      <c r="F126" t="str">
        <f t="shared" ref="F126:F132" si="2">"R07.12.31"</f>
        <v>R07.12.31</v>
      </c>
    </row>
    <row r="127" spans="1:6" x14ac:dyDescent="0.2">
      <c r="A127" t="str">
        <f>"第1518号"</f>
        <v>第1518号</v>
      </c>
      <c r="B127" t="str">
        <f>"株式会社下川薬局"</f>
        <v>株式会社下川薬局</v>
      </c>
      <c r="C127" t="str">
        <f>"アンビー中央薬局"</f>
        <v>アンビー中央薬局</v>
      </c>
      <c r="D127" t="str">
        <f>"合志市竹迫２２９２"</f>
        <v>合志市竹迫２２９２</v>
      </c>
      <c r="E127" t="str">
        <f>"R02.01.01"</f>
        <v>R02.01.01</v>
      </c>
      <c r="F127" t="str">
        <f t="shared" si="2"/>
        <v>R07.12.31</v>
      </c>
    </row>
    <row r="128" spans="1:6" x14ac:dyDescent="0.2">
      <c r="A128" t="str">
        <f>"第1522号"</f>
        <v>第1522号</v>
      </c>
      <c r="B128" t="str">
        <f>"有限会社文洋堂"</f>
        <v>有限会社文洋堂</v>
      </c>
      <c r="C128" t="str">
        <f>"有限会社文洋堂"</f>
        <v>有限会社文洋堂</v>
      </c>
      <c r="D128" t="str">
        <f>"菊池郡大津町大字大津１２２９"</f>
        <v>菊池郡大津町大字大津１２２９</v>
      </c>
      <c r="E128" t="str">
        <f>"R02.02.17"</f>
        <v>R02.02.17</v>
      </c>
      <c r="F128" t="str">
        <f t="shared" si="2"/>
        <v>R07.12.31</v>
      </c>
    </row>
    <row r="129" spans="1:6" x14ac:dyDescent="0.2">
      <c r="A129" t="str">
        <f>"第1271号"</f>
        <v>第1271号</v>
      </c>
      <c r="B129" t="str">
        <f>"有限会社泗水中央薬局"</f>
        <v>有限会社泗水中央薬局</v>
      </c>
      <c r="C129" t="str">
        <f>"泗水中央薬局"</f>
        <v>泗水中央薬局</v>
      </c>
      <c r="D129" t="str">
        <f>"菊池市泗水町豊水３４９２"</f>
        <v>菊池市泗水町豊水３４９２</v>
      </c>
      <c r="E129" t="str">
        <f>"R02.02.01"</f>
        <v>R02.02.01</v>
      </c>
      <c r="F129" t="str">
        <f t="shared" si="2"/>
        <v>R07.12.31</v>
      </c>
    </row>
    <row r="130" spans="1:6" x14ac:dyDescent="0.2">
      <c r="A130" t="str">
        <f>"第1520号"</f>
        <v>第1520号</v>
      </c>
      <c r="B130" t="str">
        <f>"株式会社西本真生堂"</f>
        <v>株式会社西本真生堂</v>
      </c>
      <c r="C130" t="str">
        <f>"西本真生堂薬局　泗水店"</f>
        <v>西本真生堂薬局　泗水店</v>
      </c>
      <c r="D130" t="str">
        <f>"菊池市泗水町豊水３３７０－３"</f>
        <v>菊池市泗水町豊水３３７０－３</v>
      </c>
      <c r="E130" t="str">
        <f>"R02.01.01"</f>
        <v>R02.01.01</v>
      </c>
      <c r="F130" t="str">
        <f t="shared" si="2"/>
        <v>R07.12.31</v>
      </c>
    </row>
    <row r="131" spans="1:6" x14ac:dyDescent="0.2">
      <c r="A131" t="str">
        <f>"第862号"</f>
        <v>第862号</v>
      </c>
      <c r="B131" t="str">
        <f>"株式会社光の森コンタクト"</f>
        <v>株式会社光の森コンタクト</v>
      </c>
      <c r="C131" t="str">
        <f>"株式会社光の森コンタクト"</f>
        <v>株式会社光の森コンタクト</v>
      </c>
      <c r="D131" t="str">
        <f>"菊池郡菊陽町光の森７丁目３－７"</f>
        <v>菊池郡菊陽町光の森７丁目３－７</v>
      </c>
      <c r="E131" t="str">
        <f>"R02.01.01"</f>
        <v>R02.01.01</v>
      </c>
      <c r="F131" t="str">
        <f t="shared" si="2"/>
        <v>R07.12.31</v>
      </c>
    </row>
    <row r="132" spans="1:6" x14ac:dyDescent="0.2">
      <c r="A132" t="str">
        <f>"第1314号"</f>
        <v>第1314号</v>
      </c>
      <c r="B132" t="str">
        <f>"株式会社うさぎの谷メディカル"</f>
        <v>株式会社うさぎの谷メディカル</v>
      </c>
      <c r="C132" t="str">
        <f>"うさぎの谷薬局　泗水店"</f>
        <v>うさぎの谷薬局　泗水店</v>
      </c>
      <c r="D132" t="str">
        <f>"菊池市泗水町吉富３１６９番地９"</f>
        <v>菊池市泗水町吉富３１６９番地９</v>
      </c>
      <c r="E132" t="str">
        <f>"R02.01.01"</f>
        <v>R02.01.01</v>
      </c>
      <c r="F132" t="str">
        <f t="shared" si="2"/>
        <v>R07.12.31</v>
      </c>
    </row>
    <row r="133" spans="1:6" x14ac:dyDescent="0.2">
      <c r="A133" t="str">
        <f>"第818号"</f>
        <v>第818号</v>
      </c>
      <c r="B133" t="str">
        <f>"豊田実業株式会社"</f>
        <v>豊田実業株式会社</v>
      </c>
      <c r="C133" t="str">
        <f>"エール介護サービス"</f>
        <v>エール介護サービス</v>
      </c>
      <c r="D133" t="str">
        <f>"菊池郡菊陽町光の森７丁目２３－１２"</f>
        <v>菊池郡菊陽町光の森７丁目２３－１２</v>
      </c>
      <c r="E133" t="str">
        <f>"R01.10.23"</f>
        <v>R01.10.23</v>
      </c>
      <c r="F133" t="str">
        <f>"R07.10.22"</f>
        <v>R07.10.22</v>
      </c>
    </row>
    <row r="134" spans="1:6" x14ac:dyDescent="0.2">
      <c r="A134" t="str">
        <f>"第1504号"</f>
        <v>第1504号</v>
      </c>
      <c r="B134" t="str">
        <f>"株式会社宮崎ヒューマンサービス"</f>
        <v>株式会社宮崎ヒューマンサービス</v>
      </c>
      <c r="C134" t="str">
        <f>"株式会社宮崎ヒューマンサービス　熊本営業所"</f>
        <v>株式会社宮崎ヒューマンサービス　熊本営業所</v>
      </c>
      <c r="D134" t="str">
        <f>"阿蘇郡高森町高森２１６４番地４"</f>
        <v>阿蘇郡高森町高森２１６４番地４</v>
      </c>
      <c r="E134" t="str">
        <f>"R07.07.01"</f>
        <v>R07.07.01</v>
      </c>
      <c r="F134" t="str">
        <f>"R13.06.30"</f>
        <v>R13.06.30</v>
      </c>
    </row>
    <row r="135" spans="1:6" x14ac:dyDescent="0.2">
      <c r="A135" t="str">
        <f>"第1719号"</f>
        <v>第1719号</v>
      </c>
      <c r="B135" t="str">
        <f>"株式会社ハートフェルト"</f>
        <v>株式会社ハートフェルト</v>
      </c>
      <c r="C135" t="str">
        <f>"内牧かみまち薬局"</f>
        <v>内牧かみまち薬局</v>
      </c>
      <c r="D135" t="str">
        <f>"阿蘇市内牧１０６番地１"</f>
        <v>阿蘇市内牧１０６番地１</v>
      </c>
      <c r="E135" t="str">
        <f>"R07.02.17"</f>
        <v>R07.02.17</v>
      </c>
      <c r="F135" t="str">
        <f>"R12.12.31"</f>
        <v>R12.12.31</v>
      </c>
    </row>
    <row r="136" spans="1:6" x14ac:dyDescent="0.2">
      <c r="A136" t="str">
        <f>"第817号"</f>
        <v>第817号</v>
      </c>
      <c r="B136" t="str">
        <f>"有限会社　南阿蘇調剤薬局"</f>
        <v>有限会社　南阿蘇調剤薬局</v>
      </c>
      <c r="C136" t="str">
        <f>"南阿蘇調剤薬局"</f>
        <v>南阿蘇調剤薬局</v>
      </c>
      <c r="D136" t="str">
        <f>"阿蘇郡高森町大字高森１６１２番地１"</f>
        <v>阿蘇郡高森町大字高森１６１２番地１</v>
      </c>
      <c r="E136" t="str">
        <f>"R07.01.01"</f>
        <v>R07.01.01</v>
      </c>
      <c r="F136" t="str">
        <f>"R12.12.31"</f>
        <v>R12.12.31</v>
      </c>
    </row>
    <row r="137" spans="1:6" x14ac:dyDescent="0.2">
      <c r="A137" t="str">
        <f>"第1226号"</f>
        <v>第1226号</v>
      </c>
      <c r="B137" t="str">
        <f>"有限会社阿蘇中央調剤薬局"</f>
        <v>有限会社阿蘇中央調剤薬局</v>
      </c>
      <c r="C137" t="str">
        <f>"きよらのさと薬局"</f>
        <v>きよらのさと薬局</v>
      </c>
      <c r="D137" t="str">
        <f>"阿蘇郡南小国町大字赤馬場１９６３－５"</f>
        <v>阿蘇郡南小国町大字赤馬場１９６３－５</v>
      </c>
      <c r="E137" t="str">
        <f>"R07.01.01"</f>
        <v>R07.01.01</v>
      </c>
      <c r="F137" t="str">
        <f>"R12.12.31"</f>
        <v>R12.12.31</v>
      </c>
    </row>
    <row r="138" spans="1:6" x14ac:dyDescent="0.2">
      <c r="A138" t="str">
        <f>"第1203号"</f>
        <v>第1203号</v>
      </c>
      <c r="B138" t="str">
        <f>"ヤマトファルマ有限会社"</f>
        <v>ヤマトファルマ有限会社</v>
      </c>
      <c r="C138" t="str">
        <f>"高森わたなべ薬局"</f>
        <v>高森わたなべ薬局</v>
      </c>
      <c r="D138" t="str">
        <f>"阿蘇郡高森町大字高森２０２２－１"</f>
        <v>阿蘇郡高森町大字高森２０２２－１</v>
      </c>
      <c r="E138" t="str">
        <f>"R07.01.01"</f>
        <v>R07.01.01</v>
      </c>
      <c r="F138" t="str">
        <f>"R12.12.31"</f>
        <v>R12.12.31</v>
      </c>
    </row>
    <row r="139" spans="1:6" x14ac:dyDescent="0.2">
      <c r="A139" t="str">
        <f>"第1487号"</f>
        <v>第1487号</v>
      </c>
      <c r="B139" t="str">
        <f>"有限会社野の花薬局"</f>
        <v>有限会社野の花薬局</v>
      </c>
      <c r="C139" t="str">
        <f>"野の花薬局"</f>
        <v>野の花薬局</v>
      </c>
      <c r="D139" t="str">
        <f>"阿蘇市小里２５０番地４"</f>
        <v>阿蘇市小里２５０番地４</v>
      </c>
      <c r="E139" t="str">
        <f>"R06.11.22"</f>
        <v>R06.11.22</v>
      </c>
      <c r="F139" t="str">
        <f>"R12.11.21"</f>
        <v>R12.11.21</v>
      </c>
    </row>
    <row r="140" spans="1:6" x14ac:dyDescent="0.2">
      <c r="A140" t="str">
        <f>"第1545号"</f>
        <v>第1545号</v>
      </c>
      <c r="B140" t="str">
        <f>"株式会社ドラッグストアモリ"</f>
        <v>株式会社ドラッグストアモリ</v>
      </c>
      <c r="C140" t="str">
        <f>"ドラッグストアモリ　阿蘇一の宮店"</f>
        <v>ドラッグストアモリ　阿蘇一の宮店</v>
      </c>
      <c r="D140" t="str">
        <f>"阿蘇市一の宮町宮地４５２２番地"</f>
        <v>阿蘇市一の宮町宮地４５２２番地</v>
      </c>
      <c r="E140" t="str">
        <f>"R02.11.19"</f>
        <v>R02.11.19</v>
      </c>
      <c r="F140" t="str">
        <f>"R08.11.18"</f>
        <v>R08.11.18</v>
      </c>
    </row>
    <row r="141" spans="1:6" x14ac:dyDescent="0.2">
      <c r="A141" t="str">
        <f>"第738号"</f>
        <v>第738号</v>
      </c>
      <c r="B141" t="str">
        <f>"株式会社　ヨネザワ"</f>
        <v>株式会社　ヨネザワ</v>
      </c>
      <c r="C141" t="str">
        <f>"メガネのヨネザワ阿蘇店"</f>
        <v>メガネのヨネザワ阿蘇店</v>
      </c>
      <c r="D141" t="str">
        <f>"阿蘇市蔵原８３２－１"</f>
        <v>阿蘇市蔵原８３２－１</v>
      </c>
      <c r="E141" t="str">
        <f>"R06.10.18"</f>
        <v>R06.10.18</v>
      </c>
      <c r="F141" t="str">
        <f>"R12.10.17"</f>
        <v>R12.10.17</v>
      </c>
    </row>
    <row r="142" spans="1:6" x14ac:dyDescent="0.2">
      <c r="A142" t="str">
        <f>"第1121号"</f>
        <v>第1121号</v>
      </c>
      <c r="B142" t="str">
        <f>"株式会社ドラッグストアモリ"</f>
        <v>株式会社ドラッグストアモリ</v>
      </c>
      <c r="C142" t="str">
        <f>"ドラッグストアモリ　小国店"</f>
        <v>ドラッグストアモリ　小国店</v>
      </c>
      <c r="D142" t="str">
        <f>"阿蘇郡南小国町大字赤馬場１２８３－１"</f>
        <v>阿蘇郡南小国町大字赤馬場１２８３－１</v>
      </c>
      <c r="E142" t="str">
        <f>"R06.03.06"</f>
        <v>R06.03.06</v>
      </c>
      <c r="F142" t="str">
        <f>"R12.03.05"</f>
        <v>R12.03.05</v>
      </c>
    </row>
    <row r="143" spans="1:6" x14ac:dyDescent="0.2">
      <c r="A143" t="str">
        <f>"第1634号"</f>
        <v>第1634号</v>
      </c>
      <c r="B143" t="str">
        <f>"株式会社SKY CREATE"</f>
        <v>株式会社SKY CREATE</v>
      </c>
      <c r="C143" t="str">
        <f>"海浜総合薬局　西原店"</f>
        <v>海浜総合薬局　西原店</v>
      </c>
      <c r="D143" t="str">
        <f>"阿蘇郡西原村小森３２０９－３"</f>
        <v>阿蘇郡西原村小森３２０９－３</v>
      </c>
      <c r="E143" t="str">
        <f>"R05.04.01"</f>
        <v>R05.04.01</v>
      </c>
      <c r="F143" t="str">
        <f>"R11.03.31"</f>
        <v>R11.03.31</v>
      </c>
    </row>
    <row r="144" spans="1:6" x14ac:dyDescent="0.2">
      <c r="A144" t="str">
        <f>"第1397号"</f>
        <v>第1397号</v>
      </c>
      <c r="B144" t="str">
        <f>"株式会社ハートフェルト"</f>
        <v>株式会社ハートフェルト</v>
      </c>
      <c r="C144" t="str">
        <f>"下野中央薬局"</f>
        <v>下野中央薬局</v>
      </c>
      <c r="D144" t="str">
        <f>"阿蘇郡南阿蘇村大字下野４０１－３"</f>
        <v>阿蘇郡南阿蘇村大字下野４０１－３</v>
      </c>
      <c r="E144" t="str">
        <f>"R04.08.15"</f>
        <v>R04.08.15</v>
      </c>
      <c r="F144" t="str">
        <f>"R10.08.14"</f>
        <v>R10.08.14</v>
      </c>
    </row>
    <row r="145" spans="1:6" x14ac:dyDescent="0.2">
      <c r="A145" t="str">
        <f>"第265号"</f>
        <v>第265号</v>
      </c>
      <c r="B145" t="str">
        <f>"有限会社阿蘇中央調剤薬局"</f>
        <v>有限会社阿蘇中央調剤薬局</v>
      </c>
      <c r="C145" t="str">
        <f>"小国調剤薬局"</f>
        <v>小国調剤薬局</v>
      </c>
      <c r="D145" t="str">
        <f>"阿蘇郡小国町宮原１７３５－９"</f>
        <v>阿蘇郡小国町宮原１７３５－９</v>
      </c>
      <c r="E145" t="str">
        <f t="shared" ref="E145:E152" si="3">"R05.01.01"</f>
        <v>R05.01.01</v>
      </c>
      <c r="F145" t="str">
        <f t="shared" ref="F145:F152" si="4">"R10.12.31"</f>
        <v>R10.12.31</v>
      </c>
    </row>
    <row r="146" spans="1:6" x14ac:dyDescent="0.2">
      <c r="A146" t="str">
        <f>"第576号"</f>
        <v>第576号</v>
      </c>
      <c r="B146" t="str">
        <f>"有限会社古島コンタクトレンズ"</f>
        <v>有限会社古島コンタクトレンズ</v>
      </c>
      <c r="C146" t="str">
        <f>"有限会社古島コンタクトレンズ"</f>
        <v>有限会社古島コンタクトレンズ</v>
      </c>
      <c r="D146" t="str">
        <f>"阿蘇市黒川１５２１番地"</f>
        <v>阿蘇市黒川１５２１番地</v>
      </c>
      <c r="E146" t="str">
        <f t="shared" si="3"/>
        <v>R05.01.01</v>
      </c>
      <c r="F146" t="str">
        <f t="shared" si="4"/>
        <v>R10.12.31</v>
      </c>
    </row>
    <row r="147" spans="1:6" x14ac:dyDescent="0.2">
      <c r="A147" t="str">
        <f>"第270号"</f>
        <v>第270号</v>
      </c>
      <c r="B147" t="str">
        <f>"日本ガスケミ株式会社"</f>
        <v>日本ガスケミ株式会社</v>
      </c>
      <c r="C147" t="str">
        <f>"日本ガスケミ株式会社"</f>
        <v>日本ガスケミ株式会社</v>
      </c>
      <c r="D147" t="str">
        <f>"阿蘇郡西原村布田９９５－１"</f>
        <v>阿蘇郡西原村布田９９５－１</v>
      </c>
      <c r="E147" t="str">
        <f t="shared" si="3"/>
        <v>R05.01.01</v>
      </c>
      <c r="F147" t="str">
        <f t="shared" si="4"/>
        <v>R10.12.31</v>
      </c>
    </row>
    <row r="148" spans="1:6" x14ac:dyDescent="0.2">
      <c r="A148" t="str">
        <f>"第266号"</f>
        <v>第266号</v>
      </c>
      <c r="B148" t="str">
        <f>"株式会社ユニスマイル"</f>
        <v>株式会社ユニスマイル</v>
      </c>
      <c r="C148" t="str">
        <f>"ファーコス薬局　ゆう"</f>
        <v>ファーコス薬局　ゆう</v>
      </c>
      <c r="D148" t="str">
        <f>"阿蘇郡小国町宮原１７４８－５"</f>
        <v>阿蘇郡小国町宮原１７４８－５</v>
      </c>
      <c r="E148" t="str">
        <f t="shared" si="3"/>
        <v>R05.01.01</v>
      </c>
      <c r="F148" t="str">
        <f t="shared" si="4"/>
        <v>R10.12.31</v>
      </c>
    </row>
    <row r="149" spans="1:6" x14ac:dyDescent="0.2">
      <c r="A149" t="str">
        <f>"第261号"</f>
        <v>第261号</v>
      </c>
      <c r="B149" t="str">
        <f>"小野　美子"</f>
        <v>小野　美子</v>
      </c>
      <c r="C149" t="str">
        <f>"おのコンタクトレンズ"</f>
        <v>おのコンタクトレンズ</v>
      </c>
      <c r="D149" t="str">
        <f>"阿蘇市内牧３７１"</f>
        <v>阿蘇市内牧３７１</v>
      </c>
      <c r="E149" t="str">
        <f t="shared" si="3"/>
        <v>R05.01.01</v>
      </c>
      <c r="F149" t="str">
        <f t="shared" si="4"/>
        <v>R10.12.31</v>
      </c>
    </row>
    <row r="150" spans="1:6" x14ac:dyDescent="0.2">
      <c r="A150" t="str">
        <f>"第438号"</f>
        <v>第438号</v>
      </c>
      <c r="B150" t="str">
        <f>"禿　以喜生"</f>
        <v>禿　以喜生</v>
      </c>
      <c r="C150" t="str">
        <f>"教文堂"</f>
        <v>教文堂</v>
      </c>
      <c r="D150" t="str">
        <f>"阿蘇郡小国町宮原１５５８"</f>
        <v>阿蘇郡小国町宮原１５５８</v>
      </c>
      <c r="E150" t="str">
        <f t="shared" si="3"/>
        <v>R05.01.01</v>
      </c>
      <c r="F150" t="str">
        <f t="shared" si="4"/>
        <v>R10.12.31</v>
      </c>
    </row>
    <row r="151" spans="1:6" x14ac:dyDescent="0.2">
      <c r="A151" t="str">
        <f>"第569号"</f>
        <v>第569号</v>
      </c>
      <c r="B151" t="str">
        <f>"有限会社伊藤商事"</f>
        <v>有限会社伊藤商事</v>
      </c>
      <c r="C151" t="str">
        <f>"有限会社伊藤商事"</f>
        <v>有限会社伊藤商事</v>
      </c>
      <c r="D151" t="str">
        <f>"阿蘇市一の宮町宮地２１９６番地１"</f>
        <v>阿蘇市一の宮町宮地２１９６番地１</v>
      </c>
      <c r="E151" t="str">
        <f t="shared" si="3"/>
        <v>R05.01.01</v>
      </c>
      <c r="F151" t="str">
        <f t="shared" si="4"/>
        <v>R10.12.31</v>
      </c>
    </row>
    <row r="152" spans="1:6" x14ac:dyDescent="0.2">
      <c r="A152" t="str">
        <f>"第269号"</f>
        <v>第269号</v>
      </c>
      <c r="B152" t="str">
        <f>"有限会社内牧中央薬局"</f>
        <v>有限会社内牧中央薬局</v>
      </c>
      <c r="C152" t="str">
        <f>"有限会社内牧中央薬局"</f>
        <v>有限会社内牧中央薬局</v>
      </c>
      <c r="D152" t="str">
        <f>"阿蘇市内牧１６１－８"</f>
        <v>阿蘇市内牧１６１－８</v>
      </c>
      <c r="E152" t="str">
        <f t="shared" si="3"/>
        <v>R05.01.01</v>
      </c>
      <c r="F152" t="str">
        <f t="shared" si="4"/>
        <v>R10.12.31</v>
      </c>
    </row>
    <row r="153" spans="1:6" x14ac:dyDescent="0.2">
      <c r="A153" t="str">
        <f>"第1300号"</f>
        <v>第1300号</v>
      </c>
      <c r="B153" t="str">
        <f>"株式会社アスリード"</f>
        <v>株式会社アスリード</v>
      </c>
      <c r="C153" t="str">
        <f>"アスリード阿蘇医療センター前薬局"</f>
        <v>アスリード阿蘇医療センター前薬局</v>
      </c>
      <c r="D153" t="str">
        <f>"阿蘇市黒川１４８８番地１"</f>
        <v>阿蘇市黒川１４８８番地１</v>
      </c>
      <c r="E153" t="str">
        <f>"R02.07.03"</f>
        <v>R02.07.03</v>
      </c>
      <c r="F153" t="str">
        <f>"R08.07.02"</f>
        <v>R08.07.02</v>
      </c>
    </row>
    <row r="154" spans="1:6" x14ac:dyDescent="0.2">
      <c r="A154" t="str">
        <f>"第262号"</f>
        <v>第262号</v>
      </c>
      <c r="B154" t="str">
        <f>"株式会社ファーマダイワ"</f>
        <v>株式会社ファーマダイワ</v>
      </c>
      <c r="C154" t="str">
        <f>"阿蘇りんどう薬局"</f>
        <v>阿蘇りんどう薬局</v>
      </c>
      <c r="D154" t="str">
        <f>"阿蘇市内牧字宝仙向１１６０番地９"</f>
        <v>阿蘇市内牧字宝仙向１１６０番地９</v>
      </c>
      <c r="E154" t="str">
        <f>"R05.01.01"</f>
        <v>R05.01.01</v>
      </c>
      <c r="F154" t="str">
        <f>"R10.12.31"</f>
        <v>R10.12.31</v>
      </c>
    </row>
    <row r="155" spans="1:6" x14ac:dyDescent="0.2">
      <c r="A155" t="str">
        <f>"第263号"</f>
        <v>第263号</v>
      </c>
      <c r="B155" t="str">
        <f>"株式会社エルピーダ"</f>
        <v>株式会社エルピーダ</v>
      </c>
      <c r="C155" t="str">
        <f>"一の宮薬局"</f>
        <v>一の宮薬局</v>
      </c>
      <c r="D155" t="str">
        <f>"阿蘇市一の宮町宮地５８３３番地５"</f>
        <v>阿蘇市一の宮町宮地５８３３番地５</v>
      </c>
      <c r="E155" t="str">
        <f>"R05.01.01"</f>
        <v>R05.01.01</v>
      </c>
      <c r="F155" t="str">
        <f>"R10.12.31"</f>
        <v>R10.12.31</v>
      </c>
    </row>
    <row r="156" spans="1:6" x14ac:dyDescent="0.2">
      <c r="A156" t="str">
        <f>"第1405号"</f>
        <v>第1405号</v>
      </c>
      <c r="B156" t="str">
        <f>"福本　満喜"</f>
        <v>福本　満喜</v>
      </c>
      <c r="C156" t="str">
        <f>"総合商社エーブル"</f>
        <v>総合商社エーブル</v>
      </c>
      <c r="D156" t="str">
        <f>"阿蘇郡南阿蘇村吉田２５－３"</f>
        <v>阿蘇郡南阿蘇村吉田２５－３</v>
      </c>
      <c r="E156" t="str">
        <f>"R04.10.26"</f>
        <v>R04.10.26</v>
      </c>
      <c r="F156" t="str">
        <f>"R10.10.25"</f>
        <v>R10.10.25</v>
      </c>
    </row>
    <row r="157" spans="1:6" x14ac:dyDescent="0.2">
      <c r="A157" t="str">
        <f>"第1357号"</f>
        <v>第1357号</v>
      </c>
      <c r="B157" t="str">
        <f>"株式会社サンレイメディカル"</f>
        <v>株式会社サンレイメディカル</v>
      </c>
      <c r="C157" t="str">
        <f>"株式会社サンレイメディカル"</f>
        <v>株式会社サンレイメディカル</v>
      </c>
      <c r="D157" t="str">
        <f>"阿蘇郡西原村乾原１１２９"</f>
        <v>阿蘇郡西原村乾原１１２９</v>
      </c>
      <c r="E157" t="str">
        <f>"R03.01.01"</f>
        <v>R03.01.01</v>
      </c>
      <c r="F157" t="str">
        <f>"R08.12.31"</f>
        <v>R08.12.31</v>
      </c>
    </row>
    <row r="158" spans="1:6" x14ac:dyDescent="0.2">
      <c r="A158" t="str">
        <f>"第1597号"</f>
        <v>第1597号</v>
      </c>
      <c r="B158" t="str">
        <f>"有限会社丹波屋"</f>
        <v>有限会社丹波屋</v>
      </c>
      <c r="C158" t="str">
        <f>"丹波屋"</f>
        <v>丹波屋</v>
      </c>
      <c r="D158" t="str">
        <f>"阿蘇市一の宮町宮地１８５７番地の１"</f>
        <v>阿蘇市一の宮町宮地１８５７番地の１</v>
      </c>
      <c r="E158" t="str">
        <f>"R03.10.25"</f>
        <v>R03.10.25</v>
      </c>
      <c r="F158" t="str">
        <f>"R09.10.24"</f>
        <v>R09.10.24</v>
      </c>
    </row>
    <row r="159" spans="1:6" x14ac:dyDescent="0.2">
      <c r="A159" t="str">
        <f>"第1364号"</f>
        <v>第1364号</v>
      </c>
      <c r="B159" t="str">
        <f>"株式会社ハートフェルト"</f>
        <v>株式会社ハートフェルト</v>
      </c>
      <c r="C159" t="str">
        <f>"白川水源薬局"</f>
        <v>白川水源薬局</v>
      </c>
      <c r="D159" t="str">
        <f>"阿蘇郡南阿蘇村白川２１１１－１"</f>
        <v>阿蘇郡南阿蘇村白川２１１１－１</v>
      </c>
      <c r="E159" t="str">
        <f>"R03.07.01"</f>
        <v>R03.07.01</v>
      </c>
      <c r="F159" t="str">
        <f>"R09.06.30"</f>
        <v>R09.06.30</v>
      </c>
    </row>
    <row r="160" spans="1:6" x14ac:dyDescent="0.2">
      <c r="A160" t="str">
        <f>"第1540号"</f>
        <v>第1540号</v>
      </c>
      <c r="B160" t="str">
        <f>"株式会社ハートフェルト"</f>
        <v>株式会社ハートフェルト</v>
      </c>
      <c r="C160" t="str">
        <f>"陽だまり薬局"</f>
        <v>陽だまり薬局</v>
      </c>
      <c r="D160" t="str">
        <f>"阿蘇郡南阿蘇村大字立野１８７－２"</f>
        <v>阿蘇郡南阿蘇村大字立野１８７－２</v>
      </c>
      <c r="E160" t="str">
        <f>"R02.11.01"</f>
        <v>R02.11.01</v>
      </c>
      <c r="F160" t="str">
        <f>"R08.10.31"</f>
        <v>R08.10.31</v>
      </c>
    </row>
    <row r="161" spans="1:6" x14ac:dyDescent="0.2">
      <c r="A161" t="str">
        <f>"第1552号"</f>
        <v>第1552号</v>
      </c>
      <c r="B161" t="str">
        <f>"有限会社杉田産業"</f>
        <v>有限会社杉田産業</v>
      </c>
      <c r="C161" t="str">
        <f>"有限会社杉田産業　介護事業部　ケアーズ・イン"</f>
        <v>有限会社杉田産業　介護事業部　ケアーズ・イン</v>
      </c>
      <c r="D161" t="str">
        <f>"阿蘇市狩尾２４０番地２"</f>
        <v>阿蘇市狩尾２４０番地２</v>
      </c>
      <c r="E161" t="str">
        <f>"R03.01.29"</f>
        <v>R03.01.29</v>
      </c>
      <c r="F161" t="str">
        <f>"R09.01.28"</f>
        <v>R09.01.28</v>
      </c>
    </row>
    <row r="162" spans="1:6" x14ac:dyDescent="0.2">
      <c r="A162" t="str">
        <f>"第1328号"</f>
        <v>第1328号</v>
      </c>
      <c r="B162" t="str">
        <f>"中村　稔"</f>
        <v>中村　稔</v>
      </c>
      <c r="C162" t="str">
        <f>"中村薬局"</f>
        <v>中村薬局</v>
      </c>
      <c r="D162" t="str">
        <f>"阿蘇郡高森町大字高森１２９２"</f>
        <v>阿蘇郡高森町大字高森１２９２</v>
      </c>
      <c r="E162" t="str">
        <f>"R02.12.10"</f>
        <v>R02.12.10</v>
      </c>
      <c r="F162" t="str">
        <f>"R08.12.09"</f>
        <v>R08.12.09</v>
      </c>
    </row>
    <row r="163" spans="1:6" x14ac:dyDescent="0.2">
      <c r="A163" t="str">
        <f>"第1541号"</f>
        <v>第1541号</v>
      </c>
      <c r="B163" t="str">
        <f>"大谷　哲郎"</f>
        <v>大谷　哲郎</v>
      </c>
      <c r="C163" t="str">
        <f>"Ｔ・Ｓメディカル"</f>
        <v>Ｔ・Ｓメディカル</v>
      </c>
      <c r="D163" t="str">
        <f>"阿蘇郡西原村小森２４６０"</f>
        <v>阿蘇郡西原村小森２４６０</v>
      </c>
      <c r="E163" t="str">
        <f>"R02.10.28"</f>
        <v>R02.10.28</v>
      </c>
      <c r="F163" t="str">
        <f>"R08.10.27"</f>
        <v>R08.10.27</v>
      </c>
    </row>
    <row r="164" spans="1:6" x14ac:dyDescent="0.2">
      <c r="A164" t="str">
        <f>"第1305号"</f>
        <v>第1305号</v>
      </c>
      <c r="B164" t="str">
        <f>"有限会社内牧中央薬局"</f>
        <v>有限会社内牧中央薬局</v>
      </c>
      <c r="C164" t="str">
        <f>"阿蘇中央薬局"</f>
        <v>阿蘇中央薬局</v>
      </c>
      <c r="D164" t="str">
        <f>"阿蘇市黒川１２４９"</f>
        <v>阿蘇市黒川１２４９</v>
      </c>
      <c r="E164" t="str">
        <f>"R02.08.06"</f>
        <v>R02.08.06</v>
      </c>
      <c r="F164" t="str">
        <f>"R08.08.05"</f>
        <v>R08.08.05</v>
      </c>
    </row>
    <row r="165" spans="1:6" x14ac:dyDescent="0.2">
      <c r="A165" t="str">
        <f>"第1282号"</f>
        <v>第1282号</v>
      </c>
      <c r="B165" t="str">
        <f>"株式会社テラマツ調剤"</f>
        <v>株式会社テラマツ調剤</v>
      </c>
      <c r="C165" t="str">
        <f>"へきすい薬局"</f>
        <v>へきすい薬局</v>
      </c>
      <c r="D165" t="str">
        <f>"阿蘇市黒川１４８２番地４"</f>
        <v>阿蘇市黒川１４８２番地４</v>
      </c>
      <c r="E165" t="str">
        <f>"R02.01.01"</f>
        <v>R02.01.01</v>
      </c>
      <c r="F165" t="str">
        <f>"R07.12.31"</f>
        <v>R07.12.31</v>
      </c>
    </row>
    <row r="166" spans="1:6" x14ac:dyDescent="0.2">
      <c r="A166" t="str">
        <f>"第1382号"</f>
        <v>第1382号</v>
      </c>
      <c r="B166" t="str">
        <f>"株式会社ファーマダイワ"</f>
        <v>株式会社ファーマダイワ</v>
      </c>
      <c r="C166" t="str">
        <f>"そよ風薬局　嘉島店"</f>
        <v>そよ風薬局　嘉島店</v>
      </c>
      <c r="D166" t="str">
        <f>"上益城郡嘉島町上島２４９６－１"</f>
        <v>上益城郡嘉島町上島２４９６－１</v>
      </c>
      <c r="E166" t="str">
        <f>"R04.01.27"</f>
        <v>R04.01.27</v>
      </c>
      <c r="F166" t="str">
        <f>"R10.01.26"</f>
        <v>R10.01.26</v>
      </c>
    </row>
    <row r="167" spans="1:6" x14ac:dyDescent="0.2">
      <c r="A167" t="str">
        <f>"第1008号"</f>
        <v>第1008号</v>
      </c>
      <c r="B167" t="str">
        <f>"ＨＯＹＡ株式会社"</f>
        <v>ＨＯＹＡ株式会社</v>
      </c>
      <c r="C167" t="str">
        <f>"アイシティ　イオンモール熊本"</f>
        <v>アイシティ　イオンモール熊本</v>
      </c>
      <c r="D167" t="str">
        <f>"上益城郡嘉島町大字上島字長池２２３２"</f>
        <v>上益城郡嘉島町大字上島字長池２２３２</v>
      </c>
      <c r="E167" t="str">
        <f>"R04.01.01"</f>
        <v>R04.01.01</v>
      </c>
      <c r="F167" t="str">
        <f>"R09.12.31"</f>
        <v>R09.12.31</v>
      </c>
    </row>
    <row r="168" spans="1:6" x14ac:dyDescent="0.2">
      <c r="A168" t="str">
        <f>"第1404号"</f>
        <v>第1404号</v>
      </c>
      <c r="B168" t="str">
        <f>"イオン九州株式会社"</f>
        <v>イオン九州株式会社</v>
      </c>
      <c r="C168" t="str">
        <f>"イオン熊本店"</f>
        <v>イオン熊本店</v>
      </c>
      <c r="D168" t="str">
        <f>"上益城郡嘉島町大字上島字長池２２３２"</f>
        <v>上益城郡嘉島町大字上島字長池２２３２</v>
      </c>
      <c r="E168" t="str">
        <f>"R04.10.20"</f>
        <v>R04.10.20</v>
      </c>
      <c r="F168" t="str">
        <f>"R10.10.19"</f>
        <v>R10.10.19</v>
      </c>
    </row>
    <row r="169" spans="1:6" x14ac:dyDescent="0.2">
      <c r="A169" t="str">
        <f>"第1572号"</f>
        <v>第1572号</v>
      </c>
      <c r="B169" t="str">
        <f>"イオン九州株式会社"</f>
        <v>イオン九州株式会社</v>
      </c>
      <c r="C169" t="str">
        <f>"イオン薬局熊本店"</f>
        <v>イオン薬局熊本店</v>
      </c>
      <c r="D169" t="str">
        <f>"上益城郡嘉島町大字上島字長池２２３２"</f>
        <v>上益城郡嘉島町大字上島字長池２２３２</v>
      </c>
      <c r="E169" t="str">
        <f>"R03.05.13"</f>
        <v>R03.05.13</v>
      </c>
      <c r="F169" t="str">
        <f>"R09.05.12"</f>
        <v>R09.05.12</v>
      </c>
    </row>
    <row r="170" spans="1:6" x14ac:dyDescent="0.2">
      <c r="A170" t="str">
        <f>"第1125号"</f>
        <v>第1125号</v>
      </c>
      <c r="B170" t="str">
        <f>"株式会社ドラッグストアモリ"</f>
        <v>株式会社ドラッグストアモリ</v>
      </c>
      <c r="C170" t="str">
        <f>"ドラッグストアモリ　熊本嘉島店"</f>
        <v>ドラッグストアモリ　熊本嘉島店</v>
      </c>
      <c r="D170" t="str">
        <f>"上益城郡嘉島町上島１９５１"</f>
        <v>上益城郡嘉島町上島１９５１</v>
      </c>
      <c r="E170" t="str">
        <f>"R06.03.09"</f>
        <v>R06.03.09</v>
      </c>
      <c r="F170" t="str">
        <f>"R12.03.08"</f>
        <v>R12.03.08</v>
      </c>
    </row>
    <row r="171" spans="1:6" x14ac:dyDescent="0.2">
      <c r="A171" t="str">
        <f>"第274号"</f>
        <v>第274号</v>
      </c>
      <c r="B171" t="str">
        <f>"株式会社ホギメディカル"</f>
        <v>株式会社ホギメディカル</v>
      </c>
      <c r="C171" t="str">
        <f>"株式会社ホギメディカル　南九州支店"</f>
        <v>株式会社ホギメディカル　南九州支店</v>
      </c>
      <c r="D171" t="str">
        <f>"上益城郡益城町古閑１０７－１２"</f>
        <v>上益城郡益城町古閑１０７－１２</v>
      </c>
      <c r="E171" t="str">
        <f>"R05.04.01"</f>
        <v>R05.04.01</v>
      </c>
      <c r="F171" t="str">
        <f>"R11.03.31"</f>
        <v>R11.03.31</v>
      </c>
    </row>
    <row r="172" spans="1:6" x14ac:dyDescent="0.2">
      <c r="A172" t="str">
        <f>"第1718号"</f>
        <v>第1718号</v>
      </c>
      <c r="B172" t="str">
        <f>"アルフレッサヘルスケア株式会社"</f>
        <v>アルフレッサヘルスケア株式会社</v>
      </c>
      <c r="C172" t="str">
        <f>"アルフレッサヘルスケア株式会社　九州物流センター"</f>
        <v>アルフレッサヘルスケア株式会社　九州物流センター</v>
      </c>
      <c r="D172" t="str">
        <f>"上益城郡御船町大字木倉４０７番の１"</f>
        <v>上益城郡御船町大字木倉４０７番の１</v>
      </c>
      <c r="E172" t="str">
        <f>"R07.02.07"</f>
        <v>R07.02.07</v>
      </c>
      <c r="F172" t="str">
        <f>"R13.02.06"</f>
        <v>R13.02.06</v>
      </c>
    </row>
    <row r="173" spans="1:6" x14ac:dyDescent="0.2">
      <c r="A173" t="str">
        <f>"第1722号"</f>
        <v>第1722号</v>
      </c>
      <c r="B173" t="str">
        <f>"株式会社九州メディカルサポート"</f>
        <v>株式会社九州メディカルサポート</v>
      </c>
      <c r="C173" t="str">
        <f>"はままち薬局"</f>
        <v>はままち薬局</v>
      </c>
      <c r="D173" t="str">
        <f>"上益城郡山都町浜町２０２番地３"</f>
        <v>上益城郡山都町浜町２０２番地３</v>
      </c>
      <c r="E173" t="str">
        <f>"R07.04.01"</f>
        <v>R07.04.01</v>
      </c>
      <c r="F173" t="str">
        <f>"R13.03.31"</f>
        <v>R13.03.31</v>
      </c>
    </row>
    <row r="174" spans="1:6" x14ac:dyDescent="0.2">
      <c r="A174" t="str">
        <f>"第1493号"</f>
        <v>第1493号</v>
      </c>
      <c r="B174" t="str">
        <f>"株式会社水の里調剤薬局"</f>
        <v>株式会社水の里調剤薬局</v>
      </c>
      <c r="C174" t="str">
        <f>"水の里調剤薬局"</f>
        <v>水の里調剤薬局</v>
      </c>
      <c r="D174" t="str">
        <f>"上益城郡山都町城平８４５－１"</f>
        <v>上益城郡山都町城平８４５－１</v>
      </c>
      <c r="E174" t="str">
        <f>"R07.02.01"</f>
        <v>R07.02.01</v>
      </c>
      <c r="F174" t="str">
        <f>"R13.01.31"</f>
        <v>R13.01.31</v>
      </c>
    </row>
    <row r="175" spans="1:6" x14ac:dyDescent="0.2">
      <c r="A175" t="str">
        <f>"第1717号"</f>
        <v>第1717号</v>
      </c>
      <c r="B175" t="str">
        <f>"有限会社坂梨薬局"</f>
        <v>有限会社坂梨薬局</v>
      </c>
      <c r="C175" t="str">
        <f>"坂梨薬局"</f>
        <v>坂梨薬局</v>
      </c>
      <c r="D175" t="str">
        <f>"上益城郡山都町浜町１７０－１"</f>
        <v>上益城郡山都町浜町１７０－１</v>
      </c>
      <c r="E175" t="str">
        <f>"R07.01.25"</f>
        <v>R07.01.25</v>
      </c>
      <c r="F175" t="str">
        <f>"R12.12.31"</f>
        <v>R12.12.31</v>
      </c>
    </row>
    <row r="176" spans="1:6" x14ac:dyDescent="0.2">
      <c r="A176" t="str">
        <f>"第589号"</f>
        <v>第589号</v>
      </c>
      <c r="B176" t="str">
        <f>"株式会社タカサキ"</f>
        <v>株式会社タカサキ</v>
      </c>
      <c r="C176" t="str">
        <f>"タカサキ薬局益城店"</f>
        <v>タカサキ薬局益城店</v>
      </c>
      <c r="D176" t="str">
        <f>"上益城郡益城町大字宮園７３２－１"</f>
        <v>上益城郡益城町大字宮園７３２－１</v>
      </c>
      <c r="E176" t="str">
        <f>"R05.01.01"</f>
        <v>R05.01.01</v>
      </c>
      <c r="F176" t="str">
        <f>"R10.12.31"</f>
        <v>R10.12.31</v>
      </c>
    </row>
    <row r="177" spans="1:6" x14ac:dyDescent="0.2">
      <c r="A177" t="str">
        <f>"第1230号"</f>
        <v>第1230号</v>
      </c>
      <c r="B177" t="str">
        <f>"嶋田　修"</f>
        <v>嶋田　修</v>
      </c>
      <c r="C177" t="str">
        <f>"フランクール"</f>
        <v>フランクール</v>
      </c>
      <c r="D177" t="str">
        <f>"上益城郡御船町御船１０４１－１"</f>
        <v>上益城郡御船町御船１０４１－１</v>
      </c>
      <c r="E177" t="str">
        <f>"R07.01.01"</f>
        <v>R07.01.01</v>
      </c>
      <c r="F177" t="str">
        <f>"R12.12.31"</f>
        <v>R12.12.31</v>
      </c>
    </row>
    <row r="178" spans="1:6" x14ac:dyDescent="0.2">
      <c r="A178" t="str">
        <f>"第1488号"</f>
        <v>第1488号</v>
      </c>
      <c r="B178" t="str">
        <f>"合同会社益城コンタクト"</f>
        <v>合同会社益城コンタクト</v>
      </c>
      <c r="C178" t="str">
        <f>"益城コンタクト"</f>
        <v>益城コンタクト</v>
      </c>
      <c r="D178" t="str">
        <f>"上益城郡益城町惣領１４２９番地５"</f>
        <v>上益城郡益城町惣領１４２９番地５</v>
      </c>
      <c r="E178" t="str">
        <f>"R06.12.01"</f>
        <v>R06.12.01</v>
      </c>
      <c r="F178" t="str">
        <f>"R12.11.30"</f>
        <v>R12.11.30</v>
      </c>
    </row>
    <row r="179" spans="1:6" x14ac:dyDescent="0.2">
      <c r="A179" t="str">
        <f>"第1677号"</f>
        <v>第1677号</v>
      </c>
      <c r="B179" t="str">
        <f>"株式会社エディオン"</f>
        <v>株式会社エディオン</v>
      </c>
      <c r="C179" t="str">
        <f>"エディオン　イオンモール熊本店"</f>
        <v>エディオン　イオンモール熊本店</v>
      </c>
      <c r="D179" t="str">
        <f>"上益城郡嘉島町大字上島字長池２２３２"</f>
        <v>上益城郡嘉島町大字上島字長池２２３２</v>
      </c>
      <c r="E179" t="str">
        <f>"R05.11.28"</f>
        <v>R05.11.28</v>
      </c>
      <c r="F179" t="str">
        <f>"R11.11.27"</f>
        <v>R11.11.27</v>
      </c>
    </row>
    <row r="180" spans="1:6" x14ac:dyDescent="0.2">
      <c r="A180" t="str">
        <f>"第1556号"</f>
        <v>第1556号</v>
      </c>
      <c r="B180" t="str">
        <f>"コストコホールセールジャパン株式会社"</f>
        <v>コストコホールセールジャパン株式会社</v>
      </c>
      <c r="C180" t="str">
        <f>"コストコホールセール熊本御船倉庫店薬局"</f>
        <v>コストコホールセール熊本御船倉庫店薬局</v>
      </c>
      <c r="D180" t="str">
        <f>"上益城郡御船町大字小坂字宮田６８９－１"</f>
        <v>上益城郡御船町大字小坂字宮田６８９－１</v>
      </c>
      <c r="E180" t="str">
        <f>"R03.02.26"</f>
        <v>R03.02.26</v>
      </c>
      <c r="F180" t="str">
        <f>"R09.02.25"</f>
        <v>R09.02.25</v>
      </c>
    </row>
    <row r="181" spans="1:6" x14ac:dyDescent="0.2">
      <c r="A181" t="str">
        <f>"第277号"</f>
        <v>第277号</v>
      </c>
      <c r="B181" t="str">
        <f>"有限会社新緑会"</f>
        <v>有限会社新緑会</v>
      </c>
      <c r="C181" t="str">
        <f>"かしまコンタクト"</f>
        <v>かしまコンタクト</v>
      </c>
      <c r="D181" t="str">
        <f>"上益城郡嘉島町鯰１８９８－３"</f>
        <v>上益城郡嘉島町鯰１８９８－３</v>
      </c>
      <c r="E181" t="str">
        <f>"R05.04.01"</f>
        <v>R05.04.01</v>
      </c>
      <c r="F181" t="str">
        <f>"R11.03.31"</f>
        <v>R11.03.31</v>
      </c>
    </row>
    <row r="182" spans="1:6" x14ac:dyDescent="0.2">
      <c r="A182" t="str">
        <f>"第1174号"</f>
        <v>第1174号</v>
      </c>
      <c r="B182" t="str">
        <f>"有限会社蘇陽調剤薬局"</f>
        <v>有限会社蘇陽調剤薬局</v>
      </c>
      <c r="C182" t="str">
        <f>"蘇陽調剤薬局"</f>
        <v>蘇陽調剤薬局</v>
      </c>
      <c r="D182" t="str">
        <f>"上益城郡山都町滝上４６４－２"</f>
        <v>上益城郡山都町滝上４６４－２</v>
      </c>
      <c r="E182" t="str">
        <f>"R06.11.12"</f>
        <v>R06.11.12</v>
      </c>
      <c r="F182" t="str">
        <f>"R12.11.11"</f>
        <v>R12.11.11</v>
      </c>
    </row>
    <row r="183" spans="1:6" x14ac:dyDescent="0.2">
      <c r="A183" t="str">
        <f>"第1473号"</f>
        <v>第1473号</v>
      </c>
      <c r="B183" t="str">
        <f>"株式会社天翔"</f>
        <v>株式会社天翔</v>
      </c>
      <c r="C183" t="str">
        <f>"Hersher　イオンモール熊本店"</f>
        <v>Hersher　イオンモール熊本店</v>
      </c>
      <c r="D183" t="str">
        <f>"上益城郡嘉島町大字上島字長池２２３２"</f>
        <v>上益城郡嘉島町大字上島字長池２２３２</v>
      </c>
      <c r="E183" t="str">
        <f>"R06.07.10"</f>
        <v>R06.07.10</v>
      </c>
      <c r="F183" t="str">
        <f>"R12.07.09"</f>
        <v>R12.07.09</v>
      </c>
    </row>
    <row r="184" spans="1:6" x14ac:dyDescent="0.2">
      <c r="A184" t="str">
        <f>"第692号"</f>
        <v>第692号</v>
      </c>
      <c r="B184" t="str">
        <f>"株式会社　ヨネザワ"</f>
        <v>株式会社　ヨネザワ</v>
      </c>
      <c r="C184" t="str">
        <f>"メガネのヨネザワ　イオンモール熊本店"</f>
        <v>メガネのヨネザワ　イオンモール熊本店</v>
      </c>
      <c r="D184" t="str">
        <f>"上益城郡嘉島町上島２２３２－２１１６　２Ｆ"</f>
        <v>上益城郡嘉島町上島２２３２－２１１６　２Ｆ</v>
      </c>
      <c r="E184" t="str">
        <f>"R06.06.22"</f>
        <v>R06.06.22</v>
      </c>
      <c r="F184" t="str">
        <f>"R12.06.21"</f>
        <v>R12.06.21</v>
      </c>
    </row>
    <row r="185" spans="1:6" x14ac:dyDescent="0.2">
      <c r="A185" t="str">
        <f>"第1698号"</f>
        <v>第1698号</v>
      </c>
      <c r="B185" t="str">
        <f>"株式会社Algue"</f>
        <v>株式会社Algue</v>
      </c>
      <c r="C185" t="str">
        <f>"ゆうすいコンタクト"</f>
        <v>ゆうすいコンタクト</v>
      </c>
      <c r="D185" t="str">
        <f>"上益城郡嘉島町北甘木２２５７番地１"</f>
        <v>上益城郡嘉島町北甘木２２５７番地１</v>
      </c>
      <c r="E185" t="str">
        <f>"R06.06.17"</f>
        <v>R06.06.17</v>
      </c>
      <c r="F185" t="str">
        <f>"R12.06.16"</f>
        <v>R12.06.16</v>
      </c>
    </row>
    <row r="186" spans="1:6" x14ac:dyDescent="0.2">
      <c r="A186" t="str">
        <f>"第1468号"</f>
        <v>第1468号</v>
      </c>
      <c r="B186" t="str">
        <f>"株式会社見行"</f>
        <v>株式会社見行</v>
      </c>
      <c r="C186" t="str">
        <f>"山都もみじ薬局"</f>
        <v>山都もみじ薬局</v>
      </c>
      <c r="D186" t="str">
        <f>"上益城郡山都町北中島字狐平２８０６番１"</f>
        <v>上益城郡山都町北中島字狐平２８０６番１</v>
      </c>
      <c r="E186" t="str">
        <f>"R06.07.01"</f>
        <v>R06.07.01</v>
      </c>
      <c r="F186" t="str">
        <f>"R12.06.30"</f>
        <v>R12.06.30</v>
      </c>
    </row>
    <row r="187" spans="1:6" x14ac:dyDescent="0.2">
      <c r="A187" t="str">
        <f>"第1696号"</f>
        <v>第1696号</v>
      </c>
      <c r="B187" t="str">
        <f>"有限会社峰正商事"</f>
        <v>有限会社峰正商事</v>
      </c>
      <c r="C187" t="str">
        <f>"三恵薬局甲佐店"</f>
        <v>三恵薬局甲佐店</v>
      </c>
      <c r="D187" t="str">
        <f>"上益城郡甲佐町緑町中野３２９－２"</f>
        <v>上益城郡甲佐町緑町中野３２９－２</v>
      </c>
      <c r="E187" t="str">
        <f>"R06.05.27"</f>
        <v>R06.05.27</v>
      </c>
      <c r="F187" t="str">
        <f>"R12.05.26"</f>
        <v>R12.05.26</v>
      </c>
    </row>
    <row r="188" spans="1:6" x14ac:dyDescent="0.2">
      <c r="A188" t="str">
        <f>"第693号"</f>
        <v>第693号</v>
      </c>
      <c r="B188" t="str">
        <f>"株式会社　ヨネザワ"</f>
        <v>株式会社　ヨネザワ</v>
      </c>
      <c r="C188" t="str">
        <f>"メガネのヨネザワ　嘉島店"</f>
        <v>メガネのヨネザワ　嘉島店</v>
      </c>
      <c r="D188" t="str">
        <f>"上益城郡嘉島町鯰字皆根１８１６－１"</f>
        <v>上益城郡嘉島町鯰字皆根１８１６－１</v>
      </c>
      <c r="E188" t="str">
        <f>"R06.06.22"</f>
        <v>R06.06.22</v>
      </c>
      <c r="F188" t="str">
        <f>"R12.06.21"</f>
        <v>R12.06.21</v>
      </c>
    </row>
    <row r="189" spans="1:6" x14ac:dyDescent="0.2">
      <c r="A189" t="str">
        <f>"第1593号"</f>
        <v>第1593号</v>
      </c>
      <c r="B189" t="str">
        <f>"株式会社同仁堂"</f>
        <v>株式会社同仁堂</v>
      </c>
      <c r="C189" t="str">
        <f>"同仁堂　嘉島店"</f>
        <v>同仁堂　嘉島店</v>
      </c>
      <c r="D189" t="str">
        <f>"上益城郡嘉島町大字上島字長池２２３２－１０２４"</f>
        <v>上益城郡嘉島町大字上島字長池２２３２－１０２４</v>
      </c>
      <c r="E189" t="str">
        <f>"R03.09.27"</f>
        <v>R03.09.27</v>
      </c>
      <c r="F189" t="str">
        <f>"R09.09.26"</f>
        <v>R09.09.26</v>
      </c>
    </row>
    <row r="190" spans="1:6" x14ac:dyDescent="0.2">
      <c r="A190" t="str">
        <f>"第1582号"</f>
        <v>第1582号</v>
      </c>
      <c r="B190" t="str">
        <f>"彩美調剤株式会社"</f>
        <v>彩美調剤株式会社</v>
      </c>
      <c r="C190" t="str">
        <f>"オオルリ薬局"</f>
        <v>オオルリ薬局</v>
      </c>
      <c r="D190" t="str">
        <f>"上益城郡山都町浜町２１７番地３"</f>
        <v>上益城郡山都町浜町２１７番地３</v>
      </c>
      <c r="E190" t="str">
        <f>"R03.06.09"</f>
        <v>R03.06.09</v>
      </c>
      <c r="F190" t="str">
        <f>"R09.06.08"</f>
        <v>R09.06.08</v>
      </c>
    </row>
    <row r="191" spans="1:6" x14ac:dyDescent="0.2">
      <c r="A191" t="str">
        <f>"第275号"</f>
        <v>第275号</v>
      </c>
      <c r="B191" t="str">
        <f>"有限会社コーセイ商事"</f>
        <v>有限会社コーセイ商事</v>
      </c>
      <c r="C191" t="str">
        <f>"コーセイ薬局"</f>
        <v>コーセイ薬局</v>
      </c>
      <c r="D191" t="str">
        <f>"上益城郡甲佐町大字岩下１２３番地３"</f>
        <v>上益城郡甲佐町大字岩下１２３番地３</v>
      </c>
      <c r="E191" t="str">
        <f>"R05.04.01"</f>
        <v>R05.04.01</v>
      </c>
      <c r="F191" t="str">
        <f>"R11.03.31"</f>
        <v>R11.03.31</v>
      </c>
    </row>
    <row r="192" spans="1:6" x14ac:dyDescent="0.2">
      <c r="A192" t="str">
        <f>"第1124号"</f>
        <v>第1124号</v>
      </c>
      <c r="B192" t="str">
        <f>"株式会社ドラッグストアモリ"</f>
        <v>株式会社ドラッグストアモリ</v>
      </c>
      <c r="C192" t="str">
        <f>"ドラッグストアモリ　御船店"</f>
        <v>ドラッグストアモリ　御船店</v>
      </c>
      <c r="D192" t="str">
        <f>"上益城郡御船町大字辺田見２２１番地１"</f>
        <v>上益城郡御船町大字辺田見２２１番地１</v>
      </c>
      <c r="E192" t="str">
        <f>"R06.03.09"</f>
        <v>R06.03.09</v>
      </c>
      <c r="F192" t="str">
        <f>"R12.03.08"</f>
        <v>R12.03.08</v>
      </c>
    </row>
    <row r="193" spans="1:6" x14ac:dyDescent="0.2">
      <c r="A193" t="str">
        <f>"第1571号"</f>
        <v>第1571号</v>
      </c>
      <c r="B193" t="str">
        <f>"株式会社サンドラッグ"</f>
        <v>株式会社サンドラッグ</v>
      </c>
      <c r="C193" t="str">
        <f>"サンドラッグ熊本物流センター"</f>
        <v>サンドラッグ熊本物流センター</v>
      </c>
      <c r="D193" t="str">
        <f>"上益城郡御船町滝川大字大塚１３３１"</f>
        <v>上益城郡御船町滝川大字大塚１３３１</v>
      </c>
      <c r="E193" t="str">
        <f>"R03.04.30"</f>
        <v>R03.04.30</v>
      </c>
      <c r="F193" t="str">
        <f>"R09.04.29"</f>
        <v>R09.04.29</v>
      </c>
    </row>
    <row r="194" spans="1:6" x14ac:dyDescent="0.2">
      <c r="A194" t="str">
        <f>"第1679号"</f>
        <v>第1679号</v>
      </c>
      <c r="B194" t="str">
        <f>"株式会社アメックファーマシー"</f>
        <v>株式会社アメックファーマシー</v>
      </c>
      <c r="C194" t="str">
        <f>"こすもす薬局御船店"</f>
        <v>こすもす薬局御船店</v>
      </c>
      <c r="D194" t="str">
        <f>"上益城郡御船町御船９０２－２"</f>
        <v>上益城郡御船町御船９０２－２</v>
      </c>
      <c r="E194" t="str">
        <f>"R05.11.30"</f>
        <v>R05.11.30</v>
      </c>
      <c r="F194" t="str">
        <f>"R11.11.29"</f>
        <v>R11.11.29</v>
      </c>
    </row>
    <row r="195" spans="1:6" x14ac:dyDescent="0.2">
      <c r="A195" t="str">
        <f>"第1164号"</f>
        <v>第1164号</v>
      </c>
      <c r="B195" t="str">
        <f>"株式会社アールエスエス"</f>
        <v>株式会社アールエスエス</v>
      </c>
      <c r="C195" t="str">
        <f>"株式会社アールエスエス"</f>
        <v>株式会社アールエスエス</v>
      </c>
      <c r="D195" t="str">
        <f>"上益城郡嘉島町大字上島字幸八２００６番１"</f>
        <v>上益城郡嘉島町大字上島字幸八２００６番１</v>
      </c>
      <c r="E195" t="str">
        <f>"R06.01.01"</f>
        <v>R06.01.01</v>
      </c>
      <c r="F195" t="str">
        <f>"R11.12.31"</f>
        <v>R11.12.31</v>
      </c>
    </row>
    <row r="196" spans="1:6" x14ac:dyDescent="0.2">
      <c r="A196" t="str">
        <f>"第1162号"</f>
        <v>第1162号</v>
      </c>
      <c r="B196" t="str">
        <f>"株式会社アレス"</f>
        <v>株式会社アレス</v>
      </c>
      <c r="C196" t="str">
        <f>"スーパーキッド益城店"</f>
        <v>スーパーキッド益城店</v>
      </c>
      <c r="D196" t="str">
        <f>"上益城郡益城町大字木山４０９－４"</f>
        <v>上益城郡益城町大字木山４０９－４</v>
      </c>
      <c r="E196" t="str">
        <f>"R06.01.01"</f>
        <v>R06.01.01</v>
      </c>
      <c r="F196" t="str">
        <f>"R11.12.31"</f>
        <v>R11.12.31</v>
      </c>
    </row>
    <row r="197" spans="1:6" x14ac:dyDescent="0.2">
      <c r="A197" t="str">
        <f>"第1452号"</f>
        <v>第1452号</v>
      </c>
      <c r="B197" t="str">
        <f>"有限会社マツヤファーマシー"</f>
        <v>有限会社マツヤファーマシー</v>
      </c>
      <c r="C197" t="str">
        <f>"かしま調剤薬局"</f>
        <v>かしま調剤薬局</v>
      </c>
      <c r="D197" t="str">
        <f>"上益城郡嘉島町鯰１８５５番地１"</f>
        <v>上益城郡嘉島町鯰１８５５番地１</v>
      </c>
      <c r="E197" t="str">
        <f>"R06.01.01"</f>
        <v>R06.01.01</v>
      </c>
      <c r="F197" t="str">
        <f>"R11.12.31"</f>
        <v>R11.12.31</v>
      </c>
    </row>
    <row r="198" spans="1:6" x14ac:dyDescent="0.2">
      <c r="A198" t="str">
        <f>"第1147号"</f>
        <v>第1147号</v>
      </c>
      <c r="B198" t="str">
        <f>"有限会社　リアル・ハピネス"</f>
        <v>有限会社　リアル・ハピネス</v>
      </c>
      <c r="C198" t="str">
        <f>"有限会社　リアル・ハピネス"</f>
        <v>有限会社　リアル・ハピネス</v>
      </c>
      <c r="D198" t="str">
        <f>"上益城郡益城町広崎１３０４－５"</f>
        <v>上益城郡益城町広崎１３０４－５</v>
      </c>
      <c r="E198" t="str">
        <f>"R06.01.01"</f>
        <v>R06.01.01</v>
      </c>
      <c r="F198" t="str">
        <f>"R11.12.31"</f>
        <v>R11.12.31</v>
      </c>
    </row>
    <row r="199" spans="1:6" x14ac:dyDescent="0.2">
      <c r="A199" t="str">
        <f>"第1516号"</f>
        <v>第1516号</v>
      </c>
      <c r="B199" t="str">
        <f>"株式会社コスモス薬品"</f>
        <v>株式会社コスモス薬品</v>
      </c>
      <c r="C199" t="str">
        <f>"ドラッグコスモス熊本嘉島店"</f>
        <v>ドラッグコスモス熊本嘉島店</v>
      </c>
      <c r="D199" t="str">
        <f>"上益城郡嘉島町上島２１８７－２"</f>
        <v>上益城郡嘉島町上島２１８７－２</v>
      </c>
      <c r="E199" t="str">
        <f>"R01.10.28"</f>
        <v>R01.10.28</v>
      </c>
      <c r="F199" t="str">
        <f>"R07.10.27"</f>
        <v>R07.10.27</v>
      </c>
    </row>
    <row r="200" spans="1:6" x14ac:dyDescent="0.2">
      <c r="A200" t="str">
        <f>"第1401号"</f>
        <v>第1401号</v>
      </c>
      <c r="B200" t="str">
        <f>"株式会社コスモス薬品"</f>
        <v>株式会社コスモス薬品</v>
      </c>
      <c r="C200" t="str">
        <f>"ドラッグコスモス御船店"</f>
        <v>ドラッグコスモス御船店</v>
      </c>
      <c r="D200" t="str">
        <f>"上益城郡御船町大字辺田見１５３－１"</f>
        <v>上益城郡御船町大字辺田見１５３－１</v>
      </c>
      <c r="E200" t="str">
        <f>"R04.10.19"</f>
        <v>R04.10.19</v>
      </c>
      <c r="F200" t="str">
        <f>"R10.10.18"</f>
        <v>R10.10.18</v>
      </c>
    </row>
    <row r="201" spans="1:6" x14ac:dyDescent="0.2">
      <c r="A201" t="str">
        <f>"第1325号"</f>
        <v>第1325号</v>
      </c>
      <c r="B201" t="str">
        <f>"株式会社ケイワード九州"</f>
        <v>株式会社ケイワード九州</v>
      </c>
      <c r="C201" t="str">
        <f>"株式会社ケイワード九州嘉島統括本部"</f>
        <v>株式会社ケイワード九州嘉島統括本部</v>
      </c>
      <c r="D201" t="str">
        <f>"上益城郡嘉島町上仲間２２７番地１７"</f>
        <v>上益城郡嘉島町上仲間２２７番地１７</v>
      </c>
      <c r="E201" t="str">
        <f>"R02.11.28"</f>
        <v>R02.11.28</v>
      </c>
      <c r="F201" t="str">
        <f>"R08.11.27"</f>
        <v>R08.11.27</v>
      </c>
    </row>
    <row r="202" spans="1:6" x14ac:dyDescent="0.2">
      <c r="A202" t="str">
        <f>"第1649号"</f>
        <v>第1649号</v>
      </c>
      <c r="B202" t="str">
        <f>"株式会社Ｗｉｓｄｏｍ"</f>
        <v>株式会社Ｗｉｓｄｏｍ</v>
      </c>
      <c r="C202" t="str">
        <f>"やまと薬局　嘉島店"</f>
        <v>やまと薬局　嘉島店</v>
      </c>
      <c r="D202" t="str">
        <f>"上益城郡嘉島町北甘木２０９４番１"</f>
        <v>上益城郡嘉島町北甘木２０９４番１</v>
      </c>
      <c r="E202" t="str">
        <f>"R05.07.01"</f>
        <v>R05.07.01</v>
      </c>
      <c r="F202" t="str">
        <f>"R10.12.31"</f>
        <v>R10.12.31</v>
      </c>
    </row>
    <row r="203" spans="1:6" x14ac:dyDescent="0.2">
      <c r="A203" t="str">
        <f>"第1636号"</f>
        <v>第1636号</v>
      </c>
      <c r="B203" t="str">
        <f>"ピップ物流株式会社"</f>
        <v>ピップ物流株式会社</v>
      </c>
      <c r="C203" t="str">
        <f>"ピップ物流株式会社　熊本センター"</f>
        <v>ピップ物流株式会社　熊本センター</v>
      </c>
      <c r="D203" t="str">
        <f>"上益城郡益城町大字古閑字峠１０３番１"</f>
        <v>上益城郡益城町大字古閑字峠１０３番１</v>
      </c>
      <c r="E203" t="str">
        <f>"R05.05.11"</f>
        <v>R05.05.11</v>
      </c>
      <c r="F203" t="str">
        <f>"R11.05.10"</f>
        <v>R11.05.10</v>
      </c>
    </row>
    <row r="204" spans="1:6" x14ac:dyDescent="0.2">
      <c r="A204" t="str">
        <f>"第1353号"</f>
        <v>第1353号</v>
      </c>
      <c r="B204" t="str">
        <f>"株式会社ファーマダイワ"</f>
        <v>株式会社ファーマダイワ</v>
      </c>
      <c r="C204" t="str">
        <f>"ひばり薬局"</f>
        <v>ひばり薬局</v>
      </c>
      <c r="D204" t="str">
        <f>"上益城郡嘉島町鯰１８７３－５"</f>
        <v>上益城郡嘉島町鯰１８７３－５</v>
      </c>
      <c r="E204" t="str">
        <f>"R03.06.01"</f>
        <v>R03.06.01</v>
      </c>
      <c r="F204" t="str">
        <f>"R09.05.31"</f>
        <v>R09.05.31</v>
      </c>
    </row>
    <row r="205" spans="1:6" x14ac:dyDescent="0.2">
      <c r="A205" t="str">
        <f>"第1630号"</f>
        <v>第1630号</v>
      </c>
      <c r="B205" t="str">
        <f>"株式会社マルミヤストア"</f>
        <v>株式会社マルミヤストア</v>
      </c>
      <c r="C205" t="str">
        <f>"アタックス　サエラ店"</f>
        <v>アタックス　サエラ店</v>
      </c>
      <c r="D205" t="str">
        <f>"上益城郡甲佐町岩下６１"</f>
        <v>上益城郡甲佐町岩下６１</v>
      </c>
      <c r="E205" t="str">
        <f>"R05.03.01"</f>
        <v>R05.03.01</v>
      </c>
      <c r="F205" t="str">
        <f>"R11.02.28"</f>
        <v>R11.02.28</v>
      </c>
    </row>
    <row r="206" spans="1:6" x14ac:dyDescent="0.2">
      <c r="A206" t="str">
        <f>"第278号"</f>
        <v>第278号</v>
      </c>
      <c r="B206" t="str">
        <f>"株式会社光栄"</f>
        <v>株式会社光栄</v>
      </c>
      <c r="C206" t="str">
        <f>"株式会社光栄"</f>
        <v>株式会社光栄</v>
      </c>
      <c r="D206" t="str">
        <f>"上益城郡御船町高木１９２２番地"</f>
        <v>上益城郡御船町高木１９２２番地</v>
      </c>
      <c r="E206" t="str">
        <f>"R05.04.01"</f>
        <v>R05.04.01</v>
      </c>
      <c r="F206" t="str">
        <f>"R11.03.31"</f>
        <v>R11.03.31</v>
      </c>
    </row>
    <row r="207" spans="1:6" x14ac:dyDescent="0.2">
      <c r="A207" t="str">
        <f>"第279号"</f>
        <v>第279号</v>
      </c>
      <c r="B207" t="str">
        <f>"株式会社ミタカ"</f>
        <v>株式会社ミタカ</v>
      </c>
      <c r="C207" t="str">
        <f>"株式会社ミタカ"</f>
        <v>株式会社ミタカ</v>
      </c>
      <c r="D207" t="str">
        <f>"上益城郡嘉島町大字上仲間８５０番地２"</f>
        <v>上益城郡嘉島町大字上仲間８５０番地２</v>
      </c>
      <c r="E207" t="str">
        <f>"R05.01.01"</f>
        <v>R05.01.01</v>
      </c>
      <c r="F207" t="str">
        <f>"R10.12.31"</f>
        <v>R10.12.31</v>
      </c>
    </row>
    <row r="208" spans="1:6" x14ac:dyDescent="0.2">
      <c r="A208" t="str">
        <f>"第1409号"</f>
        <v>第1409号</v>
      </c>
      <c r="B208" t="str">
        <f>"熊本交通運輸株式会社"</f>
        <v>熊本交通運輸株式会社</v>
      </c>
      <c r="C208" t="str">
        <f>"ダスキンヘルスレント熊本ステーション"</f>
        <v>ダスキンヘルスレント熊本ステーション</v>
      </c>
      <c r="D208" t="str">
        <f>"上益城郡益城町惣領１８６１－３"</f>
        <v>上益城郡益城町惣領１８６１－３</v>
      </c>
      <c r="E208" t="str">
        <f>"R04.12.21"</f>
        <v>R04.12.21</v>
      </c>
      <c r="F208" t="str">
        <f>"R10.12.20"</f>
        <v>R10.12.20</v>
      </c>
    </row>
    <row r="209" spans="1:6" x14ac:dyDescent="0.2">
      <c r="A209" t="str">
        <f>"第1555号"</f>
        <v>第1555号</v>
      </c>
      <c r="B209" t="str">
        <f>"コストコホールセールジャパン株式会社"</f>
        <v>コストコホールセールジャパン株式会社</v>
      </c>
      <c r="C209" t="str">
        <f>"コストコホールセール熊本御船倉庫店"</f>
        <v>コストコホールセール熊本御船倉庫店</v>
      </c>
      <c r="D209" t="str">
        <f>"上益城郡御船町大字小坂字宮田６８９－１"</f>
        <v>上益城郡御船町大字小坂字宮田６８９－１</v>
      </c>
      <c r="E209" t="str">
        <f>"R03.02.26"</f>
        <v>R03.02.26</v>
      </c>
      <c r="F209" t="str">
        <f>"R09.02.25"</f>
        <v>R09.02.25</v>
      </c>
    </row>
    <row r="210" spans="1:6" x14ac:dyDescent="0.2">
      <c r="A210" t="str">
        <f>"第1599号"</f>
        <v>第1599号</v>
      </c>
      <c r="B210" t="str">
        <f>"株式会社ファーマダイワ"</f>
        <v>株式会社ファーマダイワ</v>
      </c>
      <c r="C210" t="str">
        <f>"みどり薬局"</f>
        <v>みどり薬局</v>
      </c>
      <c r="D210" t="str">
        <f>"上益城郡嘉島町上島９６４番地２"</f>
        <v>上益城郡嘉島町上島９６４番地２</v>
      </c>
      <c r="E210" t="str">
        <f>"R03.11.18"</f>
        <v>R03.11.18</v>
      </c>
      <c r="F210" t="str">
        <f>"R09.11.17"</f>
        <v>R09.11.17</v>
      </c>
    </row>
    <row r="211" spans="1:6" x14ac:dyDescent="0.2">
      <c r="A211" t="str">
        <f>"第1586号"</f>
        <v>第1586号</v>
      </c>
      <c r="B211" t="str">
        <f>"株式会社下川薬局"</f>
        <v>株式会社下川薬局</v>
      </c>
      <c r="C211" t="str">
        <f>"シモカワ広崎調剤薬局"</f>
        <v>シモカワ広崎調剤薬局</v>
      </c>
      <c r="D211" t="str">
        <f>"上益城郡益城町広崎１５７２－２"</f>
        <v>上益城郡益城町広崎１５７２－２</v>
      </c>
      <c r="E211" t="str">
        <f>"R03.08.18"</f>
        <v>R03.08.18</v>
      </c>
      <c r="F211" t="str">
        <f>"R08.12.31"</f>
        <v>R08.12.31</v>
      </c>
    </row>
    <row r="212" spans="1:6" x14ac:dyDescent="0.2">
      <c r="A212" t="str">
        <f>"第1539号"</f>
        <v>第1539号</v>
      </c>
      <c r="B212" t="str">
        <f>"株式会社甲佐コンタクトレンズ"</f>
        <v>株式会社甲佐コンタクトレンズ</v>
      </c>
      <c r="C212" t="str">
        <f>"甲佐コンタクトレンズ"</f>
        <v>甲佐コンタクトレンズ</v>
      </c>
      <c r="D212" t="str">
        <f>"上益城郡甲佐町大字岩下６８番地１３"</f>
        <v>上益城郡甲佐町大字岩下６８番地１３</v>
      </c>
      <c r="E212" t="str">
        <f>"R02.10.15"</f>
        <v>R02.10.15</v>
      </c>
      <c r="F212" t="str">
        <f>"R08.10.14"</f>
        <v>R08.10.14</v>
      </c>
    </row>
    <row r="213" spans="1:6" x14ac:dyDescent="0.2">
      <c r="A213" t="str">
        <f>"第1302号"</f>
        <v>第1302号</v>
      </c>
      <c r="B213" t="str">
        <f>"有限会社ビジョン"</f>
        <v>有限会社ビジョン</v>
      </c>
      <c r="C213" t="str">
        <f>"みふねコンタクトレンズ"</f>
        <v>みふねコンタクトレンズ</v>
      </c>
      <c r="D213" t="str">
        <f>"上益城郡御船町辺田見字馬場４１０番地１"</f>
        <v>上益城郡御船町辺田見字馬場４１０番地１</v>
      </c>
      <c r="E213" t="str">
        <f>"R02.07.10"</f>
        <v>R02.07.10</v>
      </c>
      <c r="F213" t="str">
        <f>"R08.07.09"</f>
        <v>R08.07.09</v>
      </c>
    </row>
    <row r="214" spans="1:6" x14ac:dyDescent="0.2">
      <c r="A214" t="str">
        <f>"第1521号"</f>
        <v>第1521号</v>
      </c>
      <c r="B214" t="str">
        <f>"アルファルマ株式会社"</f>
        <v>アルファルマ株式会社</v>
      </c>
      <c r="C214" t="str">
        <f>"共生薬局　嘉島店"</f>
        <v>共生薬局　嘉島店</v>
      </c>
      <c r="D214" t="str">
        <f>"上益城郡嘉島町大字上島字西塘添２２９７番１"</f>
        <v>上益城郡嘉島町大字上島字西塘添２２９７番１</v>
      </c>
      <c r="E214" t="str">
        <f>"R02.02.12"</f>
        <v>R02.02.12</v>
      </c>
      <c r="F214" t="str">
        <f>"R07.12.31"</f>
        <v>R07.12.31</v>
      </c>
    </row>
    <row r="215" spans="1:6" x14ac:dyDescent="0.2">
      <c r="A215" t="str">
        <f>"第825号"</f>
        <v>第825号</v>
      </c>
      <c r="B215" t="str">
        <f>"有限会社まこと薬局"</f>
        <v>有限会社まこと薬局</v>
      </c>
      <c r="C215" t="str">
        <f>"まこと薬局"</f>
        <v>まこと薬局</v>
      </c>
      <c r="D215" t="str">
        <f>"上益城郡山都町菅尾１５４番地の１"</f>
        <v>上益城郡山都町菅尾１５４番地の１</v>
      </c>
      <c r="E215" t="str">
        <f>"R01.12.04"</f>
        <v>R01.12.04</v>
      </c>
      <c r="F215" t="str">
        <f>"R07.12.03"</f>
        <v>R07.12.03</v>
      </c>
    </row>
    <row r="216" spans="1:6" x14ac:dyDescent="0.2">
      <c r="A216" t="str">
        <f>"第1273号"</f>
        <v>第1273号</v>
      </c>
      <c r="B216" t="str">
        <f>"有限会社セルメディカル"</f>
        <v>有限会社セルメディカル</v>
      </c>
      <c r="C216" t="str">
        <f>"有限会社セルメディカル"</f>
        <v>有限会社セルメディカル</v>
      </c>
      <c r="D216" t="str">
        <f>"上益城郡益城町馬水５４７番地"</f>
        <v>上益城郡益城町馬水５４７番地</v>
      </c>
      <c r="E216" t="str">
        <f>"R02.01.01"</f>
        <v>R02.01.01</v>
      </c>
      <c r="F216" t="str">
        <f>"R07.12.31"</f>
        <v>R07.12.31</v>
      </c>
    </row>
    <row r="217" spans="1:6" x14ac:dyDescent="0.2">
      <c r="A217" t="str">
        <f>"第314号"</f>
        <v>第314号</v>
      </c>
      <c r="B217" t="str">
        <f>"株式会社新生堂"</f>
        <v>株式会社新生堂</v>
      </c>
      <c r="C217" t="str">
        <f>"株式会社新生堂八代営業所"</f>
        <v>株式会社新生堂八代営業所</v>
      </c>
      <c r="D217" t="str">
        <f>"八代市海士江町２５６２－１"</f>
        <v>八代市海士江町２５６２－１</v>
      </c>
      <c r="E217" t="str">
        <f>"R05.01.01"</f>
        <v>R05.01.01</v>
      </c>
      <c r="F217" t="str">
        <f>"R10.12.31"</f>
        <v>R10.12.31</v>
      </c>
    </row>
    <row r="218" spans="1:6" x14ac:dyDescent="0.2">
      <c r="A218" t="str">
        <f>"第1728号"</f>
        <v>第1728号</v>
      </c>
      <c r="B218" t="str">
        <f>"株式会社とみた薬局"</f>
        <v>株式会社とみた薬局</v>
      </c>
      <c r="C218" t="str">
        <f>"堤薬局"</f>
        <v>堤薬局</v>
      </c>
      <c r="D218" t="str">
        <f>"八代市鏡町鏡５３番地"</f>
        <v>八代市鏡町鏡５３番地</v>
      </c>
      <c r="E218" t="str">
        <f>"R07.04.01"</f>
        <v>R07.04.01</v>
      </c>
      <c r="F218" t="str">
        <f>"R13.03.31"</f>
        <v>R13.03.31</v>
      </c>
    </row>
    <row r="219" spans="1:6" x14ac:dyDescent="0.2">
      <c r="A219" t="str">
        <f>"第1359号"</f>
        <v>第1359号</v>
      </c>
      <c r="B219" t="str">
        <f>"株式会社とみた薬局"</f>
        <v>株式会社とみた薬局</v>
      </c>
      <c r="C219" t="str">
        <f>"新八代駅前薬局"</f>
        <v>新八代駅前薬局</v>
      </c>
      <c r="D219" t="str">
        <f>"八代市上日置町４４４７－１１"</f>
        <v>八代市上日置町４４４７－１１</v>
      </c>
      <c r="E219" t="str">
        <f>"R03.06.15"</f>
        <v>R03.06.15</v>
      </c>
      <c r="F219" t="str">
        <f>"R09.06.14"</f>
        <v>R09.06.14</v>
      </c>
    </row>
    <row r="220" spans="1:6" x14ac:dyDescent="0.2">
      <c r="A220" t="str">
        <f>"第1160号"</f>
        <v>第1160号</v>
      </c>
      <c r="B220" t="str">
        <f>"総合メディカル株式会社"</f>
        <v>総合メディカル株式会社</v>
      </c>
      <c r="C220" t="str">
        <f>"そうごう薬局八代竹原店"</f>
        <v>そうごう薬局八代竹原店</v>
      </c>
      <c r="D220" t="str">
        <f>"八代市竹原町１６５８番２"</f>
        <v>八代市竹原町１６５８番２</v>
      </c>
      <c r="E220" t="str">
        <f>"R06.10.01"</f>
        <v>R06.10.01</v>
      </c>
      <c r="F220" t="str">
        <f>"R12.09.30"</f>
        <v>R12.09.30</v>
      </c>
    </row>
    <row r="221" spans="1:6" x14ac:dyDescent="0.2">
      <c r="A221" t="str">
        <f>"第1663号"</f>
        <v>第1663号</v>
      </c>
      <c r="B221" t="str">
        <f>"有限会社ヤマダ"</f>
        <v>有限会社ヤマダ</v>
      </c>
      <c r="C221" t="str">
        <f>"鏡調剤薬局　県道１４号店"</f>
        <v>鏡調剤薬局　県道１４号店</v>
      </c>
      <c r="D221" t="str">
        <f>"八代市鏡町鏡村９１８番地４"</f>
        <v>八代市鏡町鏡村９１８番地４</v>
      </c>
      <c r="E221" t="str">
        <f>"R05.08.18"</f>
        <v>R05.08.18</v>
      </c>
      <c r="F221" t="str">
        <f>"R11.08.17"</f>
        <v>R11.08.17</v>
      </c>
    </row>
    <row r="222" spans="1:6" x14ac:dyDescent="0.2">
      <c r="A222" t="str">
        <f>"第1332号"</f>
        <v>第1332号</v>
      </c>
      <c r="B222" t="str">
        <f>"肥銀リース株式会社"</f>
        <v>肥銀リース株式会社</v>
      </c>
      <c r="C222" t="str">
        <f>"肥銀リース株式会社　八代支店"</f>
        <v>肥銀リース株式会社　八代支店</v>
      </c>
      <c r="D222" t="str">
        <f>"八代市北の丸町３番４０号"</f>
        <v>八代市北の丸町３番４０号</v>
      </c>
      <c r="E222" t="str">
        <f>"R03.01.08"</f>
        <v>R03.01.08</v>
      </c>
      <c r="F222" t="str">
        <f>"R09.01.07"</f>
        <v>R09.01.07</v>
      </c>
    </row>
    <row r="223" spans="1:6" x14ac:dyDescent="0.2">
      <c r="A223" t="str">
        <f>"第758号"</f>
        <v>第758号</v>
      </c>
      <c r="B223" t="str">
        <f>"株式会社　翔薬"</f>
        <v>株式会社　翔薬</v>
      </c>
      <c r="C223" t="str">
        <f>"株式会社　翔薬　八代支店"</f>
        <v>株式会社　翔薬　八代支店</v>
      </c>
      <c r="D223" t="str">
        <f>"八代市田中北町１６号５番地"</f>
        <v>八代市田中北町１６号５番地</v>
      </c>
      <c r="E223" t="str">
        <f>"R06.12.19"</f>
        <v>R06.12.19</v>
      </c>
      <c r="F223" t="str">
        <f>"R12.12.18"</f>
        <v>R12.12.18</v>
      </c>
    </row>
    <row r="224" spans="1:6" x14ac:dyDescent="0.2">
      <c r="A224" t="str">
        <f>"第301号"</f>
        <v>第301号</v>
      </c>
      <c r="B224" t="str">
        <f>"株式会社アトル"</f>
        <v>株式会社アトル</v>
      </c>
      <c r="C224" t="str">
        <f>"株式会社アトル八代支店"</f>
        <v>株式会社アトル八代支店</v>
      </c>
      <c r="D224" t="str">
        <f>"八代市黄金町１０－１"</f>
        <v>八代市黄金町１０－１</v>
      </c>
      <c r="E224" t="str">
        <f>"R05.01.01"</f>
        <v>R05.01.01</v>
      </c>
      <c r="F224" t="str">
        <f>"R10.12.31"</f>
        <v>R10.12.31</v>
      </c>
    </row>
    <row r="225" spans="1:6" x14ac:dyDescent="0.2">
      <c r="A225" t="str">
        <f>"第1699号"</f>
        <v>第1699号</v>
      </c>
      <c r="B225" t="str">
        <f>"株式会社エディオン"</f>
        <v>株式会社エディオン</v>
      </c>
      <c r="C225" t="str">
        <f>"エディオンイオン八代店"</f>
        <v>エディオンイオン八代店</v>
      </c>
      <c r="D225" t="str">
        <f>"八代市沖町３９８９－１"</f>
        <v>八代市沖町３９８９－１</v>
      </c>
      <c r="E225" t="str">
        <f>"R06.09.06"</f>
        <v>R06.09.06</v>
      </c>
      <c r="F225" t="str">
        <f>"R12.09.05"</f>
        <v>R12.09.05</v>
      </c>
    </row>
    <row r="226" spans="1:6" x14ac:dyDescent="0.2">
      <c r="A226" t="str">
        <f>"第1499号"</f>
        <v>第1499号</v>
      </c>
      <c r="B226" t="str">
        <f>"株式会社九州セイムス"</f>
        <v>株式会社九州セイムス</v>
      </c>
      <c r="C226" t="str">
        <f>"ドラッグセイムス　八代店"</f>
        <v>ドラッグセイムス　八代店</v>
      </c>
      <c r="D226" t="str">
        <f>"八代市新町１－１４"</f>
        <v>八代市新町１－１４</v>
      </c>
      <c r="E226" t="str">
        <f>"R07.04.10"</f>
        <v>R07.04.10</v>
      </c>
      <c r="F226" t="str">
        <f>"R13.04.09"</f>
        <v>R13.04.09</v>
      </c>
    </row>
    <row r="227" spans="1:6" x14ac:dyDescent="0.2">
      <c r="A227" t="str">
        <f>"第1671号"</f>
        <v>第1671号</v>
      </c>
      <c r="B227" t="str">
        <f>"さくら薬局株式会社"</f>
        <v>さくら薬局株式会社</v>
      </c>
      <c r="C227" t="str">
        <f>"さくら調剤薬局　竹原店"</f>
        <v>さくら調剤薬局　竹原店</v>
      </c>
      <c r="D227" t="str">
        <f>"八代市竹原町１４３９－９"</f>
        <v>八代市竹原町１４３９－９</v>
      </c>
      <c r="E227" t="str">
        <f>"R05.11.01"</f>
        <v>R05.11.01</v>
      </c>
      <c r="F227" t="str">
        <f>"R11.10.31"</f>
        <v>R11.10.31</v>
      </c>
    </row>
    <row r="228" spans="1:6" x14ac:dyDescent="0.2">
      <c r="A228" t="str">
        <f>"第1727号"</f>
        <v>第1727号</v>
      </c>
      <c r="B228" t="str">
        <f>"株式会社ヨネザワ"</f>
        <v>株式会社ヨネザワ</v>
      </c>
      <c r="C228" t="str">
        <f>"メガネのヨネザワ　八代臨港線店"</f>
        <v>メガネのヨネザワ　八代臨港線店</v>
      </c>
      <c r="D228" t="str">
        <f>"八代市永碇町１３１５－１"</f>
        <v>八代市永碇町１３１５－１</v>
      </c>
      <c r="E228" t="str">
        <f>"R07.03.27"</f>
        <v>R07.03.27</v>
      </c>
      <c r="F228" t="str">
        <f>"R13.03.26"</f>
        <v>R13.03.26</v>
      </c>
    </row>
    <row r="229" spans="1:6" x14ac:dyDescent="0.2">
      <c r="A229" t="str">
        <f>"第1214号"</f>
        <v>第1214号</v>
      </c>
      <c r="B229" t="str">
        <f>"古川メディカル株式会社"</f>
        <v>古川メディカル株式会社</v>
      </c>
      <c r="C229" t="str">
        <f>"東洋調剤薬局氷川店"</f>
        <v>東洋調剤薬局氷川店</v>
      </c>
      <c r="D229" t="str">
        <f>"八代郡氷川町鹿島７７６－３"</f>
        <v>八代郡氷川町鹿島７７６－３</v>
      </c>
      <c r="E229" t="str">
        <f>"R07.04.01"</f>
        <v>R07.04.01</v>
      </c>
      <c r="F229" t="str">
        <f>"R13.03.31"</f>
        <v>R13.03.31</v>
      </c>
    </row>
    <row r="230" spans="1:6" x14ac:dyDescent="0.2">
      <c r="A230" t="str">
        <f>"第1476号"</f>
        <v>第1476号</v>
      </c>
      <c r="B230" t="str">
        <f>"株式会社パリミキ"</f>
        <v>株式会社パリミキ</v>
      </c>
      <c r="C230" t="str">
        <f>"ＯＰＴＩＱＵＥ　ＰＡＲＩＳ　ＭＩＫＩ　ゆめタウン八代店"</f>
        <v>ＯＰＴＩＱＵＥ　ＰＡＲＩＳ　ＭＩＫＩ　ゆめタウン八代店</v>
      </c>
      <c r="D230" t="str">
        <f>"八代市建馬町３番１号"</f>
        <v>八代市建馬町３番１号</v>
      </c>
      <c r="E230" t="str">
        <f>"R06.08.21"</f>
        <v>R06.08.21</v>
      </c>
      <c r="F230" t="str">
        <f>"R12.08.20"</f>
        <v>R12.08.20</v>
      </c>
    </row>
    <row r="231" spans="1:6" x14ac:dyDescent="0.2">
      <c r="A231" t="str">
        <f>"第1625号"</f>
        <v>第1625号</v>
      </c>
      <c r="B231" t="str">
        <f>"株式会社ドラッグストアモリ"</f>
        <v>株式会社ドラッグストアモリ</v>
      </c>
      <c r="C231" t="str">
        <f>"ドラッグストアモリ八代松江店"</f>
        <v>ドラッグストアモリ八代松江店</v>
      </c>
      <c r="D231" t="str">
        <f>"八代市松江町５１９番地１"</f>
        <v>八代市松江町５１９番地１</v>
      </c>
      <c r="E231" t="str">
        <f>"R04.12.09"</f>
        <v>R04.12.09</v>
      </c>
      <c r="F231" t="str">
        <f>"R10.12.08"</f>
        <v>R10.12.08</v>
      </c>
    </row>
    <row r="232" spans="1:6" x14ac:dyDescent="0.2">
      <c r="A232" t="str">
        <f>"第1486号"</f>
        <v>第1486号</v>
      </c>
      <c r="B232" t="str">
        <f>"株式会社ドン・キホーテ"</f>
        <v>株式会社ドン・キホーテ</v>
      </c>
      <c r="C232" t="str">
        <f>"ＭＥＧＡドン・キホーテ八代店"</f>
        <v>ＭＥＧＡドン・キホーテ八代店</v>
      </c>
      <c r="D232" t="str">
        <f>"八代市本野町２０５０"</f>
        <v>八代市本野町２０５０</v>
      </c>
      <c r="E232" t="str">
        <f>"R06.11.15"</f>
        <v>R06.11.15</v>
      </c>
      <c r="F232" t="str">
        <f>"R12.11.14"</f>
        <v>R12.11.14</v>
      </c>
    </row>
    <row r="233" spans="1:6" x14ac:dyDescent="0.2">
      <c r="A233" t="str">
        <f>"第1205号"</f>
        <v>第1205号</v>
      </c>
      <c r="B233" t="str">
        <f>"株式会社タケシタ調剤薬局"</f>
        <v>株式会社タケシタ調剤薬局</v>
      </c>
      <c r="C233" t="str">
        <f>"タケシタ調剤薬局八代店"</f>
        <v>タケシタ調剤薬局八代店</v>
      </c>
      <c r="D233" t="str">
        <f>"八代市本町１丁目８－３６"</f>
        <v>八代市本町１丁目８－３６</v>
      </c>
      <c r="E233" t="str">
        <f>"R07.01.11"</f>
        <v>R07.01.11</v>
      </c>
      <c r="F233" t="str">
        <f>"R13.01.10"</f>
        <v>R13.01.10</v>
      </c>
    </row>
    <row r="234" spans="1:6" x14ac:dyDescent="0.2">
      <c r="A234" t="str">
        <f>"第1204号"</f>
        <v>第1204号</v>
      </c>
      <c r="B234" t="str">
        <f>"日本調剤株式会社"</f>
        <v>日本調剤株式会社</v>
      </c>
      <c r="C234" t="str">
        <f>"日本調剤通町薬局"</f>
        <v>日本調剤通町薬局</v>
      </c>
      <c r="D234" t="str">
        <f>"八代市通町８－２７"</f>
        <v>八代市通町８－２７</v>
      </c>
      <c r="E234" t="str">
        <f>"R07.01.11"</f>
        <v>R07.01.11</v>
      </c>
      <c r="F234" t="str">
        <f>"R13.01.10"</f>
        <v>R13.01.10</v>
      </c>
    </row>
    <row r="235" spans="1:6" x14ac:dyDescent="0.2">
      <c r="A235" t="str">
        <f>"第1095号"</f>
        <v>第1095号</v>
      </c>
      <c r="B235" t="str">
        <f>"富田薬品株式会社"</f>
        <v>富田薬品株式会社</v>
      </c>
      <c r="C235" t="str">
        <f>"富田薬品株式会社　八代物流センター"</f>
        <v>富田薬品株式会社　八代物流センター</v>
      </c>
      <c r="D235" t="str">
        <f>"八代市西片町１４５４"</f>
        <v>八代市西片町１４５４</v>
      </c>
      <c r="E235" t="str">
        <f>"R05.09.21"</f>
        <v>R05.09.21</v>
      </c>
      <c r="F235" t="str">
        <f>"R11.09.20"</f>
        <v>R11.09.20</v>
      </c>
    </row>
    <row r="236" spans="1:6" x14ac:dyDescent="0.2">
      <c r="A236" t="str">
        <f>"第1544号"</f>
        <v>第1544号</v>
      </c>
      <c r="B236" t="str">
        <f>"有限会社コムス"</f>
        <v>有限会社コムス</v>
      </c>
      <c r="C236" t="str">
        <f>"ヱビス薬局本町店"</f>
        <v>ヱビス薬局本町店</v>
      </c>
      <c r="D236" t="str">
        <f>"八代市本町２丁目４号６３番"</f>
        <v>八代市本町２丁目４号６３番</v>
      </c>
      <c r="E236" t="str">
        <f>"R02.11.06"</f>
        <v>R02.11.06</v>
      </c>
      <c r="F236" t="str">
        <f>"R08.11.05"</f>
        <v>R08.11.05</v>
      </c>
    </row>
    <row r="237" spans="1:6" x14ac:dyDescent="0.2">
      <c r="A237" t="str">
        <f>"第1707号"</f>
        <v>第1707号</v>
      </c>
      <c r="B237" t="str">
        <f>"ミタカトライブ株式会社"</f>
        <v>ミタカトライブ株式会社</v>
      </c>
      <c r="C237" t="str">
        <f>"ミタカトライブ株式会社"</f>
        <v>ミタカトライブ株式会社</v>
      </c>
      <c r="D237" t="str">
        <f>"八代市宮地町１５７７－１"</f>
        <v>八代市宮地町１５７７－１</v>
      </c>
      <c r="E237" t="str">
        <f>"R07.01.01"</f>
        <v>R07.01.01</v>
      </c>
      <c r="F237" t="str">
        <f>"R12.12.31"</f>
        <v>R12.12.31</v>
      </c>
    </row>
    <row r="238" spans="1:6" x14ac:dyDescent="0.2">
      <c r="A238" t="str">
        <f>"第1126号"</f>
        <v>第1126号</v>
      </c>
      <c r="B238" t="str">
        <f>"株式会社　ドラッグストアモリ"</f>
        <v>株式会社　ドラッグストアモリ</v>
      </c>
      <c r="C238" t="str">
        <f>"ドラッグストアモリ　八代沖店"</f>
        <v>ドラッグストアモリ　八代沖店</v>
      </c>
      <c r="D238" t="str">
        <f>"八代市沖町字五番割３６９２－２"</f>
        <v>八代市沖町字五番割３６９２－２</v>
      </c>
      <c r="E238" t="str">
        <f>"R06.03.09"</f>
        <v>R06.03.09</v>
      </c>
      <c r="F238" t="str">
        <f>"R12.03.08"</f>
        <v>R12.03.08</v>
      </c>
    </row>
    <row r="239" spans="1:6" x14ac:dyDescent="0.2">
      <c r="A239" t="str">
        <f>"第1704号"</f>
        <v>第1704号</v>
      </c>
      <c r="B239" t="str">
        <f>"帝人ヘルスケア株式会社"</f>
        <v>帝人ヘルスケア株式会社</v>
      </c>
      <c r="C239" t="str">
        <f>"帝人ヘルスケア株式会社　九州支店　熊本南営業所　八代駐在所"</f>
        <v>帝人ヘルスケア株式会社　九州支店　熊本南営業所　八代駐在所</v>
      </c>
      <c r="D239" t="str">
        <f>"八代市旭中央通２０－１０"</f>
        <v>八代市旭中央通２０－１０</v>
      </c>
      <c r="E239" t="str">
        <f>"R06.10.28"</f>
        <v>R06.10.28</v>
      </c>
      <c r="F239" t="str">
        <f>"R12.10.27"</f>
        <v>R12.10.27</v>
      </c>
    </row>
    <row r="240" spans="1:6" x14ac:dyDescent="0.2">
      <c r="A240" t="str">
        <f>"第1265号"</f>
        <v>第1265号</v>
      </c>
      <c r="B240" t="str">
        <f>"株式会社八尾ムトウ"</f>
        <v>株式会社八尾ムトウ</v>
      </c>
      <c r="C240" t="str">
        <f>"株式会社八尾ムトウ　八代支店"</f>
        <v>株式会社八尾ムトウ　八代支店</v>
      </c>
      <c r="D240" t="str">
        <f>"八代市田中西町１０－１０"</f>
        <v>八代市田中西町１０－１０</v>
      </c>
      <c r="E240" t="str">
        <f>"R02.01.01"</f>
        <v>R02.01.01</v>
      </c>
      <c r="F240" t="str">
        <f>"R07.12.31"</f>
        <v>R07.12.31</v>
      </c>
    </row>
    <row r="241" spans="1:6" x14ac:dyDescent="0.2">
      <c r="A241" t="str">
        <f>"第1529号"</f>
        <v>第1529号</v>
      </c>
      <c r="B241" t="str">
        <f>"日本調剤株式会社"</f>
        <v>日本調剤株式会社</v>
      </c>
      <c r="C241" t="str">
        <f>"日本調剤八代薬局"</f>
        <v>日本調剤八代薬局</v>
      </c>
      <c r="D241" t="str">
        <f>"八代市本町２丁目３－２１"</f>
        <v>八代市本町２丁目３－２１</v>
      </c>
      <c r="E241" t="str">
        <f>"R02.05.01"</f>
        <v>R02.05.01</v>
      </c>
      <c r="F241" t="str">
        <f>"R08.04.30"</f>
        <v>R08.04.30</v>
      </c>
    </row>
    <row r="242" spans="1:6" x14ac:dyDescent="0.2">
      <c r="A242" t="str">
        <f>"第1482号"</f>
        <v>第1482号</v>
      </c>
      <c r="B242" t="str">
        <f>"株式会社ＣＩＳファーマシィ"</f>
        <v>株式会社ＣＩＳファーマシィ</v>
      </c>
      <c r="C242" t="str">
        <f>"クスノキ薬局　にしき町店"</f>
        <v>クスノキ薬局　にしき町店</v>
      </c>
      <c r="D242" t="str">
        <f>"八代市錦町１３番地１"</f>
        <v>八代市錦町１３番地１</v>
      </c>
      <c r="E242" t="str">
        <f>"R06.10.31"</f>
        <v>R06.10.31</v>
      </c>
      <c r="F242" t="str">
        <f>"R12.10.30"</f>
        <v>R12.10.30</v>
      </c>
    </row>
    <row r="243" spans="1:6" x14ac:dyDescent="0.2">
      <c r="A243" t="str">
        <f>"第1166号"</f>
        <v>第1166号</v>
      </c>
      <c r="B243" t="str">
        <f>"株式会社アイフレンド"</f>
        <v>株式会社アイフレンド</v>
      </c>
      <c r="C243" t="str">
        <f>"アイフレンド　イオン八代店"</f>
        <v>アイフレンド　イオン八代店</v>
      </c>
      <c r="D243" t="str">
        <f>"八代市沖町６番割３９８７－３"</f>
        <v>八代市沖町６番割３９８７－３</v>
      </c>
      <c r="E243" t="str">
        <f>"R06.10.17"</f>
        <v>R06.10.17</v>
      </c>
      <c r="F243" t="str">
        <f>"R12.10.16"</f>
        <v>R12.10.16</v>
      </c>
    </row>
    <row r="244" spans="1:6" x14ac:dyDescent="0.2">
      <c r="A244" t="str">
        <f>"第1377号"</f>
        <v>第1377号</v>
      </c>
      <c r="B244" t="str">
        <f>"一般社団法人八代薬剤師会"</f>
        <v>一般社団法人八代薬剤師会</v>
      </c>
      <c r="C244" t="str">
        <f>"八代薬剤師会センター薬局"</f>
        <v>八代薬剤師会センター薬局</v>
      </c>
      <c r="D244" t="str">
        <f>"八代郡氷川町今西作１５０番地２"</f>
        <v>八代郡氷川町今西作１５０番地２</v>
      </c>
      <c r="E244" t="str">
        <f>"R04.01.01"</f>
        <v>R04.01.01</v>
      </c>
      <c r="F244" t="str">
        <f>"R09.12.31"</f>
        <v>R09.12.31</v>
      </c>
    </row>
    <row r="245" spans="1:6" x14ac:dyDescent="0.2">
      <c r="A245" t="str">
        <f>"第1151号"</f>
        <v>第1151号</v>
      </c>
      <c r="B245" t="str">
        <f>"株式会社天翔"</f>
        <v>株式会社天翔</v>
      </c>
      <c r="C245" t="str">
        <f>"ACT-1　ゆめタウン八代店"</f>
        <v>ACT-1　ゆめタウン八代店</v>
      </c>
      <c r="D245" t="str">
        <f>"八代市建馬町３－１"</f>
        <v>八代市建馬町３－１</v>
      </c>
      <c r="E245" t="str">
        <f>"R06.07.27"</f>
        <v>R06.07.27</v>
      </c>
      <c r="F245" t="str">
        <f>"R12.07.26"</f>
        <v>R12.07.26</v>
      </c>
    </row>
    <row r="246" spans="1:6" x14ac:dyDescent="0.2">
      <c r="A246" t="str">
        <f>"第1096号"</f>
        <v>第1096号</v>
      </c>
      <c r="B246" t="str">
        <f>"富田薬品株式会社"</f>
        <v>富田薬品株式会社</v>
      </c>
      <c r="C246" t="str">
        <f>"富田薬品株式会社　八代支店"</f>
        <v>富田薬品株式会社　八代支店</v>
      </c>
      <c r="D246" t="str">
        <f>"八代市西片町１４５４"</f>
        <v>八代市西片町１４５４</v>
      </c>
      <c r="E246" t="str">
        <f>"R05.09.21"</f>
        <v>R05.09.21</v>
      </c>
      <c r="F246" t="str">
        <f>"R11.09.20"</f>
        <v>R11.09.20</v>
      </c>
    </row>
    <row r="247" spans="1:6" x14ac:dyDescent="0.2">
      <c r="A247" t="str">
        <f>"第1480号"</f>
        <v>第1480号</v>
      </c>
      <c r="B247" t="str">
        <f>"有限会社旭薬局"</f>
        <v>有限会社旭薬局</v>
      </c>
      <c r="C247" t="str">
        <f>"有限会社旭薬局"</f>
        <v>有限会社旭薬局</v>
      </c>
      <c r="D247" t="str">
        <f>"八代市萩原町一丁目８番３７号"</f>
        <v>八代市萩原町一丁目８番３７号</v>
      </c>
      <c r="E247" t="str">
        <f>"R06.10.21"</f>
        <v>R06.10.21</v>
      </c>
      <c r="F247" t="str">
        <f>"R12.10.20"</f>
        <v>R12.10.20</v>
      </c>
    </row>
    <row r="248" spans="1:6" x14ac:dyDescent="0.2">
      <c r="A248" t="str">
        <f>"第1165号"</f>
        <v>第1165号</v>
      </c>
      <c r="B248" t="str">
        <f>"株式会社クマモトメディカル"</f>
        <v>株式会社クマモトメディカル</v>
      </c>
      <c r="C248" t="str">
        <f>"メディカルサポートやつしろ"</f>
        <v>メディカルサポートやつしろ</v>
      </c>
      <c r="D248" t="str">
        <f>"八代市黄金町５－１３"</f>
        <v>八代市黄金町５－１３</v>
      </c>
      <c r="E248" t="str">
        <f>"R06.10.17"</f>
        <v>R06.10.17</v>
      </c>
      <c r="F248" t="str">
        <f>"R12.10.16"</f>
        <v>R12.10.16</v>
      </c>
    </row>
    <row r="249" spans="1:6" x14ac:dyDescent="0.2">
      <c r="A249" t="str">
        <f>"第1289号"</f>
        <v>第1289号</v>
      </c>
      <c r="B249" t="str">
        <f>"株式会社ファルコバイオシステムズ"</f>
        <v>株式会社ファルコバイオシステムズ</v>
      </c>
      <c r="C249" t="str">
        <f>"株式会社ファルコバイオシステムズ熊本南営業所"</f>
        <v>株式会社ファルコバイオシステムズ熊本南営業所</v>
      </c>
      <c r="D249" t="str">
        <f>"八代市竹原町２１２８－１"</f>
        <v>八代市竹原町２１２８－１</v>
      </c>
      <c r="E249" t="str">
        <f>"R02.05.07"</f>
        <v>R02.05.07</v>
      </c>
      <c r="F249" t="str">
        <f>"R08.05.06"</f>
        <v>R08.05.06</v>
      </c>
    </row>
    <row r="250" spans="1:6" x14ac:dyDescent="0.2">
      <c r="A250" t="str">
        <f>"第1370号"</f>
        <v>第1370号</v>
      </c>
      <c r="B250" t="str">
        <f>"有限会社コムス"</f>
        <v>有限会社コムス</v>
      </c>
      <c r="C250" t="str">
        <f>"ヱビス薬局千丁店"</f>
        <v>ヱビス薬局千丁店</v>
      </c>
      <c r="D250" t="str">
        <f>"八代市千丁町古閑出６１６番３"</f>
        <v>八代市千丁町古閑出６１６番３</v>
      </c>
      <c r="E250" t="str">
        <f>"R03.01.01"</f>
        <v>R03.01.01</v>
      </c>
      <c r="F250" t="str">
        <f>"R08.12.31"</f>
        <v>R08.12.31</v>
      </c>
    </row>
    <row r="251" spans="1:6" x14ac:dyDescent="0.2">
      <c r="A251" t="str">
        <f>"第1479号"</f>
        <v>第1479号</v>
      </c>
      <c r="B251" t="str">
        <f>"ミドリ安全熊本株式会社"</f>
        <v>ミドリ安全熊本株式会社</v>
      </c>
      <c r="C251" t="str">
        <f>"ミドリ安全熊本株式会社　八代営業所"</f>
        <v>ミドリ安全熊本株式会社　八代営業所</v>
      </c>
      <c r="D251" t="str">
        <f>"八代市古閑中町９９９－６"</f>
        <v>八代市古閑中町９９９－６</v>
      </c>
      <c r="E251" t="str">
        <f>"R06.10.09"</f>
        <v>R06.10.09</v>
      </c>
      <c r="F251" t="str">
        <f>"R12.10.08"</f>
        <v>R12.10.08</v>
      </c>
    </row>
    <row r="252" spans="1:6" x14ac:dyDescent="0.2">
      <c r="A252" t="str">
        <f>"第697号"</f>
        <v>第697号</v>
      </c>
      <c r="B252" t="str">
        <f>"有限会社　レメット"</f>
        <v>有限会社　レメット</v>
      </c>
      <c r="C252" t="str">
        <f>"はすわ薬局"</f>
        <v>はすわ薬局</v>
      </c>
      <c r="D252" t="str">
        <f>"八代市大村町１１１３番地４"</f>
        <v>八代市大村町１１１３番地４</v>
      </c>
      <c r="E252" t="str">
        <f>"R06.01.01"</f>
        <v>R06.01.01</v>
      </c>
      <c r="F252" t="str">
        <f>"R11.12.31"</f>
        <v>R11.12.31</v>
      </c>
    </row>
    <row r="253" spans="1:6" x14ac:dyDescent="0.2">
      <c r="A253" t="str">
        <f>"第298号"</f>
        <v>第298号</v>
      </c>
      <c r="B253" t="str">
        <f>"株式会社アステム"</f>
        <v>株式会社アステム</v>
      </c>
      <c r="C253" t="str">
        <f>"株式会社アステム八代支店"</f>
        <v>株式会社アステム八代支店</v>
      </c>
      <c r="D253" t="str">
        <f>"八代市中片町５１０"</f>
        <v>八代市中片町５１０</v>
      </c>
      <c r="E253" t="str">
        <f>"R05.01.01"</f>
        <v>R05.01.01</v>
      </c>
      <c r="F253" t="str">
        <f>"R10.12.31"</f>
        <v>R10.12.31</v>
      </c>
    </row>
    <row r="254" spans="1:6" x14ac:dyDescent="0.2">
      <c r="A254" t="str">
        <f>"第1573号"</f>
        <v>第1573号</v>
      </c>
      <c r="B254" t="str">
        <f>"イオン九州株式会社"</f>
        <v>イオン九州株式会社</v>
      </c>
      <c r="C254" t="str">
        <f>"イオン薬局　八代店"</f>
        <v>イオン薬局　八代店</v>
      </c>
      <c r="D254" t="str">
        <f>"八代市沖町六番割３９８７－３"</f>
        <v>八代市沖町六番割３９８７－３</v>
      </c>
      <c r="E254" t="str">
        <f>"R03.05.13"</f>
        <v>R03.05.13</v>
      </c>
      <c r="F254" t="str">
        <f>"R09.05.12"</f>
        <v>R09.05.12</v>
      </c>
    </row>
    <row r="255" spans="1:6" x14ac:dyDescent="0.2">
      <c r="A255" t="str">
        <f>"第1242号"</f>
        <v>第1242号</v>
      </c>
      <c r="B255" t="str">
        <f>"株式会社ヨネザワ"</f>
        <v>株式会社ヨネザワ</v>
      </c>
      <c r="C255" t="str">
        <f>"メガネのヨネザワ　八代海士江店"</f>
        <v>メガネのヨネザワ　八代海士江店</v>
      </c>
      <c r="D255" t="str">
        <f>"八代市海士江町字下毛２９４７"</f>
        <v>八代市海士江町字下毛２９４７</v>
      </c>
      <c r="E255" t="str">
        <f>"R01.09.09"</f>
        <v>R01.09.09</v>
      </c>
      <c r="F255" t="str">
        <f>"R07.09.08"</f>
        <v>R07.09.08</v>
      </c>
    </row>
    <row r="256" spans="1:6" x14ac:dyDescent="0.2">
      <c r="A256" t="str">
        <f>"第1466号"</f>
        <v>第1466号</v>
      </c>
      <c r="B256" t="str">
        <f>"有限会社わかくさ薬局"</f>
        <v>有限会社わかくさ薬局</v>
      </c>
      <c r="C256" t="str">
        <f>"こがなか調剤薬局"</f>
        <v>こがなか調剤薬局</v>
      </c>
      <c r="D256" t="str">
        <f>"八代市古閑中町１２０９－２"</f>
        <v>八代市古閑中町１２０９－２</v>
      </c>
      <c r="E256" t="str">
        <f>"R06.05.17"</f>
        <v>R06.05.17</v>
      </c>
      <c r="F256" t="str">
        <f>"R12.05.16"</f>
        <v>R12.05.16</v>
      </c>
    </row>
    <row r="257" spans="1:6" x14ac:dyDescent="0.2">
      <c r="A257" t="str">
        <f>"第1533号"</f>
        <v>第1533号</v>
      </c>
      <c r="B257" t="str">
        <f>"株式会社ドラッグストアモリ"</f>
        <v>株式会社ドラッグストアモリ</v>
      </c>
      <c r="C257" t="str">
        <f>"ドラッグストアモリ　八代駅前店"</f>
        <v>ドラッグストアモリ　八代駅前店</v>
      </c>
      <c r="D257" t="str">
        <f>"八代市旭中央通１番地２"</f>
        <v>八代市旭中央通１番地２</v>
      </c>
      <c r="E257" t="str">
        <f>"R02.06.18"</f>
        <v>R02.06.18</v>
      </c>
      <c r="F257" t="str">
        <f>"R08.06.17"</f>
        <v>R08.06.17</v>
      </c>
    </row>
    <row r="258" spans="1:6" x14ac:dyDescent="0.2">
      <c r="A258" t="str">
        <f>"第1673号"</f>
        <v>第1673号</v>
      </c>
      <c r="B258" t="str">
        <f>"さくら薬局株式会社"</f>
        <v>さくら薬局株式会社</v>
      </c>
      <c r="C258" t="str">
        <f>"さくら調剤薬局　臨港店"</f>
        <v>さくら調剤薬局　臨港店</v>
      </c>
      <c r="D258" t="str">
        <f>"八代市大村町字溝口３４４－１"</f>
        <v>八代市大村町字溝口３４４－１</v>
      </c>
      <c r="E258" t="str">
        <f>"R05.11.01"</f>
        <v>R05.11.01</v>
      </c>
      <c r="F258" t="str">
        <f>"R11.10.31"</f>
        <v>R11.10.31</v>
      </c>
    </row>
    <row r="259" spans="1:6" x14ac:dyDescent="0.2">
      <c r="A259" t="str">
        <f>"第1672号"</f>
        <v>第1672号</v>
      </c>
      <c r="B259" t="str">
        <f>"さくら薬局株式会社"</f>
        <v>さくら薬局株式会社</v>
      </c>
      <c r="C259" t="str">
        <f>"さくら調剤薬局　八代本町店"</f>
        <v>さくら調剤薬局　八代本町店</v>
      </c>
      <c r="D259" t="str">
        <f>"八代市本町１丁目８－８"</f>
        <v>八代市本町１丁目８－８</v>
      </c>
      <c r="E259" t="str">
        <f>"R05.11.01"</f>
        <v>R05.11.01</v>
      </c>
      <c r="F259" t="str">
        <f>"R11.10.31"</f>
        <v>R11.10.31</v>
      </c>
    </row>
    <row r="260" spans="1:6" x14ac:dyDescent="0.2">
      <c r="A260" t="str">
        <f>"第1135号"</f>
        <v>第1135号</v>
      </c>
      <c r="B260" t="str">
        <f>"エニータイム介護株式会社"</f>
        <v>エニータイム介護株式会社</v>
      </c>
      <c r="C260" t="str">
        <f>"エニータイム介護株式会社"</f>
        <v>エニータイム介護株式会社</v>
      </c>
      <c r="D260" t="str">
        <f>"八代市萩原町１－３－３０"</f>
        <v>八代市萩原町１－３－３０</v>
      </c>
      <c r="E260" t="str">
        <f>"R06.05.29"</f>
        <v>R06.05.29</v>
      </c>
      <c r="F260" t="str">
        <f>"R12.05.28"</f>
        <v>R12.05.28</v>
      </c>
    </row>
    <row r="261" spans="1:6" x14ac:dyDescent="0.2">
      <c r="A261" t="str">
        <f>"第1689号"</f>
        <v>第1689号</v>
      </c>
      <c r="B261" t="str">
        <f>"サニーデイズ株式会社"</f>
        <v>サニーデイズ株式会社</v>
      </c>
      <c r="C261" t="str">
        <f>"サニーデイズ"</f>
        <v>サニーデイズ</v>
      </c>
      <c r="D261" t="str">
        <f>"八代市松江城町３－２８"</f>
        <v>八代市松江城町３－２８</v>
      </c>
      <c r="E261" t="str">
        <f>"R06.05.01"</f>
        <v>R06.05.01</v>
      </c>
      <c r="F261" t="str">
        <f>"R11.12.31"</f>
        <v>R11.12.31</v>
      </c>
    </row>
    <row r="262" spans="1:6" x14ac:dyDescent="0.2">
      <c r="A262" t="str">
        <f>"第1112号"</f>
        <v>第1112号</v>
      </c>
      <c r="B262" t="str">
        <f>"株式会社ドラッグストアモリ"</f>
        <v>株式会社ドラッグストアモリ</v>
      </c>
      <c r="C262" t="str">
        <f>"ドラッグストアモリ　鏡店"</f>
        <v>ドラッグストアモリ　鏡店</v>
      </c>
      <c r="D262" t="str">
        <f>"八代市鏡町下村１５２７－１"</f>
        <v>八代市鏡町下村１５２７－１</v>
      </c>
      <c r="E262" t="str">
        <f>"R05.12.19"</f>
        <v>R05.12.19</v>
      </c>
      <c r="F262" t="str">
        <f>"R11.12.18"</f>
        <v>R11.12.18</v>
      </c>
    </row>
    <row r="263" spans="1:6" x14ac:dyDescent="0.2">
      <c r="A263" t="str">
        <f>"第1183号"</f>
        <v>第1183号</v>
      </c>
      <c r="B263" t="str">
        <f>"株式会社アレス"</f>
        <v>株式会社アレス</v>
      </c>
      <c r="C263" t="str">
        <f>"スーパーキッド八代高田店"</f>
        <v>スーパーキッド八代高田店</v>
      </c>
      <c r="D263" t="str">
        <f>"八代市高下西町１７４３"</f>
        <v>八代市高下西町１７４３</v>
      </c>
      <c r="E263" t="str">
        <f>"R06.01.01"</f>
        <v>R06.01.01</v>
      </c>
      <c r="F263" t="str">
        <f>"R11.12.31"</f>
        <v>R11.12.31</v>
      </c>
    </row>
    <row r="264" spans="1:6" x14ac:dyDescent="0.2">
      <c r="A264" t="str">
        <f>"第327号"</f>
        <v>第327号</v>
      </c>
      <c r="B264" t="str">
        <f>"有限会社エヌケイグループ"</f>
        <v>有限会社エヌケイグループ</v>
      </c>
      <c r="C264" t="str">
        <f>"植柳薬局"</f>
        <v>植柳薬局</v>
      </c>
      <c r="D264" t="str">
        <f>"八代市植柳上町６５２６－２"</f>
        <v>八代市植柳上町６５２６－２</v>
      </c>
      <c r="E264" t="str">
        <f>"R05.01.01"</f>
        <v>R05.01.01</v>
      </c>
      <c r="F264" t="str">
        <f>"R10.12.31"</f>
        <v>R10.12.31</v>
      </c>
    </row>
    <row r="265" spans="1:6" x14ac:dyDescent="0.2">
      <c r="A265" t="str">
        <f>"第1465号"</f>
        <v>第1465号</v>
      </c>
      <c r="B265" t="str">
        <f>"有限会社プロドラッグ"</f>
        <v>有限会社プロドラッグ</v>
      </c>
      <c r="C265" t="str">
        <f>"エリア調剤薬局　日置店"</f>
        <v>エリア調剤薬局　日置店</v>
      </c>
      <c r="D265" t="str">
        <f>"八代市日置町１５０番地２"</f>
        <v>八代市日置町１５０番地２</v>
      </c>
      <c r="E265" t="str">
        <f>"R06.01.01"</f>
        <v>R06.01.01</v>
      </c>
      <c r="F265" t="str">
        <f>"R11.12.31"</f>
        <v>R11.12.31</v>
      </c>
    </row>
    <row r="266" spans="1:6" x14ac:dyDescent="0.2">
      <c r="A266" t="str">
        <f>"第1461号"</f>
        <v>第1461号</v>
      </c>
      <c r="B266" t="str">
        <f>"合同会社樹"</f>
        <v>合同会社樹</v>
      </c>
      <c r="C266" t="str">
        <f>"いつき薬局"</f>
        <v>いつき薬局</v>
      </c>
      <c r="D266" t="str">
        <f>"八代市田中西町１－３－５"</f>
        <v>八代市田中西町１－３－５</v>
      </c>
      <c r="E266" t="str">
        <f>"R06.01.01"</f>
        <v>R06.01.01</v>
      </c>
      <c r="F266" t="str">
        <f>"R11.12.31"</f>
        <v>R11.12.31</v>
      </c>
    </row>
    <row r="267" spans="1:6" x14ac:dyDescent="0.2">
      <c r="A267" t="str">
        <f>"第1646号"</f>
        <v>第1646号</v>
      </c>
      <c r="B267" t="str">
        <f>"株式会社コスモス薬品"</f>
        <v>株式会社コスモス薬品</v>
      </c>
      <c r="C267" t="str">
        <f>"ドラッグコスモス鏡店"</f>
        <v>ドラッグコスモス鏡店</v>
      </c>
      <c r="D267" t="str">
        <f>"八代市千丁町太牟田２２９０－２３"</f>
        <v>八代市千丁町太牟田２２９０－２３</v>
      </c>
      <c r="E267" t="str">
        <f>"R05.05.29"</f>
        <v>R05.05.29</v>
      </c>
      <c r="F267" t="str">
        <f>"R11.05.28"</f>
        <v>R11.05.28</v>
      </c>
    </row>
    <row r="268" spans="1:6" x14ac:dyDescent="0.2">
      <c r="A268" t="str">
        <f>"第1442号"</f>
        <v>第1442号</v>
      </c>
      <c r="B268" t="str">
        <f>"株式会社コスモス薬品"</f>
        <v>株式会社コスモス薬品</v>
      </c>
      <c r="C268" t="str">
        <f>"ドラッグコスモス松江店"</f>
        <v>ドラッグコスモス松江店</v>
      </c>
      <c r="D268" t="str">
        <f>"八代市松江町５７６"</f>
        <v>八代市松江町５７６</v>
      </c>
      <c r="E268" t="str">
        <f>"R05.08.18"</f>
        <v>R05.08.18</v>
      </c>
      <c r="F268" t="str">
        <f>"R11.08.17"</f>
        <v>R11.08.17</v>
      </c>
    </row>
    <row r="269" spans="1:6" x14ac:dyDescent="0.2">
      <c r="A269" t="str">
        <f>"第1647号"</f>
        <v>第1647号</v>
      </c>
      <c r="B269" t="str">
        <f>"株式会社コスモス薬品"</f>
        <v>株式会社コスモス薬品</v>
      </c>
      <c r="C269" t="str">
        <f>"ドラッグコスモス竜北店"</f>
        <v>ドラッグコスモス竜北店</v>
      </c>
      <c r="D269" t="str">
        <f>"八代郡氷川町網道２８２－２"</f>
        <v>八代郡氷川町網道２８２－２</v>
      </c>
      <c r="E269" t="str">
        <f>"R05.05.29"</f>
        <v>R05.05.29</v>
      </c>
      <c r="F269" t="str">
        <f>"R11.05.28"</f>
        <v>R11.05.28</v>
      </c>
    </row>
    <row r="270" spans="1:6" x14ac:dyDescent="0.2">
      <c r="A270" t="str">
        <f>"第313号"</f>
        <v>第313号</v>
      </c>
      <c r="B270" t="str">
        <f>"アイティーアイ株式会社"</f>
        <v>アイティーアイ株式会社</v>
      </c>
      <c r="C270" t="str">
        <f>"アイティーアイ株式会社八代支店"</f>
        <v>アイティーアイ株式会社八代支店</v>
      </c>
      <c r="D270" t="str">
        <f>"八代市田中北町１２番３号"</f>
        <v>八代市田中北町１２番３号</v>
      </c>
      <c r="E270" t="str">
        <f>"R05.01.01"</f>
        <v>R05.01.01</v>
      </c>
      <c r="F270" t="str">
        <f>"R10.12.31"</f>
        <v>R10.12.31</v>
      </c>
    </row>
    <row r="271" spans="1:6" x14ac:dyDescent="0.2">
      <c r="A271" t="str">
        <f>"第1028号"</f>
        <v>第1028号</v>
      </c>
      <c r="B271" t="str">
        <f>"山下医科器械株式会社"</f>
        <v>山下医科器械株式会社</v>
      </c>
      <c r="C271" t="str">
        <f>"山下医科器械株式会社　八代営業所"</f>
        <v>山下医科器械株式会社　八代営業所</v>
      </c>
      <c r="D271" t="str">
        <f>"八代市宮地町２０８８番地"</f>
        <v>八代市宮地町２０８８番地</v>
      </c>
      <c r="E271" t="str">
        <f>"R04.05.17"</f>
        <v>R04.05.17</v>
      </c>
      <c r="F271" t="str">
        <f>"R10.05.16"</f>
        <v>R10.05.16</v>
      </c>
    </row>
    <row r="272" spans="1:6" x14ac:dyDescent="0.2">
      <c r="A272" t="str">
        <f>"第600号"</f>
        <v>第600号</v>
      </c>
      <c r="B272" t="str">
        <f>"綜合警備保障株式会社"</f>
        <v>綜合警備保障株式会社</v>
      </c>
      <c r="C272" t="str">
        <f>"綜合警備保障株式会社　熊本支社　八代営業所"</f>
        <v>綜合警備保障株式会社　熊本支社　八代営業所</v>
      </c>
      <c r="D272" t="str">
        <f>"八代市大手町１丁目８－１９"</f>
        <v>八代市大手町１丁目８－１９</v>
      </c>
      <c r="E272" t="str">
        <f>"R05.09.07"</f>
        <v>R05.09.07</v>
      </c>
      <c r="F272" t="str">
        <f>"R11.09.06"</f>
        <v>R11.09.06</v>
      </c>
    </row>
    <row r="273" spans="1:6" x14ac:dyDescent="0.2">
      <c r="A273" t="str">
        <f>"第1049号"</f>
        <v>第1049号</v>
      </c>
      <c r="B273" t="str">
        <f>"有限会社八代歯材"</f>
        <v>有限会社八代歯材</v>
      </c>
      <c r="C273" t="str">
        <f>"有限会社八代歯材"</f>
        <v>有限会社八代歯材</v>
      </c>
      <c r="D273" t="str">
        <f>"八代市長田町２９０２－１"</f>
        <v>八代市長田町２９０２－１</v>
      </c>
      <c r="E273" t="str">
        <f>"R04.01.01"</f>
        <v>R04.01.01</v>
      </c>
      <c r="F273" t="str">
        <f>"R09.12.31"</f>
        <v>R09.12.31</v>
      </c>
    </row>
    <row r="274" spans="1:6" x14ac:dyDescent="0.2">
      <c r="A274" t="str">
        <f>"第1547号"</f>
        <v>第1547号</v>
      </c>
      <c r="B274" t="str">
        <f>"九州東邦株式会社"</f>
        <v>九州東邦株式会社</v>
      </c>
      <c r="C274" t="str">
        <f>"九州東邦株式会社　八代人吉営業所"</f>
        <v>九州東邦株式会社　八代人吉営業所</v>
      </c>
      <c r="D274" t="str">
        <f>"八代市古閑中町１２５３－３"</f>
        <v>八代市古閑中町１２５３－３</v>
      </c>
      <c r="E274" t="str">
        <f>"R02.12.30"</f>
        <v>R02.12.30</v>
      </c>
      <c r="F274" t="str">
        <f>"R08.12.29"</f>
        <v>R08.12.29</v>
      </c>
    </row>
    <row r="275" spans="1:6" x14ac:dyDescent="0.2">
      <c r="A275" t="str">
        <f>"第1513号"</f>
        <v>第1513号</v>
      </c>
      <c r="B275" t="str">
        <f>"キヤノンシステムアンドサポート株式会社"</f>
        <v>キヤノンシステムアンドサポート株式会社</v>
      </c>
      <c r="C275" t="str">
        <f>"キヤノンシステムアンドサポート株式会社　八代サービスセンター"</f>
        <v>キヤノンシステムアンドサポート株式会社　八代サービスセンター</v>
      </c>
      <c r="D275" t="str">
        <f>"八代市横手新町１８号２"</f>
        <v>八代市横手新町１８号２</v>
      </c>
      <c r="E275" t="str">
        <f>"R01.09.13"</f>
        <v>R01.09.13</v>
      </c>
      <c r="F275" t="str">
        <f>"R07.09.12"</f>
        <v>R07.09.12</v>
      </c>
    </row>
    <row r="276" spans="1:6" x14ac:dyDescent="0.2">
      <c r="A276" t="str">
        <f>"第1365号"</f>
        <v>第1365号</v>
      </c>
      <c r="B276" t="str">
        <f>"株式会社アレス"</f>
        <v>株式会社アレス</v>
      </c>
      <c r="C276" t="str">
        <f>"スーパーキッド古閑中町店"</f>
        <v>スーパーキッド古閑中町店</v>
      </c>
      <c r="D276" t="str">
        <f>"八代市古閑中町１２１２－１"</f>
        <v>八代市古閑中町１２１２－１</v>
      </c>
      <c r="E276" t="str">
        <f>"R03.07.01"</f>
        <v>R03.07.01</v>
      </c>
      <c r="F276" t="str">
        <f>"R08.12.31"</f>
        <v>R08.12.31</v>
      </c>
    </row>
    <row r="277" spans="1:6" x14ac:dyDescent="0.2">
      <c r="A277" t="str">
        <f>"第558号"</f>
        <v>第558号</v>
      </c>
      <c r="B277" t="str">
        <f>"株式会社ヨネザワ"</f>
        <v>株式会社ヨネザワ</v>
      </c>
      <c r="C277" t="str">
        <f>"ヨネザワコンタクトゆめタウン八代店"</f>
        <v>ヨネザワコンタクトゆめタウン八代店</v>
      </c>
      <c r="D277" t="str">
        <f>"八代市建馬町３－１"</f>
        <v>八代市建馬町３－１</v>
      </c>
      <c r="E277" t="str">
        <f>"R05.01.01"</f>
        <v>R05.01.01</v>
      </c>
      <c r="F277" t="str">
        <f>"R10.12.31"</f>
        <v>R10.12.31</v>
      </c>
    </row>
    <row r="278" spans="1:6" x14ac:dyDescent="0.2">
      <c r="A278" t="str">
        <f>"第1260号"</f>
        <v>第1260号</v>
      </c>
      <c r="B278" t="str">
        <f>"株式会社ドラッグストアモリ"</f>
        <v>株式会社ドラッグストアモリ</v>
      </c>
      <c r="C278" t="str">
        <f>"ドラッグストアモリ　八代中北店"</f>
        <v>ドラッグストアモリ　八代中北店</v>
      </c>
      <c r="D278" t="str">
        <f>"八代市中北町３１１２番地１"</f>
        <v>八代市中北町３１１２番地１</v>
      </c>
      <c r="E278" t="str">
        <f>"R01.11.28"</f>
        <v>R01.11.28</v>
      </c>
      <c r="F278" t="str">
        <f>"R07.11.27"</f>
        <v>R07.11.27</v>
      </c>
    </row>
    <row r="279" spans="1:6" x14ac:dyDescent="0.2">
      <c r="A279" t="str">
        <f>"第321号"</f>
        <v>第321号</v>
      </c>
      <c r="B279" t="str">
        <f>"有限会社ひおき調剤薬局"</f>
        <v>有限会社ひおき調剤薬局</v>
      </c>
      <c r="C279" t="str">
        <f>"ひおき調剤薬局"</f>
        <v>ひおき調剤薬局</v>
      </c>
      <c r="D279" t="str">
        <f>"八代市日置町３１２番地の１"</f>
        <v>八代市日置町３１２番地の１</v>
      </c>
      <c r="E279" t="str">
        <f t="shared" ref="E279:E292" si="5">"R05.01.01"</f>
        <v>R05.01.01</v>
      </c>
      <c r="F279" t="str">
        <f t="shared" ref="F279:F292" si="6">"R10.12.31"</f>
        <v>R10.12.31</v>
      </c>
    </row>
    <row r="280" spans="1:6" x14ac:dyDescent="0.2">
      <c r="A280" t="str">
        <f>"第325号"</f>
        <v>第325号</v>
      </c>
      <c r="B280" t="str">
        <f>"株式会社下川薬局"</f>
        <v>株式会社下川薬局</v>
      </c>
      <c r="C280" t="str">
        <f>"労災病院前調剤薬局"</f>
        <v>労災病院前調剤薬局</v>
      </c>
      <c r="D280" t="str">
        <f>"八代市竹原町１６５８番１"</f>
        <v>八代市竹原町１６５８番１</v>
      </c>
      <c r="E280" t="str">
        <f t="shared" si="5"/>
        <v>R05.01.01</v>
      </c>
      <c r="F280" t="str">
        <f t="shared" si="6"/>
        <v>R10.12.31</v>
      </c>
    </row>
    <row r="281" spans="1:6" x14ac:dyDescent="0.2">
      <c r="A281" t="str">
        <f>"第308号"</f>
        <v>第308号</v>
      </c>
      <c r="B281" t="str">
        <f>"有限会社木原コンタクトレンズ"</f>
        <v>有限会社木原コンタクトレンズ</v>
      </c>
      <c r="C281" t="str">
        <f>"有限会社木原コンタクトレンズ"</f>
        <v>有限会社木原コンタクトレンズ</v>
      </c>
      <c r="D281" t="str">
        <f>"八代市萩原町２丁目６番３２号"</f>
        <v>八代市萩原町２丁目６番３２号</v>
      </c>
      <c r="E281" t="str">
        <f t="shared" si="5"/>
        <v>R05.01.01</v>
      </c>
      <c r="F281" t="str">
        <f t="shared" si="6"/>
        <v>R10.12.31</v>
      </c>
    </row>
    <row r="282" spans="1:6" x14ac:dyDescent="0.2">
      <c r="A282" t="str">
        <f>"第307号"</f>
        <v>第307号</v>
      </c>
      <c r="B282" t="str">
        <f>"有限会社大平コンタクトレンズ"</f>
        <v>有限会社大平コンタクトレンズ</v>
      </c>
      <c r="C282" t="str">
        <f>"有限会社大平コンタクトレンズ"</f>
        <v>有限会社大平コンタクトレンズ</v>
      </c>
      <c r="D282" t="str">
        <f>"八代市通町５－２８"</f>
        <v>八代市通町５－２８</v>
      </c>
      <c r="E282" t="str">
        <f t="shared" si="5"/>
        <v>R05.01.01</v>
      </c>
      <c r="F282" t="str">
        <f t="shared" si="6"/>
        <v>R10.12.31</v>
      </c>
    </row>
    <row r="283" spans="1:6" x14ac:dyDescent="0.2">
      <c r="A283" t="str">
        <f>"第296号"</f>
        <v>第296号</v>
      </c>
      <c r="B283" t="str">
        <f>"有限会社松村コンタクトレンズ"</f>
        <v>有限会社松村コンタクトレンズ</v>
      </c>
      <c r="C283" t="str">
        <f>"有限会社松村コンタクトレンズ"</f>
        <v>有限会社松村コンタクトレンズ</v>
      </c>
      <c r="D283" t="str">
        <f>"八代市鏡町鏡２０９"</f>
        <v>八代市鏡町鏡２０９</v>
      </c>
      <c r="E283" t="str">
        <f t="shared" si="5"/>
        <v>R05.01.01</v>
      </c>
      <c r="F283" t="str">
        <f t="shared" si="6"/>
        <v>R10.12.31</v>
      </c>
    </row>
    <row r="284" spans="1:6" x14ac:dyDescent="0.2">
      <c r="A284" t="str">
        <f>"第551号"</f>
        <v>第551号</v>
      </c>
      <c r="B284" t="str">
        <f>"有園義肢株式会社"</f>
        <v>有園義肢株式会社</v>
      </c>
      <c r="C284" t="str">
        <f>"有園義肢株式会社"</f>
        <v>有園義肢株式会社</v>
      </c>
      <c r="D284" t="str">
        <f>"八代市長田町３３００番地"</f>
        <v>八代市長田町３３００番地</v>
      </c>
      <c r="E284" t="str">
        <f t="shared" si="5"/>
        <v>R05.01.01</v>
      </c>
      <c r="F284" t="str">
        <f t="shared" si="6"/>
        <v>R10.12.31</v>
      </c>
    </row>
    <row r="285" spans="1:6" x14ac:dyDescent="0.2">
      <c r="A285" t="str">
        <f>"第1440号"</f>
        <v>第1440号</v>
      </c>
      <c r="B285" t="str">
        <f>"株式会社下川薬局"</f>
        <v>株式会社下川薬局</v>
      </c>
      <c r="C285" t="str">
        <f>"総合病院前調剤薬局"</f>
        <v>総合病院前調剤薬局</v>
      </c>
      <c r="D285" t="str">
        <f>"八代市通町１０番４７号"</f>
        <v>八代市通町１０番４７号</v>
      </c>
      <c r="E285" t="str">
        <f t="shared" si="5"/>
        <v>R05.01.01</v>
      </c>
      <c r="F285" t="str">
        <f t="shared" si="6"/>
        <v>R10.12.31</v>
      </c>
    </row>
    <row r="286" spans="1:6" x14ac:dyDescent="0.2">
      <c r="A286" t="str">
        <f>"第460号"</f>
        <v>第460号</v>
      </c>
      <c r="B286" t="str">
        <f>"有限会社プロドラッグ"</f>
        <v>有限会社プロドラッグ</v>
      </c>
      <c r="C286" t="str">
        <f>"修徳調剤薬局"</f>
        <v>修徳調剤薬局</v>
      </c>
      <c r="D286" t="str">
        <f>"八代市塩屋町４番４６号"</f>
        <v>八代市塩屋町４番４６号</v>
      </c>
      <c r="E286" t="str">
        <f t="shared" si="5"/>
        <v>R05.01.01</v>
      </c>
      <c r="F286" t="str">
        <f t="shared" si="6"/>
        <v>R10.12.31</v>
      </c>
    </row>
    <row r="287" spans="1:6" x14ac:dyDescent="0.2">
      <c r="A287" t="str">
        <f>"第324号"</f>
        <v>第324号</v>
      </c>
      <c r="B287" t="str">
        <f>"有限会社ヤマダ"</f>
        <v>有限会社ヤマダ</v>
      </c>
      <c r="C287" t="str">
        <f>"鏡調剤薬局"</f>
        <v>鏡調剤薬局</v>
      </c>
      <c r="D287" t="str">
        <f>"八代市鏡町鏡村９１０"</f>
        <v>八代市鏡町鏡村９１０</v>
      </c>
      <c r="E287" t="str">
        <f t="shared" si="5"/>
        <v>R05.01.01</v>
      </c>
      <c r="F287" t="str">
        <f t="shared" si="6"/>
        <v>R10.12.31</v>
      </c>
    </row>
    <row r="288" spans="1:6" x14ac:dyDescent="0.2">
      <c r="A288" t="str">
        <f>"第310号"</f>
        <v>第310号</v>
      </c>
      <c r="B288" t="str">
        <f>"吉住酸素工業株式会社"</f>
        <v>吉住酸素工業株式会社</v>
      </c>
      <c r="C288" t="str">
        <f>"吉住酸素工業株式会社"</f>
        <v>吉住酸素工業株式会社</v>
      </c>
      <c r="D288" t="str">
        <f>"八代市弥生町１５番地１０"</f>
        <v>八代市弥生町１５番地１０</v>
      </c>
      <c r="E288" t="str">
        <f t="shared" si="5"/>
        <v>R05.01.01</v>
      </c>
      <c r="F288" t="str">
        <f t="shared" si="6"/>
        <v>R10.12.31</v>
      </c>
    </row>
    <row r="289" spans="1:6" x14ac:dyDescent="0.2">
      <c r="A289" t="str">
        <f>"第306号"</f>
        <v>第306号</v>
      </c>
      <c r="B289" t="str">
        <f>"有限会社めがねの開眼堂"</f>
        <v>有限会社めがねの開眼堂</v>
      </c>
      <c r="C289" t="str">
        <f>"やつしろコンタクト"</f>
        <v>やつしろコンタクト</v>
      </c>
      <c r="D289" t="str">
        <f>"八代市田中町４８９－１"</f>
        <v>八代市田中町４８９－１</v>
      </c>
      <c r="E289" t="str">
        <f t="shared" si="5"/>
        <v>R05.01.01</v>
      </c>
      <c r="F289" t="str">
        <f t="shared" si="6"/>
        <v>R10.12.31</v>
      </c>
    </row>
    <row r="290" spans="1:6" x14ac:dyDescent="0.2">
      <c r="A290" t="str">
        <f>"第553号"</f>
        <v>第553号</v>
      </c>
      <c r="B290" t="str">
        <f>"メディア株式会社"</f>
        <v>メディア株式会社</v>
      </c>
      <c r="C290" t="str">
        <f>"メディア株式会社"</f>
        <v>メディア株式会社</v>
      </c>
      <c r="D290" t="str">
        <f>"八代市西松江城町１１－２７号"</f>
        <v>八代市西松江城町１１－２７号</v>
      </c>
      <c r="E290" t="str">
        <f t="shared" si="5"/>
        <v>R05.01.01</v>
      </c>
      <c r="F290" t="str">
        <f t="shared" si="6"/>
        <v>R10.12.31</v>
      </c>
    </row>
    <row r="291" spans="1:6" x14ac:dyDescent="0.2">
      <c r="A291" t="str">
        <f>"第304号"</f>
        <v>第304号</v>
      </c>
      <c r="B291" t="str">
        <f>"株式会社ヨネザワ"</f>
        <v>株式会社ヨネザワ</v>
      </c>
      <c r="C291" t="str">
        <f>"メガネのヨネザワ八代松江店"</f>
        <v>メガネのヨネザワ八代松江店</v>
      </c>
      <c r="D291" t="str">
        <f>"八代市松江町新開５０５"</f>
        <v>八代市松江町新開５０５</v>
      </c>
      <c r="E291" t="str">
        <f t="shared" si="5"/>
        <v>R05.01.01</v>
      </c>
      <c r="F291" t="str">
        <f t="shared" si="6"/>
        <v>R10.12.31</v>
      </c>
    </row>
    <row r="292" spans="1:6" x14ac:dyDescent="0.2">
      <c r="A292" t="str">
        <f>"第1416号"</f>
        <v>第1416号</v>
      </c>
      <c r="B292" t="str">
        <f>"株式会社ＤＡＮファーマシー"</f>
        <v>株式会社ＤＡＮファーマシー</v>
      </c>
      <c r="C292" t="str">
        <f>"ダン永碇薬局"</f>
        <v>ダン永碇薬局</v>
      </c>
      <c r="D292" t="str">
        <f>"八代市永碇町１０７３－１"</f>
        <v>八代市永碇町１０７３－１</v>
      </c>
      <c r="E292" t="str">
        <f t="shared" si="5"/>
        <v>R05.01.01</v>
      </c>
      <c r="F292" t="str">
        <f t="shared" si="6"/>
        <v>R10.12.31</v>
      </c>
    </row>
    <row r="293" spans="1:6" x14ac:dyDescent="0.2">
      <c r="A293" t="str">
        <f>"第1021号"</f>
        <v>第1021号</v>
      </c>
      <c r="B293" t="str">
        <f>"有限会社　わかくさ薬局"</f>
        <v>有限会社　わかくさ薬局</v>
      </c>
      <c r="C293" t="str">
        <f>"こがね町調剤薬局"</f>
        <v>こがね町調剤薬局</v>
      </c>
      <c r="D293" t="str">
        <f>"八代市黄金町２１番２"</f>
        <v>八代市黄金町２１番２</v>
      </c>
      <c r="E293" t="str">
        <f>"R04.01.01"</f>
        <v>R04.01.01</v>
      </c>
      <c r="F293" t="str">
        <f>"R09.12.31"</f>
        <v>R09.12.31</v>
      </c>
    </row>
    <row r="294" spans="1:6" x14ac:dyDescent="0.2">
      <c r="A294" t="str">
        <f>"第828号"</f>
        <v>第828号</v>
      </c>
      <c r="B294" t="str">
        <f>"有限会社　わかくさ薬局"</f>
        <v>有限会社　わかくさ薬局</v>
      </c>
      <c r="C294" t="str">
        <f>"はなぞの調剤薬局"</f>
        <v>はなぞの調剤薬局</v>
      </c>
      <c r="D294" t="str">
        <f>"八代市花園町５番地８"</f>
        <v>八代市花園町５番地８</v>
      </c>
      <c r="E294" t="str">
        <f>"R01.12.17"</f>
        <v>R01.12.17</v>
      </c>
      <c r="F294" t="str">
        <f>"R07.12.16"</f>
        <v>R07.12.16</v>
      </c>
    </row>
    <row r="295" spans="1:6" x14ac:dyDescent="0.2">
      <c r="A295" t="str">
        <f>"第1411号"</f>
        <v>第1411号</v>
      </c>
      <c r="B295" t="str">
        <f>"倉門　芳啓"</f>
        <v>倉門　芳啓</v>
      </c>
      <c r="C295" t="str">
        <f>"メディカル・エイト"</f>
        <v>メディカル・エイト</v>
      </c>
      <c r="D295" t="str">
        <f>"八代市通町４－３９－１０２"</f>
        <v>八代市通町４－３９－１０２</v>
      </c>
      <c r="E295" t="str">
        <f>"R05.01.01"</f>
        <v>R05.01.01</v>
      </c>
      <c r="F295" t="str">
        <f>"R10.12.31"</f>
        <v>R10.12.31</v>
      </c>
    </row>
    <row r="296" spans="1:6" x14ac:dyDescent="0.2">
      <c r="A296" t="str">
        <f>"第1398号"</f>
        <v>第1398号</v>
      </c>
      <c r="B296" t="str">
        <f>"フクダライフテック九州株式会社"</f>
        <v>フクダライフテック九州株式会社</v>
      </c>
      <c r="C296" t="str">
        <f>"フクダライフテック九州株式会社　八代出張所"</f>
        <v>フクダライフテック九州株式会社　八代出張所</v>
      </c>
      <c r="D296" t="str">
        <f>"八代市横手新町１－３"</f>
        <v>八代市横手新町１－３</v>
      </c>
      <c r="E296" t="str">
        <f>"R04.09.12"</f>
        <v>R04.09.12</v>
      </c>
      <c r="F296" t="str">
        <f>"R10.09.11"</f>
        <v>R10.09.11</v>
      </c>
    </row>
    <row r="297" spans="1:6" x14ac:dyDescent="0.2">
      <c r="A297" t="str">
        <f>"第1360号"</f>
        <v>第1360号</v>
      </c>
      <c r="B297" t="str">
        <f>"有限会社東洋メディカル"</f>
        <v>有限会社東洋メディカル</v>
      </c>
      <c r="C297" t="str">
        <f>"ぐんちく調剤薬局"</f>
        <v>ぐんちく調剤薬局</v>
      </c>
      <c r="D297" t="str">
        <f>"八代市郡築一番町２０８番地の２"</f>
        <v>八代市郡築一番町２０８番地の２</v>
      </c>
      <c r="E297" t="str">
        <f>"R03.01.01"</f>
        <v>R03.01.01</v>
      </c>
      <c r="F297" t="str">
        <f>"R08.12.31"</f>
        <v>R08.12.31</v>
      </c>
    </row>
    <row r="298" spans="1:6" x14ac:dyDescent="0.2">
      <c r="A298" t="str">
        <f>"第1546号"</f>
        <v>第1546号</v>
      </c>
      <c r="B298" t="str">
        <f>"株式会社メガネトップ"</f>
        <v>株式会社メガネトップ</v>
      </c>
      <c r="C298" t="str">
        <f>"眼鏡市場八代旭中央店"</f>
        <v>眼鏡市場八代旭中央店</v>
      </c>
      <c r="D298" t="str">
        <f>"八代市旭中央通り３－１"</f>
        <v>八代市旭中央通り３－１</v>
      </c>
      <c r="E298" t="str">
        <f>"R02.11.19"</f>
        <v>R02.11.19</v>
      </c>
      <c r="F298" t="str">
        <f>"R08.11.18"</f>
        <v>R08.11.18</v>
      </c>
    </row>
    <row r="299" spans="1:6" x14ac:dyDescent="0.2">
      <c r="A299" t="str">
        <f>"第1602号"</f>
        <v>第1602号</v>
      </c>
      <c r="B299" t="str">
        <f>"岡本　孝利"</f>
        <v>岡本　孝利</v>
      </c>
      <c r="C299" t="str">
        <f>"ノア・ノア電気センター"</f>
        <v>ノア・ノア電気センター</v>
      </c>
      <c r="D299" t="str">
        <f>"八代市松崎町２３１－３"</f>
        <v>八代市松崎町２３１－３</v>
      </c>
      <c r="E299" t="str">
        <f>"R04.01.07"</f>
        <v>R04.01.07</v>
      </c>
      <c r="F299" t="str">
        <f>"R09.12.31"</f>
        <v>R09.12.31</v>
      </c>
    </row>
    <row r="300" spans="1:6" x14ac:dyDescent="0.2">
      <c r="A300" t="str">
        <f>"第1052号"</f>
        <v>第1052号</v>
      </c>
      <c r="B300" t="str">
        <f>"株式会社ＤＡＮファーマシー"</f>
        <v>株式会社ＤＡＮファーマシー</v>
      </c>
      <c r="C300" t="str">
        <f>"ダン調剤薬局"</f>
        <v>ダン調剤薬局</v>
      </c>
      <c r="D300" t="str">
        <f>"八代市古閑上町字聖神１３番１"</f>
        <v>八代市古閑上町字聖神１３番１</v>
      </c>
      <c r="E300" t="str">
        <f>"R04.01.01"</f>
        <v>R04.01.01</v>
      </c>
      <c r="F300" t="str">
        <f>"R09.12.31"</f>
        <v>R09.12.31</v>
      </c>
    </row>
    <row r="301" spans="1:6" x14ac:dyDescent="0.2">
      <c r="A301" t="str">
        <f>"第1600号"</f>
        <v>第1600号</v>
      </c>
      <c r="B301" t="str">
        <f>"株式会社ハートフェルト"</f>
        <v>株式会社ハートフェルト</v>
      </c>
      <c r="C301" t="str">
        <f>"八代はぎわら薬局"</f>
        <v>八代はぎわら薬局</v>
      </c>
      <c r="D301" t="str">
        <f>"八代市萩原町二丁目１１－２"</f>
        <v>八代市萩原町二丁目１１－２</v>
      </c>
      <c r="E301" t="str">
        <f>"R03.12.01"</f>
        <v>R03.12.01</v>
      </c>
      <c r="F301" t="str">
        <f>"R09.11.30"</f>
        <v>R09.11.30</v>
      </c>
    </row>
    <row r="302" spans="1:6" x14ac:dyDescent="0.2">
      <c r="A302" t="str">
        <f>"第1523号"</f>
        <v>第1523号</v>
      </c>
      <c r="B302" t="str">
        <f>"ケアパーク株式会社"</f>
        <v>ケアパーク株式会社</v>
      </c>
      <c r="C302" t="str">
        <f>"ケアパーク株式会社"</f>
        <v>ケアパーク株式会社</v>
      </c>
      <c r="D302" t="str">
        <f>"八代市上日置町４２９８番地５"</f>
        <v>八代市上日置町４２９８番地５</v>
      </c>
      <c r="E302" t="str">
        <f>"R02.02.26"</f>
        <v>R02.02.26</v>
      </c>
      <c r="F302" t="str">
        <f>"R08.02.25"</f>
        <v>R08.02.25</v>
      </c>
    </row>
    <row r="303" spans="1:6" x14ac:dyDescent="0.2">
      <c r="A303" t="str">
        <f>"第932号"</f>
        <v>第932号</v>
      </c>
      <c r="B303" t="str">
        <f>"株式会社クローバー"</f>
        <v>株式会社クローバー</v>
      </c>
      <c r="C303" t="str">
        <f>"ゆうば薬局"</f>
        <v>ゆうば薬局</v>
      </c>
      <c r="D303" t="str">
        <f>"八代市花園町７－１６"</f>
        <v>八代市花園町７－１６</v>
      </c>
      <c r="E303" t="str">
        <f>"R03.01.01"</f>
        <v>R03.01.01</v>
      </c>
      <c r="F303" t="str">
        <f>"R08.12.31"</f>
        <v>R08.12.31</v>
      </c>
    </row>
    <row r="304" spans="1:6" x14ac:dyDescent="0.2">
      <c r="A304" t="str">
        <f>"第920号"</f>
        <v>第920号</v>
      </c>
      <c r="B304" t="str">
        <f>"株式会社八代みどり調剤"</f>
        <v>株式会社八代みどり調剤</v>
      </c>
      <c r="C304" t="str">
        <f>"八代みどり薬局"</f>
        <v>八代みどり薬局</v>
      </c>
      <c r="D304" t="str">
        <f>"八代市永碇町１３１５－１"</f>
        <v>八代市永碇町１３１５－１</v>
      </c>
      <c r="E304" t="str">
        <f>"R03.01.01"</f>
        <v>R03.01.01</v>
      </c>
      <c r="F304" t="str">
        <f>"R08.12.31"</f>
        <v>R08.12.31</v>
      </c>
    </row>
    <row r="305" spans="1:6" x14ac:dyDescent="0.2">
      <c r="A305" t="str">
        <f>"第1375号"</f>
        <v>第1375号</v>
      </c>
      <c r="B305" t="str">
        <f>"株式会社　松下コーポレーション"</f>
        <v>株式会社　松下コーポレーション</v>
      </c>
      <c r="C305" t="str">
        <f>"まつした調剤薬局"</f>
        <v>まつした調剤薬局</v>
      </c>
      <c r="D305" t="str">
        <f>"八代市横手新町２号２０番地"</f>
        <v>八代市横手新町２号２０番地</v>
      </c>
      <c r="E305" t="str">
        <f>"R03.01.01"</f>
        <v>R03.01.01</v>
      </c>
      <c r="F305" t="str">
        <f>"R08.12.31"</f>
        <v>R08.12.31</v>
      </c>
    </row>
    <row r="306" spans="1:6" x14ac:dyDescent="0.2">
      <c r="A306" t="str">
        <f>"第1330号"</f>
        <v>第1330号</v>
      </c>
      <c r="B306" t="str">
        <f>"有限会社　不知火書房"</f>
        <v>有限会社　不知火書房</v>
      </c>
      <c r="C306" t="str">
        <f>"有限会社　不知火書房"</f>
        <v>有限会社　不知火書房</v>
      </c>
      <c r="D306" t="str">
        <f>"八代市鏡町鏡１３０番地の４"</f>
        <v>八代市鏡町鏡１３０番地の４</v>
      </c>
      <c r="E306" t="str">
        <f>"R02.12.26"</f>
        <v>R02.12.26</v>
      </c>
      <c r="F306" t="str">
        <f>"R08.12.25"</f>
        <v>R08.12.25</v>
      </c>
    </row>
    <row r="307" spans="1:6" x14ac:dyDescent="0.2">
      <c r="A307" t="str">
        <f>"第1532号"</f>
        <v>第1532号</v>
      </c>
      <c r="B307" t="str">
        <f>"株式会社ファーストファーマシー"</f>
        <v>株式会社ファーストファーマシー</v>
      </c>
      <c r="C307" t="str">
        <f>"楓の木調剤薬局"</f>
        <v>楓の木調剤薬局</v>
      </c>
      <c r="D307" t="str">
        <f>"八代市本町１丁目１－１"</f>
        <v>八代市本町１丁目１－１</v>
      </c>
      <c r="E307" t="str">
        <f>"R02.06.04"</f>
        <v>R02.06.04</v>
      </c>
      <c r="F307" t="str">
        <f>"R07.12.31"</f>
        <v>R07.12.31</v>
      </c>
    </row>
    <row r="308" spans="1:6" x14ac:dyDescent="0.2">
      <c r="A308" t="str">
        <f>"第868号"</f>
        <v>第868号</v>
      </c>
      <c r="B308" t="str">
        <f>"有限会社ピコロ社"</f>
        <v>有限会社ピコロ社</v>
      </c>
      <c r="C308" t="str">
        <f>"有限会社ピコロ社"</f>
        <v>有限会社ピコロ社</v>
      </c>
      <c r="D308" t="str">
        <f>"八代市大村町４０２"</f>
        <v>八代市大村町４０２</v>
      </c>
      <c r="E308" t="str">
        <f>"R02.01.01"</f>
        <v>R02.01.01</v>
      </c>
      <c r="F308" t="str">
        <f>"R07.12.31"</f>
        <v>R07.12.31</v>
      </c>
    </row>
    <row r="309" spans="1:6" x14ac:dyDescent="0.2">
      <c r="A309" t="str">
        <f>"第852号"</f>
        <v>第852号</v>
      </c>
      <c r="B309" t="str">
        <f>"有限会社プロドラッグ"</f>
        <v>有限会社プロドラッグ</v>
      </c>
      <c r="C309" t="str">
        <f>"エリア調剤薬局旭中央通店"</f>
        <v>エリア調剤薬局旭中央通店</v>
      </c>
      <c r="D309" t="str">
        <f>"八代市旭中央通１８番４"</f>
        <v>八代市旭中央通１８番４</v>
      </c>
      <c r="E309" t="str">
        <f>"R02.01.01"</f>
        <v>R02.01.01</v>
      </c>
      <c r="F309" t="str">
        <f>"R07.12.31"</f>
        <v>R07.12.31</v>
      </c>
    </row>
    <row r="310" spans="1:6" x14ac:dyDescent="0.2">
      <c r="A310" t="str">
        <f>"第807号"</f>
        <v>第807号</v>
      </c>
      <c r="B310" t="str">
        <f>"株式会社　城南学習社"</f>
        <v>株式会社　城南学習社</v>
      </c>
      <c r="C310" t="str">
        <f>"城南学習社"</f>
        <v>城南学習社</v>
      </c>
      <c r="D310" t="str">
        <f>"八代市新地町６－９"</f>
        <v>八代市新地町６－９</v>
      </c>
      <c r="E310" t="str">
        <f>"R01.09.04"</f>
        <v>R01.09.04</v>
      </c>
      <c r="F310" t="str">
        <f>"R07.09.03"</f>
        <v>R07.09.03</v>
      </c>
    </row>
    <row r="311" spans="1:6" x14ac:dyDescent="0.2">
      <c r="A311" t="str">
        <f>"第1387号"</f>
        <v>第1387号</v>
      </c>
      <c r="B311" t="str">
        <f>"一般社団法人健康共同ファルマ"</f>
        <v>一般社団法人健康共同ファルマ</v>
      </c>
      <c r="C311" t="str">
        <f>"さくら薬局"</f>
        <v>さくら薬局</v>
      </c>
      <c r="D311" t="str">
        <f>"水俣市桜井町２丁目２番１９号"</f>
        <v>水俣市桜井町２丁目２番１９号</v>
      </c>
      <c r="E311" t="str">
        <f>"R04.01.01"</f>
        <v>R04.01.01</v>
      </c>
      <c r="F311" t="str">
        <f>"R09.12.31"</f>
        <v>R09.12.31</v>
      </c>
    </row>
    <row r="312" spans="1:6" x14ac:dyDescent="0.2">
      <c r="A312" t="str">
        <f>"第1492号"</f>
        <v>第1492号</v>
      </c>
      <c r="B312" t="str">
        <f>"有限会社　南州メディカル"</f>
        <v>有限会社　南州メディカル</v>
      </c>
      <c r="C312" t="str">
        <f>"ハートケア熊本"</f>
        <v>ハートケア熊本</v>
      </c>
      <c r="D312" t="str">
        <f>"葦北郡芦北町大字花岡１６６１－１"</f>
        <v>葦北郡芦北町大字花岡１６６１－１</v>
      </c>
      <c r="E312" t="str">
        <f>"R07.01.01"</f>
        <v>R07.01.01</v>
      </c>
      <c r="F312" t="str">
        <f>"R12.12.31"</f>
        <v>R12.12.31</v>
      </c>
    </row>
    <row r="313" spans="1:6" x14ac:dyDescent="0.2">
      <c r="A313" t="str">
        <f>"第601号"</f>
        <v>第601号</v>
      </c>
      <c r="B313" t="str">
        <f>"綜合警備保障株式会社"</f>
        <v>綜合警備保障株式会社</v>
      </c>
      <c r="C313" t="str">
        <f>"綜合警備保障株式会社　熊本支社　水俣営業所"</f>
        <v>綜合警備保障株式会社　熊本支社　水俣営業所</v>
      </c>
      <c r="D313" t="str">
        <f>"水俣市大園町１－１１－５"</f>
        <v>水俣市大園町１－１１－５</v>
      </c>
      <c r="E313" t="str">
        <f>"R05.09.07"</f>
        <v>R05.09.07</v>
      </c>
      <c r="F313" t="str">
        <f>"R11.09.06"</f>
        <v>R11.09.06</v>
      </c>
    </row>
    <row r="314" spans="1:6" x14ac:dyDescent="0.2">
      <c r="A314" t="str">
        <f>"第1501号"</f>
        <v>第1501号</v>
      </c>
      <c r="B314" t="str">
        <f>"有限会社　谷川薬局"</f>
        <v>有限会社　谷川薬局</v>
      </c>
      <c r="C314" t="str">
        <f>"有限会社　谷川薬局"</f>
        <v>有限会社　谷川薬局</v>
      </c>
      <c r="D314" t="str">
        <f>"水俣市浜町２丁目４－２１"</f>
        <v>水俣市浜町２丁目４－２１</v>
      </c>
      <c r="E314" t="str">
        <f>"R07.05.01"</f>
        <v>R07.05.01</v>
      </c>
      <c r="F314" t="str">
        <f>"R13.04.30"</f>
        <v>R13.04.30</v>
      </c>
    </row>
    <row r="315" spans="1:6" x14ac:dyDescent="0.2">
      <c r="A315" t="str">
        <f>"第1716号"</f>
        <v>第1716号</v>
      </c>
      <c r="B315" t="str">
        <f>"有限会社たかやま"</f>
        <v>有限会社たかやま</v>
      </c>
      <c r="C315" t="str">
        <f>"有限会社たかやま"</f>
        <v>有限会社たかやま</v>
      </c>
      <c r="D315" t="str">
        <f>"水俣市桜井町３-４-２５"</f>
        <v>水俣市桜井町３-４-２５</v>
      </c>
      <c r="E315" t="str">
        <f>"R06.12.27"</f>
        <v>R06.12.27</v>
      </c>
      <c r="F315" t="str">
        <f>"R12.12.26"</f>
        <v>R12.12.26</v>
      </c>
    </row>
    <row r="316" spans="1:6" x14ac:dyDescent="0.2">
      <c r="A316" t="str">
        <f>"第1206号"</f>
        <v>第1206号</v>
      </c>
      <c r="B316" t="str">
        <f>"合資会社ひまわりコンタクト"</f>
        <v>合資会社ひまわりコンタクト</v>
      </c>
      <c r="C316" t="str">
        <f>"ひまわりコンタクト"</f>
        <v>ひまわりコンタクト</v>
      </c>
      <c r="D316" t="str">
        <f>"水俣市桜井町二丁目１－８"</f>
        <v>水俣市桜井町二丁目１－８</v>
      </c>
      <c r="E316" t="str">
        <f>"R07.01.01"</f>
        <v>R07.01.01</v>
      </c>
      <c r="F316" t="str">
        <f>"R12.12.31"</f>
        <v>R12.12.31</v>
      </c>
    </row>
    <row r="317" spans="1:6" x14ac:dyDescent="0.2">
      <c r="A317" t="str">
        <f>"第859号"</f>
        <v>第859号</v>
      </c>
      <c r="B317" t="str">
        <f>"有限会社　メディカルクリア"</f>
        <v>有限会社　メディカルクリア</v>
      </c>
      <c r="C317" t="str">
        <f>"なのはな調剤薬局"</f>
        <v>なのはな調剤薬局</v>
      </c>
      <c r="D317" t="str">
        <f>"水俣市塩浜町３１－１"</f>
        <v>水俣市塩浜町３１－１</v>
      </c>
      <c r="E317" t="str">
        <f>"R02.01.01"</f>
        <v>R02.01.01</v>
      </c>
      <c r="F317" t="str">
        <f>"R07.12.31"</f>
        <v>R07.12.31</v>
      </c>
    </row>
    <row r="318" spans="1:6" x14ac:dyDescent="0.2">
      <c r="A318" t="str">
        <f>"第1662号"</f>
        <v>第1662号</v>
      </c>
      <c r="B318" t="str">
        <f>"株式会社七草堂"</f>
        <v>株式会社七草堂</v>
      </c>
      <c r="C318" t="str">
        <f>"うさぎ薬局水俣店"</f>
        <v>うさぎ薬局水俣店</v>
      </c>
      <c r="D318" t="str">
        <f>"水俣市天神町１丁目3-14"</f>
        <v>水俣市天神町１丁目3-14</v>
      </c>
      <c r="E318" t="str">
        <f>"R05.09.01"</f>
        <v>R05.09.01</v>
      </c>
      <c r="F318" t="str">
        <f>"R11.08.31"</f>
        <v>R11.08.31</v>
      </c>
    </row>
    <row r="319" spans="1:6" x14ac:dyDescent="0.2">
      <c r="A319" t="str">
        <f>"第858号"</f>
        <v>第858号</v>
      </c>
      <c r="B319" t="str">
        <f>"日本調剤株式会社"</f>
        <v>日本調剤株式会社</v>
      </c>
      <c r="C319" t="str">
        <f>"日本調剤　天神町薬局"</f>
        <v>日本調剤　天神町薬局</v>
      </c>
      <c r="D319" t="str">
        <f>"水俣市天神町一丁目８番５号"</f>
        <v>水俣市天神町一丁目８番５号</v>
      </c>
      <c r="E319" t="str">
        <f>"R02.01.01"</f>
        <v>R02.01.01</v>
      </c>
      <c r="F319" t="str">
        <f>"R07.12.31"</f>
        <v>R07.12.31</v>
      </c>
    </row>
    <row r="320" spans="1:6" x14ac:dyDescent="0.2">
      <c r="A320" t="str">
        <f>"第467号"</f>
        <v>第467号</v>
      </c>
      <c r="B320" t="str">
        <f>"日本調剤株式会社"</f>
        <v>日本調剤株式会社</v>
      </c>
      <c r="C320" t="str">
        <f>"日本調剤　水俣薬局"</f>
        <v>日本調剤　水俣薬局</v>
      </c>
      <c r="D320" t="str">
        <f>"水俣市天神町１丁目３番２号"</f>
        <v>水俣市天神町１丁目３番２号</v>
      </c>
      <c r="E320" t="str">
        <f>"R05.04.01"</f>
        <v>R05.04.01</v>
      </c>
      <c r="F320" t="str">
        <f>"R11.03.31"</f>
        <v>R11.03.31</v>
      </c>
    </row>
    <row r="321" spans="1:6" x14ac:dyDescent="0.2">
      <c r="A321" t="str">
        <f>"第707号"</f>
        <v>第707号</v>
      </c>
      <c r="B321" t="str">
        <f>"株式会社ヨネザワ"</f>
        <v>株式会社ヨネザワ</v>
      </c>
      <c r="C321" t="str">
        <f>"メガネのヨネザワ水俣店"</f>
        <v>メガネのヨネザワ水俣店</v>
      </c>
      <c r="D321" t="str">
        <f>"水俣市昭和町二丁目４９番地"</f>
        <v>水俣市昭和町二丁目４９番地</v>
      </c>
      <c r="E321" t="str">
        <f>"R06.09.05"</f>
        <v>R06.09.05</v>
      </c>
      <c r="F321" t="str">
        <f>"R12.09.04"</f>
        <v>R12.09.04</v>
      </c>
    </row>
    <row r="322" spans="1:6" x14ac:dyDescent="0.2">
      <c r="A322" t="str">
        <f>"第1429号"</f>
        <v>第1429号</v>
      </c>
      <c r="B322" t="str">
        <f>"株式会社コスモス薬品"</f>
        <v>株式会社コスモス薬品</v>
      </c>
      <c r="C322" t="str">
        <f>"ドラッグコスモス津奈木店"</f>
        <v>ドラッグコスモス津奈木店</v>
      </c>
      <c r="D322" t="str">
        <f>"水俣市小津奈木大字大丸４７２－１"</f>
        <v>水俣市小津奈木大字大丸４７２－１</v>
      </c>
      <c r="E322" t="str">
        <f>"R05.08.08"</f>
        <v>R05.08.08</v>
      </c>
      <c r="F322" t="str">
        <f>"R11.08.07"</f>
        <v>R11.08.07</v>
      </c>
    </row>
    <row r="323" spans="1:6" x14ac:dyDescent="0.2">
      <c r="A323" t="str">
        <f>"第1694号"</f>
        <v>第1694号</v>
      </c>
      <c r="B323" t="str">
        <f>"南九産業株式会社"</f>
        <v>南九産業株式会社</v>
      </c>
      <c r="C323" t="str">
        <f>"吉富薬局"</f>
        <v>吉富薬局</v>
      </c>
      <c r="D323" t="str">
        <f>"水俣市陣内１丁目４番８号"</f>
        <v>水俣市陣内１丁目４番８号</v>
      </c>
      <c r="E323" t="str">
        <f>"R06.06.01"</f>
        <v>R06.06.01</v>
      </c>
      <c r="F323" t="str">
        <f>"R12.05.31"</f>
        <v>R12.05.31</v>
      </c>
    </row>
    <row r="324" spans="1:6" x14ac:dyDescent="0.2">
      <c r="A324" t="str">
        <f>"第1406号"</f>
        <v>第1406号</v>
      </c>
      <c r="B324" t="str">
        <f>"株式会社トシヒロ"</f>
        <v>株式会社トシヒロ</v>
      </c>
      <c r="C324" t="str">
        <f>"株式会社トシヒロ"</f>
        <v>株式会社トシヒロ</v>
      </c>
      <c r="D324" t="str">
        <f>"水俣市汐見町一丁目５番２３号"</f>
        <v>水俣市汐見町一丁目５番２３号</v>
      </c>
      <c r="E324" t="str">
        <f>"R04.10.28"</f>
        <v>R04.10.28</v>
      </c>
      <c r="F324" t="str">
        <f>"R10.10.27"</f>
        <v>R10.10.27</v>
      </c>
    </row>
    <row r="325" spans="1:6" x14ac:dyDescent="0.2">
      <c r="A325" t="str">
        <f>"第1116号"</f>
        <v>第1116号</v>
      </c>
      <c r="B325" t="str">
        <f>"株式会社Ｃａｍｐｈｏｒ"</f>
        <v>株式会社Ｃａｍｐｈｏｒ</v>
      </c>
      <c r="C325" t="str">
        <f>"はなおか調剤薬局"</f>
        <v>はなおか調剤薬局</v>
      </c>
      <c r="D325" t="str">
        <f>"葦北郡芦北町大字佐敷３４８番地３"</f>
        <v>葦北郡芦北町大字佐敷３４８番地３</v>
      </c>
      <c r="E325" t="str">
        <f>"R06.01.01"</f>
        <v>R06.01.01</v>
      </c>
      <c r="F325" t="str">
        <f>"R11.12.31"</f>
        <v>R11.12.31</v>
      </c>
    </row>
    <row r="326" spans="1:6" x14ac:dyDescent="0.2">
      <c r="A326" t="str">
        <f>"第1114号"</f>
        <v>第1114号</v>
      </c>
      <c r="B326" t="str">
        <f>"合資会社文化堂薬局"</f>
        <v>合資会社文化堂薬局</v>
      </c>
      <c r="C326" t="str">
        <f>"合資会社文化堂薬局"</f>
        <v>合資会社文化堂薬局</v>
      </c>
      <c r="D326" t="str">
        <f>"葦北郡芦北町湯浦２２７番地２"</f>
        <v>葦北郡芦北町湯浦２２７番地２</v>
      </c>
      <c r="E326" t="str">
        <f>"R06.01.01"</f>
        <v>R06.01.01</v>
      </c>
      <c r="F326" t="str">
        <f>"R11.12.31"</f>
        <v>R11.12.31</v>
      </c>
    </row>
    <row r="327" spans="1:6" x14ac:dyDescent="0.2">
      <c r="A327" t="str">
        <f>"第1428号"</f>
        <v>第1428号</v>
      </c>
      <c r="B327" t="str">
        <f>"株式会社コスモス薬品"</f>
        <v>株式会社コスモス薬品</v>
      </c>
      <c r="C327" t="str">
        <f>"ドラッグコスモス芦北店"</f>
        <v>ドラッグコスモス芦北店</v>
      </c>
      <c r="D327" t="str">
        <f>"葦北郡芦北町芦北２１３０"</f>
        <v>葦北郡芦北町芦北２１３０</v>
      </c>
      <c r="E327" t="str">
        <f>"R05.08.08"</f>
        <v>R05.08.08</v>
      </c>
      <c r="F327" t="str">
        <f>"R11.08.07"</f>
        <v>R11.08.07</v>
      </c>
    </row>
    <row r="328" spans="1:6" x14ac:dyDescent="0.2">
      <c r="A328" t="str">
        <f>"第1639号"</f>
        <v>第1639号</v>
      </c>
      <c r="B328" t="str">
        <f>"株式会社コスモス薬品"</f>
        <v>株式会社コスモス薬品</v>
      </c>
      <c r="C328" t="str">
        <f>"ドラッグコスモス水俣店"</f>
        <v>ドラッグコスモス水俣店</v>
      </c>
      <c r="D328" t="str">
        <f>"水俣市港町２丁目３６番"</f>
        <v>水俣市港町２丁目３６番</v>
      </c>
      <c r="E328" t="str">
        <f>"R05.05.24"</f>
        <v>R05.05.24</v>
      </c>
      <c r="F328" t="str">
        <f>"R11.05.23"</f>
        <v>R11.05.23</v>
      </c>
    </row>
    <row r="329" spans="1:6" x14ac:dyDescent="0.2">
      <c r="A329" t="str">
        <f>"第1656号"</f>
        <v>第1656号</v>
      </c>
      <c r="B329" t="str">
        <f>"合同会社ＬＩＦＥ"</f>
        <v>合同会社ＬＩＦＥ</v>
      </c>
      <c r="C329" t="str">
        <f>"合同会社ＬＩＦＥ"</f>
        <v>合同会社ＬＩＦＥ</v>
      </c>
      <c r="D329" t="str">
        <f>"水俣市古賀町２丁目６番１６号"</f>
        <v>水俣市古賀町２丁目６番１６号</v>
      </c>
      <c r="E329" t="str">
        <f>"R05.08.01"</f>
        <v>R05.08.01</v>
      </c>
      <c r="F329" t="str">
        <f>"R11.07.31"</f>
        <v>R11.07.31</v>
      </c>
    </row>
    <row r="330" spans="1:6" x14ac:dyDescent="0.2">
      <c r="A330" t="str">
        <f>"第1638号"</f>
        <v>第1638号</v>
      </c>
      <c r="B330" t="str">
        <f>"一般社団法人水俣芦北薬剤師会"</f>
        <v>一般社団法人水俣芦北薬剤師会</v>
      </c>
      <c r="C330" t="str">
        <f>"平和薬局古賀町店"</f>
        <v>平和薬局古賀町店</v>
      </c>
      <c r="D330" t="str">
        <f>"水俣市古賀町二丁目３番２８号"</f>
        <v>水俣市古賀町二丁目３番２８号</v>
      </c>
      <c r="E330" t="str">
        <f>"R05.05.19"</f>
        <v>R05.05.19</v>
      </c>
      <c r="F330" t="str">
        <f>"R10.12.31"</f>
        <v>R10.12.31</v>
      </c>
    </row>
    <row r="331" spans="1:6" x14ac:dyDescent="0.2">
      <c r="A331" t="str">
        <f>"第1616号"</f>
        <v>第1616号</v>
      </c>
      <c r="B331" t="str">
        <f>"株式会社クマモトメディカル"</f>
        <v>株式会社クマモトメディカル</v>
      </c>
      <c r="C331" t="str">
        <f>"イクタ調剤薬局"</f>
        <v>イクタ調剤薬局</v>
      </c>
      <c r="D331" t="str">
        <f>"葦北郡芦北町湯浦２９５－１"</f>
        <v>葦北郡芦北町湯浦２９５－１</v>
      </c>
      <c r="E331" t="str">
        <f>"R04.06.15"</f>
        <v>R04.06.15</v>
      </c>
      <c r="F331" t="str">
        <f>"R10.06.14"</f>
        <v>R10.06.14</v>
      </c>
    </row>
    <row r="332" spans="1:6" x14ac:dyDescent="0.2">
      <c r="A332" t="str">
        <f>"第1617号"</f>
        <v>第1617号</v>
      </c>
      <c r="B332" t="str">
        <f>"株式会社クマモトメディカル"</f>
        <v>株式会社クマモトメディカル</v>
      </c>
      <c r="C332" t="str">
        <f>"三宝調剤薬局"</f>
        <v>三宝調剤薬局</v>
      </c>
      <c r="D332" t="str">
        <f>"葦北郡芦北町田浦町１１９５－１０"</f>
        <v>葦北郡芦北町田浦町１１９５－１０</v>
      </c>
      <c r="E332" t="str">
        <f>"R04.06.15"</f>
        <v>R04.06.15</v>
      </c>
      <c r="F332" t="str">
        <f>"R10.06.14"</f>
        <v>R10.06.14</v>
      </c>
    </row>
    <row r="333" spans="1:6" x14ac:dyDescent="0.2">
      <c r="A333" t="str">
        <f>"第1631号"</f>
        <v>第1631号</v>
      </c>
      <c r="B333" t="str">
        <f>"有限会社愛誠堂"</f>
        <v>有限会社愛誠堂</v>
      </c>
      <c r="C333" t="str">
        <f>"みつば調剤薬局"</f>
        <v>みつば調剤薬局</v>
      </c>
      <c r="D333" t="str">
        <f>"水俣市旭町二丁目２番１号"</f>
        <v>水俣市旭町二丁目２番１号</v>
      </c>
      <c r="E333" t="str">
        <f>"R05.02.28"</f>
        <v>R05.02.28</v>
      </c>
      <c r="F333" t="str">
        <f t="shared" ref="F333:F340" si="7">"R10.12.31"</f>
        <v>R10.12.31</v>
      </c>
    </row>
    <row r="334" spans="1:6" x14ac:dyDescent="0.2">
      <c r="A334" t="str">
        <f>"第335号"</f>
        <v>第335号</v>
      </c>
      <c r="B334" t="str">
        <f>"有限会社　みのりコンタクト"</f>
        <v>有限会社　みのりコンタクト</v>
      </c>
      <c r="C334" t="str">
        <f>"みのりコンタクト"</f>
        <v>みのりコンタクト</v>
      </c>
      <c r="D334" t="str">
        <f>"葦北郡芦北町芦北２４１３－１"</f>
        <v>葦北郡芦北町芦北２４１３－１</v>
      </c>
      <c r="E334" t="str">
        <f t="shared" ref="E334:E340" si="8">"R05.01.01"</f>
        <v>R05.01.01</v>
      </c>
      <c r="F334" t="str">
        <f t="shared" si="7"/>
        <v>R10.12.31</v>
      </c>
    </row>
    <row r="335" spans="1:6" x14ac:dyDescent="0.2">
      <c r="A335" t="str">
        <f>"第463号"</f>
        <v>第463号</v>
      </c>
      <c r="B335" t="str">
        <f>"豊田実業株式会社"</f>
        <v>豊田実業株式会社</v>
      </c>
      <c r="C335" t="str">
        <f>"豊田実業株式会社"</f>
        <v>豊田実業株式会社</v>
      </c>
      <c r="D335" t="str">
        <f>"水俣市浜松町５－１５"</f>
        <v>水俣市浜松町５－１５</v>
      </c>
      <c r="E335" t="str">
        <f t="shared" si="8"/>
        <v>R05.01.01</v>
      </c>
      <c r="F335" t="str">
        <f t="shared" si="7"/>
        <v>R10.12.31</v>
      </c>
    </row>
    <row r="336" spans="1:6" x14ac:dyDescent="0.2">
      <c r="A336" t="str">
        <f>"第466号"</f>
        <v>第466号</v>
      </c>
      <c r="B336" t="str">
        <f>"有限会社　南福寺調剤薬局"</f>
        <v>有限会社　南福寺調剤薬局</v>
      </c>
      <c r="C336" t="str">
        <f>"有限会社　南福寺調剤薬局"</f>
        <v>有限会社　南福寺調剤薬局</v>
      </c>
      <c r="D336" t="str">
        <f>"水俣市南福寺１７１番地"</f>
        <v>水俣市南福寺１７１番地</v>
      </c>
      <c r="E336" t="str">
        <f t="shared" si="8"/>
        <v>R05.01.01</v>
      </c>
      <c r="F336" t="str">
        <f t="shared" si="7"/>
        <v>R10.12.31</v>
      </c>
    </row>
    <row r="337" spans="1:6" x14ac:dyDescent="0.2">
      <c r="A337" t="str">
        <f>"第1421号"</f>
        <v>第1421号</v>
      </c>
      <c r="B337" t="str">
        <f>"一般社団法人水俣芦北薬剤師会"</f>
        <v>一般社団法人水俣芦北薬剤師会</v>
      </c>
      <c r="C337" t="str">
        <f>"平和薬局センター店"</f>
        <v>平和薬局センター店</v>
      </c>
      <c r="D337" t="str">
        <f>"水俣市天神町一丁目３番１１号"</f>
        <v>水俣市天神町一丁目３番１１号</v>
      </c>
      <c r="E337" t="str">
        <f t="shared" si="8"/>
        <v>R05.01.01</v>
      </c>
      <c r="F337" t="str">
        <f t="shared" si="7"/>
        <v>R10.12.31</v>
      </c>
    </row>
    <row r="338" spans="1:6" x14ac:dyDescent="0.2">
      <c r="A338" t="str">
        <f>"第333号"</f>
        <v>第333号</v>
      </c>
      <c r="B338" t="str">
        <f>"クロックス株式会社"</f>
        <v>クロックス株式会社</v>
      </c>
      <c r="C338" t="str">
        <f>"クロックス株式会社"</f>
        <v>クロックス株式会社</v>
      </c>
      <c r="D338" t="str">
        <f>"水俣市百間町一丁目１番２７号"</f>
        <v>水俣市百間町一丁目１番２７号</v>
      </c>
      <c r="E338" t="str">
        <f t="shared" si="8"/>
        <v>R05.01.01</v>
      </c>
      <c r="F338" t="str">
        <f t="shared" si="7"/>
        <v>R10.12.31</v>
      </c>
    </row>
    <row r="339" spans="1:6" x14ac:dyDescent="0.2">
      <c r="A339" t="str">
        <f>"第334号"</f>
        <v>第334号</v>
      </c>
      <c r="B339" t="str">
        <f>"有限会社　水俣コンタクトレンズ"</f>
        <v>有限会社　水俣コンタクトレンズ</v>
      </c>
      <c r="C339" t="str">
        <f>"有限会社　水俣コンタクトレンズ"</f>
        <v>有限会社　水俣コンタクトレンズ</v>
      </c>
      <c r="D339" t="str">
        <f>"水俣市栄町２丁目１番１６号"</f>
        <v>水俣市栄町２丁目１番１６号</v>
      </c>
      <c r="E339" t="str">
        <f t="shared" si="8"/>
        <v>R05.01.01</v>
      </c>
      <c r="F339" t="str">
        <f t="shared" si="7"/>
        <v>R10.12.31</v>
      </c>
    </row>
    <row r="340" spans="1:6" x14ac:dyDescent="0.2">
      <c r="A340" t="str">
        <f>"第566号"</f>
        <v>第566号</v>
      </c>
      <c r="B340" t="str">
        <f>"合資会社　下田薬局"</f>
        <v>合資会社　下田薬局</v>
      </c>
      <c r="C340" t="str">
        <f>"合資会社　下田薬局"</f>
        <v>合資会社　下田薬局</v>
      </c>
      <c r="D340" t="str">
        <f>"水俣市桜井町１丁目５番６号"</f>
        <v>水俣市桜井町１丁目５番６号</v>
      </c>
      <c r="E340" t="str">
        <f t="shared" si="8"/>
        <v>R05.01.01</v>
      </c>
      <c r="F340" t="str">
        <f t="shared" si="7"/>
        <v>R10.12.31</v>
      </c>
    </row>
    <row r="341" spans="1:6" x14ac:dyDescent="0.2">
      <c r="A341" t="str">
        <f>"第1591号"</f>
        <v>第1591号</v>
      </c>
      <c r="B341" t="str">
        <f>"有限会社メル物産"</f>
        <v>有限会社メル物産</v>
      </c>
      <c r="C341" t="str">
        <f>"ポピー薬局"</f>
        <v>ポピー薬局</v>
      </c>
      <c r="D341" t="str">
        <f>"水俣市浜町１－２－３０"</f>
        <v>水俣市浜町１－２－３０</v>
      </c>
      <c r="E341" t="str">
        <f>"R03.09.21"</f>
        <v>R03.09.21</v>
      </c>
      <c r="F341" t="str">
        <f>"R08.12.31"</f>
        <v>R08.12.31</v>
      </c>
    </row>
    <row r="342" spans="1:6" x14ac:dyDescent="0.2">
      <c r="A342" t="str">
        <f>"第1569号"</f>
        <v>第1569号</v>
      </c>
      <c r="B342" t="str">
        <f>"ケアパーク株式会社"</f>
        <v>ケアパーク株式会社</v>
      </c>
      <c r="C342" t="str">
        <f>"ケアパーク水俣"</f>
        <v>ケアパーク水俣</v>
      </c>
      <c r="D342" t="str">
        <f>"水俣市汐見町一丁目９９番地２号"</f>
        <v>水俣市汐見町一丁目９９番地２号</v>
      </c>
      <c r="E342" t="str">
        <f>"R03.04.19"</f>
        <v>R03.04.19</v>
      </c>
      <c r="F342" t="str">
        <f>"R09.04.18"</f>
        <v>R09.04.18</v>
      </c>
    </row>
    <row r="343" spans="1:6" x14ac:dyDescent="0.2">
      <c r="A343" t="str">
        <f>"第1577号"</f>
        <v>第1577号</v>
      </c>
      <c r="B343" t="str">
        <f t="shared" ref="B343:B348" si="9">"株式会社ユネット"</f>
        <v>株式会社ユネット</v>
      </c>
      <c r="C343" t="str">
        <f>"清風はなみずき薬局"</f>
        <v>清風はなみずき薬局</v>
      </c>
      <c r="D343" t="str">
        <f>"人吉市九日町９２"</f>
        <v>人吉市九日町９２</v>
      </c>
      <c r="E343" t="str">
        <f t="shared" ref="E343:E346" si="10">"R03.05.20"</f>
        <v>R03.05.20</v>
      </c>
      <c r="F343" t="str">
        <f>"R09.05.19"</f>
        <v>R09.05.19</v>
      </c>
    </row>
    <row r="344" spans="1:6" x14ac:dyDescent="0.2">
      <c r="A344" t="str">
        <f>"第1574号"</f>
        <v>第1574号</v>
      </c>
      <c r="B344" t="str">
        <f t="shared" si="9"/>
        <v>株式会社ユネット</v>
      </c>
      <c r="C344" t="str">
        <f>"清風薬局サンロード湯前店"</f>
        <v>清風薬局サンロード湯前店</v>
      </c>
      <c r="D344" t="str">
        <f>"球磨郡湯前町２２１４"</f>
        <v>球磨郡湯前町２２１４</v>
      </c>
      <c r="E344" t="str">
        <f t="shared" si="10"/>
        <v>R03.05.20</v>
      </c>
      <c r="F344" t="str">
        <f>"R09.05.19"</f>
        <v>R09.05.19</v>
      </c>
    </row>
    <row r="345" spans="1:6" x14ac:dyDescent="0.2">
      <c r="A345" t="str">
        <f>"第1575号"</f>
        <v>第1575号</v>
      </c>
      <c r="B345" t="str">
        <f t="shared" si="9"/>
        <v>株式会社ユネット</v>
      </c>
      <c r="C345" t="str">
        <f>"清風薬局サンロード免田店"</f>
        <v>清風薬局サンロード免田店</v>
      </c>
      <c r="D345" t="str">
        <f>"球磨郡あさぎり町免田東１２５３－１"</f>
        <v>球磨郡あさぎり町免田東１２５３－１</v>
      </c>
      <c r="E345" t="str">
        <f t="shared" si="10"/>
        <v>R03.05.20</v>
      </c>
      <c r="F345" t="str">
        <f>"R09.05.19"</f>
        <v>R09.05.19</v>
      </c>
    </row>
    <row r="346" spans="1:6" x14ac:dyDescent="0.2">
      <c r="A346" t="str">
        <f>"第1576号"</f>
        <v>第1576号</v>
      </c>
      <c r="B346" t="str">
        <f t="shared" si="9"/>
        <v>株式会社ユネット</v>
      </c>
      <c r="C346" t="str">
        <f>"清風薬局免田店"</f>
        <v>清風薬局免田店</v>
      </c>
      <c r="D346" t="str">
        <f>"球磨郡あさぎり町上北１６７"</f>
        <v>球磨郡あさぎり町上北１６７</v>
      </c>
      <c r="E346" t="str">
        <f t="shared" si="10"/>
        <v>R03.05.20</v>
      </c>
      <c r="F346" t="str">
        <f>"R09.05.19"</f>
        <v>R09.05.19</v>
      </c>
    </row>
    <row r="347" spans="1:6" x14ac:dyDescent="0.2">
      <c r="A347" t="str">
        <f>"第1496号"</f>
        <v>第1496号</v>
      </c>
      <c r="B347" t="str">
        <f t="shared" si="9"/>
        <v>株式会社ユネット</v>
      </c>
      <c r="C347" t="str">
        <f>"清風薬局人吉店"</f>
        <v>清風薬局人吉店</v>
      </c>
      <c r="D347" t="str">
        <f>"人吉市土手町４１－３"</f>
        <v>人吉市土手町４１－３</v>
      </c>
      <c r="E347" t="str">
        <f>"R07.04.01"</f>
        <v>R07.04.01</v>
      </c>
      <c r="F347" t="str">
        <f>"R13.03.31"</f>
        <v>R13.03.31</v>
      </c>
    </row>
    <row r="348" spans="1:6" x14ac:dyDescent="0.2">
      <c r="A348" t="str">
        <f>"第476号"</f>
        <v>第476号</v>
      </c>
      <c r="B348" t="str">
        <f t="shared" si="9"/>
        <v>株式会社ユネット</v>
      </c>
      <c r="C348" t="str">
        <f>"清風薬局"</f>
        <v>清風薬局</v>
      </c>
      <c r="D348" t="str">
        <f>"球磨郡多良木町多良木４２４９"</f>
        <v>球磨郡多良木町多良木４２４９</v>
      </c>
      <c r="E348" t="str">
        <f>"R05.01.01"</f>
        <v>R05.01.01</v>
      </c>
      <c r="F348" t="str">
        <f>"R10.12.31"</f>
        <v>R10.12.31</v>
      </c>
    </row>
    <row r="349" spans="1:6" x14ac:dyDescent="0.2">
      <c r="A349" t="str">
        <f>"第1525号"</f>
        <v>第1525号</v>
      </c>
      <c r="B349" t="str">
        <f>"総合メディカル株式会社"</f>
        <v>総合メディカル株式会社</v>
      </c>
      <c r="C349" t="str">
        <f>"ひご薬局　下林店"</f>
        <v>ひご薬局　下林店</v>
      </c>
      <c r="D349" t="str">
        <f>"人吉市下林町２３１番地２"</f>
        <v>人吉市下林町２３１番地２</v>
      </c>
      <c r="E349" t="str">
        <f>"R02.04.01"</f>
        <v>R02.04.01</v>
      </c>
      <c r="F349" t="str">
        <f>"R08.03.31"</f>
        <v>R08.03.31</v>
      </c>
    </row>
    <row r="350" spans="1:6" x14ac:dyDescent="0.2">
      <c r="A350" t="str">
        <f>"第1191号"</f>
        <v>第1191号</v>
      </c>
      <c r="B350" t="str">
        <f>"株式会社アレス"</f>
        <v>株式会社アレス</v>
      </c>
      <c r="C350" t="str">
        <f>"スーパーキッド人吉店"</f>
        <v>スーパーキッド人吉店</v>
      </c>
      <c r="D350" t="str">
        <f>"人吉市瓦屋町１８４３番地"</f>
        <v>人吉市瓦屋町１８４３番地</v>
      </c>
      <c r="E350" t="str">
        <f>"R06.01.01"</f>
        <v>R06.01.01</v>
      </c>
      <c r="F350" t="str">
        <f>"R11.12.31"</f>
        <v>R11.12.31</v>
      </c>
    </row>
    <row r="351" spans="1:6" x14ac:dyDescent="0.2">
      <c r="A351" t="str">
        <f>"第1057号"</f>
        <v>第1057号</v>
      </c>
      <c r="B351" t="str">
        <f>"合資会社山口薬局"</f>
        <v>合資会社山口薬局</v>
      </c>
      <c r="C351" t="str">
        <f>"合資会社山口薬局・ピーチ店"</f>
        <v>合資会社山口薬局・ピーチ店</v>
      </c>
      <c r="D351" t="str">
        <f>"球磨郡多良木町多良木２５９番地１０"</f>
        <v>球磨郡多良木町多良木２５９番地１０</v>
      </c>
      <c r="E351" t="str">
        <f>"R04.12.15"</f>
        <v>R04.12.15</v>
      </c>
      <c r="F351" t="str">
        <f>"R10.12.14"</f>
        <v>R10.12.14</v>
      </c>
    </row>
    <row r="352" spans="1:6" x14ac:dyDescent="0.2">
      <c r="A352" t="str">
        <f>"第1724号"</f>
        <v>第1724号</v>
      </c>
      <c r="B352" t="str">
        <f>"株式会社ＣＩＳファーマシィ"</f>
        <v>株式会社ＣＩＳファーマシィ</v>
      </c>
      <c r="C352" t="str">
        <f>"クスノキ薬局あいだ店"</f>
        <v>クスノキ薬局あいだ店</v>
      </c>
      <c r="D352" t="str">
        <f>"人吉市東間上町２８７８番３"</f>
        <v>人吉市東間上町２８７８番３</v>
      </c>
      <c r="E352" t="str">
        <f>"R07.05.01"</f>
        <v>R07.05.01</v>
      </c>
      <c r="F352" t="str">
        <f>"R13.04.30"</f>
        <v>R13.04.30</v>
      </c>
    </row>
    <row r="353" spans="1:6" x14ac:dyDescent="0.2">
      <c r="A353" t="str">
        <f>"第698号"</f>
        <v>第698号</v>
      </c>
      <c r="B353" t="str">
        <f>"有限会社くすりのエスエス堂"</f>
        <v>有限会社くすりのエスエス堂</v>
      </c>
      <c r="C353" t="str">
        <f>"（有）くすりのエスエス堂　きりん本町薬局"</f>
        <v>（有）くすりのエスエス堂　きりん本町薬局</v>
      </c>
      <c r="D353" t="str">
        <f>"球磨郡あさぎり町免田東１４９７"</f>
        <v>球磨郡あさぎり町免田東１４９７</v>
      </c>
      <c r="E353" t="str">
        <f>"R06.01.01"</f>
        <v>R06.01.01</v>
      </c>
      <c r="F353" t="str">
        <f>"R11.12.31"</f>
        <v>R11.12.31</v>
      </c>
    </row>
    <row r="354" spans="1:6" x14ac:dyDescent="0.2">
      <c r="A354" t="str">
        <f>"第344号"</f>
        <v>第344号</v>
      </c>
      <c r="B354" t="str">
        <f>"株式会社新生堂"</f>
        <v>株式会社新生堂</v>
      </c>
      <c r="C354" t="str">
        <f>"株式会社新生堂　人吉営業所"</f>
        <v>株式会社新生堂　人吉営業所</v>
      </c>
      <c r="D354" t="str">
        <f>"人吉市西間下町鳶岩１１１８－１"</f>
        <v>人吉市西間下町鳶岩１１１８－１</v>
      </c>
      <c r="E354" t="str">
        <f>"R05.01.01"</f>
        <v>R05.01.01</v>
      </c>
      <c r="F354" t="str">
        <f>"R10.12.31"</f>
        <v>R10.12.31</v>
      </c>
    </row>
    <row r="355" spans="1:6" x14ac:dyDescent="0.2">
      <c r="A355" t="str">
        <f>"第1490号"</f>
        <v>第1490号</v>
      </c>
      <c r="B355" t="str">
        <f>"株式会社ドラッグストアモリ"</f>
        <v>株式会社ドラッグストアモリ</v>
      </c>
      <c r="C355" t="str">
        <f>"ドラッグストアモリ宝来店"</f>
        <v>ドラッグストアモリ宝来店</v>
      </c>
      <c r="D355" t="str">
        <f>"人吉市宝来町１２８５番地の３"</f>
        <v>人吉市宝来町１２８５番地の３</v>
      </c>
      <c r="E355" t="str">
        <f>"R07.01.19"</f>
        <v>R07.01.19</v>
      </c>
      <c r="F355" t="str">
        <f>"R13.01.18"</f>
        <v>R13.01.18</v>
      </c>
    </row>
    <row r="356" spans="1:6" x14ac:dyDescent="0.2">
      <c r="A356" t="str">
        <f>"第1425号"</f>
        <v>第1425号</v>
      </c>
      <c r="B356" t="str">
        <f>"株式会社コスモス薬品"</f>
        <v>株式会社コスモス薬品</v>
      </c>
      <c r="C356" t="str">
        <f>"ドラッグコスモスあさぎり店"</f>
        <v>ドラッグコスモスあさぎり店</v>
      </c>
      <c r="D356" t="str">
        <f>"球磨郡あさぎり町上西３７番１"</f>
        <v>球磨郡あさぎり町上西３７番１</v>
      </c>
      <c r="E356" t="str">
        <f>"R05.08.07"</f>
        <v>R05.08.07</v>
      </c>
      <c r="F356" t="str">
        <f>"R11.08.06"</f>
        <v>R11.08.06</v>
      </c>
    </row>
    <row r="357" spans="1:6" x14ac:dyDescent="0.2">
      <c r="A357" t="str">
        <f>"第1715号"</f>
        <v>第1715号</v>
      </c>
      <c r="B357" t="str">
        <f t="shared" ref="B357:B362" si="11">"株式会社ファルマウニオン"</f>
        <v>株式会社ファルマウニオン</v>
      </c>
      <c r="C357" t="str">
        <f>"高階誠心堂薬局たらぎ店"</f>
        <v>高階誠心堂薬局たらぎ店</v>
      </c>
      <c r="D357" t="str">
        <f>"球磨郡多良木町多良木２６６"</f>
        <v>球磨郡多良木町多良木２６６</v>
      </c>
      <c r="E357" t="str">
        <f t="shared" ref="E357:E362" si="12">"R07.01.01"</f>
        <v>R07.01.01</v>
      </c>
      <c r="F357" t="str">
        <f t="shared" ref="F357:F362" si="13">"R12.12.31"</f>
        <v>R12.12.31</v>
      </c>
    </row>
    <row r="358" spans="1:6" x14ac:dyDescent="0.2">
      <c r="A358" t="str">
        <f>"第1714号"</f>
        <v>第1714号</v>
      </c>
      <c r="B358" t="str">
        <f t="shared" si="11"/>
        <v>株式会社ファルマウニオン</v>
      </c>
      <c r="C358" t="str">
        <f>"高階誠心堂錦調剤薬局"</f>
        <v>高階誠心堂錦調剤薬局</v>
      </c>
      <c r="D358" t="str">
        <f>"球磨郡錦町一武２１１１"</f>
        <v>球磨郡錦町一武２１１１</v>
      </c>
      <c r="E358" t="str">
        <f t="shared" si="12"/>
        <v>R07.01.01</v>
      </c>
      <c r="F358" t="str">
        <f t="shared" si="13"/>
        <v>R12.12.31</v>
      </c>
    </row>
    <row r="359" spans="1:6" x14ac:dyDescent="0.2">
      <c r="A359" t="str">
        <f>"第1713号"</f>
        <v>第1713号</v>
      </c>
      <c r="B359" t="str">
        <f t="shared" si="11"/>
        <v>株式会社ファルマウニオン</v>
      </c>
      <c r="C359" t="str">
        <f>"高階誠心堂薬局かわらや店"</f>
        <v>高階誠心堂薬局かわらや店</v>
      </c>
      <c r="D359" t="str">
        <f>"人吉市瓦屋町１４６３"</f>
        <v>人吉市瓦屋町１４６３</v>
      </c>
      <c r="E359" t="str">
        <f t="shared" si="12"/>
        <v>R07.01.01</v>
      </c>
      <c r="F359" t="str">
        <f t="shared" si="13"/>
        <v>R12.12.31</v>
      </c>
    </row>
    <row r="360" spans="1:6" x14ac:dyDescent="0.2">
      <c r="A360" t="str">
        <f>"第1710号"</f>
        <v>第1710号</v>
      </c>
      <c r="B360" t="str">
        <f t="shared" si="11"/>
        <v>株式会社ファルマウニオン</v>
      </c>
      <c r="C360" t="str">
        <f>"高階誠心堂薬局"</f>
        <v>高階誠心堂薬局</v>
      </c>
      <c r="D360" t="str">
        <f>"人吉市上青井町１８０－３"</f>
        <v>人吉市上青井町１８０－３</v>
      </c>
      <c r="E360" t="str">
        <f t="shared" si="12"/>
        <v>R07.01.01</v>
      </c>
      <c r="F360" t="str">
        <f t="shared" si="13"/>
        <v>R12.12.31</v>
      </c>
    </row>
    <row r="361" spans="1:6" x14ac:dyDescent="0.2">
      <c r="A361" t="str">
        <f>"第1711号"</f>
        <v>第1711号</v>
      </c>
      <c r="B361" t="str">
        <f t="shared" si="11"/>
        <v>株式会社ファルマウニオン</v>
      </c>
      <c r="C361" t="str">
        <f>"高階誠心堂薬局西間店"</f>
        <v>高階誠心堂薬局西間店</v>
      </c>
      <c r="D361" t="str">
        <f>"人吉市西間上町２３８７－８"</f>
        <v>人吉市西間上町２３８７－８</v>
      </c>
      <c r="E361" t="str">
        <f t="shared" si="12"/>
        <v>R07.01.01</v>
      </c>
      <c r="F361" t="str">
        <f t="shared" si="13"/>
        <v>R12.12.31</v>
      </c>
    </row>
    <row r="362" spans="1:6" x14ac:dyDescent="0.2">
      <c r="A362" t="str">
        <f>"第1712号"</f>
        <v>第1712号</v>
      </c>
      <c r="B362" t="str">
        <f t="shared" si="11"/>
        <v>株式会社ファルマウニオン</v>
      </c>
      <c r="C362" t="str">
        <f>"高階誠心堂薬局いずみだ店"</f>
        <v>高階誠心堂薬局いずみだ店</v>
      </c>
      <c r="D362" t="str">
        <f>"人吉市南泉田町７０－９"</f>
        <v>人吉市南泉田町７０－９</v>
      </c>
      <c r="E362" t="str">
        <f t="shared" si="12"/>
        <v>R07.01.01</v>
      </c>
      <c r="F362" t="str">
        <f t="shared" si="13"/>
        <v>R12.12.31</v>
      </c>
    </row>
    <row r="363" spans="1:6" x14ac:dyDescent="0.2">
      <c r="A363" t="str">
        <f>"第750号"</f>
        <v>第750号</v>
      </c>
      <c r="B363" t="str">
        <f>"株式会社オカモト"</f>
        <v>株式会社オカモト</v>
      </c>
      <c r="C363" t="str">
        <f>"株式会社オカモト"</f>
        <v>株式会社オカモト</v>
      </c>
      <c r="D363" t="str">
        <f>"人吉市鶴田町１５番地"</f>
        <v>人吉市鶴田町１５番地</v>
      </c>
      <c r="E363" t="str">
        <f>"R06.11.28"</f>
        <v>R06.11.28</v>
      </c>
      <c r="F363" t="str">
        <f>"R12.11.27"</f>
        <v>R12.11.27</v>
      </c>
    </row>
    <row r="364" spans="1:6" x14ac:dyDescent="0.2">
      <c r="A364" t="str">
        <f>"第980号"</f>
        <v>第980号</v>
      </c>
      <c r="B364" t="str">
        <f>"株式会社ＣＩＳ"</f>
        <v>株式会社ＣＩＳ</v>
      </c>
      <c r="C364" t="str">
        <f>"株式会社ＣＩＳ"</f>
        <v>株式会社ＣＩＳ</v>
      </c>
      <c r="D364" t="str">
        <f>"人吉市七地町９０１－３"</f>
        <v>人吉市七地町９０１－３</v>
      </c>
      <c r="E364" t="str">
        <f>"R03.10.19"</f>
        <v>R03.10.19</v>
      </c>
      <c r="F364" t="str">
        <f>"R09.10.18"</f>
        <v>R09.10.18</v>
      </c>
    </row>
    <row r="365" spans="1:6" x14ac:dyDescent="0.2">
      <c r="A365" t="str">
        <f>"第1244号"</f>
        <v>第1244号</v>
      </c>
      <c r="B365" t="str">
        <f>"富田薬品株式会社"</f>
        <v>富田薬品株式会社</v>
      </c>
      <c r="C365" t="str">
        <f>"富田薬品株式会社　人吉営業所"</f>
        <v>富田薬品株式会社　人吉営業所</v>
      </c>
      <c r="D365" t="str">
        <f>"人吉市相良町２番５"</f>
        <v>人吉市相良町２番５</v>
      </c>
      <c r="E365" t="str">
        <f>"R07.01.01"</f>
        <v>R07.01.01</v>
      </c>
      <c r="F365" t="str">
        <f>"R12.12.31"</f>
        <v>R12.12.31</v>
      </c>
    </row>
    <row r="366" spans="1:6" x14ac:dyDescent="0.2">
      <c r="A366" t="str">
        <f>"第1705号"</f>
        <v>第1705号</v>
      </c>
      <c r="B366" t="str">
        <f>"有限会社池田メディカル"</f>
        <v>有限会社池田メディカル</v>
      </c>
      <c r="C366" t="str">
        <f>"有限会社池田メディカル"</f>
        <v>有限会社池田メディカル</v>
      </c>
      <c r="D366" t="str">
        <f>"球磨郡多良木町黒肥地２０３８番地３"</f>
        <v>球磨郡多良木町黒肥地２０３８番地３</v>
      </c>
      <c r="E366" t="str">
        <f>"R06.10.28"</f>
        <v>R06.10.28</v>
      </c>
      <c r="F366" t="str">
        <f>"R12.10.27"</f>
        <v>R12.10.27</v>
      </c>
    </row>
    <row r="367" spans="1:6" x14ac:dyDescent="0.2">
      <c r="A367" t="str">
        <f>"第1113号"</f>
        <v>第1113号</v>
      </c>
      <c r="B367" t="str">
        <f>"株式会社ドラッグストアモリ"</f>
        <v>株式会社ドラッグストアモリ</v>
      </c>
      <c r="C367" t="str">
        <f>"ドラッグストアモリ多良木店"</f>
        <v>ドラッグストアモリ多良木店</v>
      </c>
      <c r="D367" t="str">
        <f>"球磨郡多良木町多良木４３７７－１"</f>
        <v>球磨郡多良木町多良木４３７７－１</v>
      </c>
      <c r="E367" t="str">
        <f>"R05.12.22"</f>
        <v>R05.12.22</v>
      </c>
      <c r="F367" t="str">
        <f>"R11.12.21"</f>
        <v>R11.12.21</v>
      </c>
    </row>
    <row r="368" spans="1:6" x14ac:dyDescent="0.2">
      <c r="A368" t="str">
        <f>"第1119号"</f>
        <v>第1119号</v>
      </c>
      <c r="B368" t="str">
        <f>"株式会社ドラッグストアモリ"</f>
        <v>株式会社ドラッグストアモリ</v>
      </c>
      <c r="C368" t="str">
        <f>"ドラッグストアモリ人吉瓦屋店"</f>
        <v>ドラッグストアモリ人吉瓦屋店</v>
      </c>
      <c r="D368" t="str">
        <f>"人吉市瓦屋町後田２３６３番１"</f>
        <v>人吉市瓦屋町後田２３６３番１</v>
      </c>
      <c r="E368" t="str">
        <f>"R06.03.05"</f>
        <v>R06.03.05</v>
      </c>
      <c r="F368" t="str">
        <f>"R12.03.04"</f>
        <v>R12.03.04</v>
      </c>
    </row>
    <row r="369" spans="1:6" x14ac:dyDescent="0.2">
      <c r="A369" t="str">
        <f>"第724号"</f>
        <v>第724号</v>
      </c>
      <c r="B369" t="str">
        <f>"株式会社メガネトップ"</f>
        <v>株式会社メガネトップ</v>
      </c>
      <c r="C369" t="str">
        <f>"眼鏡市場人吉店"</f>
        <v>眼鏡市場人吉店</v>
      </c>
      <c r="D369" t="str">
        <f>"人吉市下薩摩瀬町１５８７－４"</f>
        <v>人吉市下薩摩瀬町１５８７－４</v>
      </c>
      <c r="E369" t="str">
        <f>"R06.10.05"</f>
        <v>R06.10.05</v>
      </c>
      <c r="F369" t="str">
        <f>"R12.10.04"</f>
        <v>R12.10.04</v>
      </c>
    </row>
    <row r="370" spans="1:6" x14ac:dyDescent="0.2">
      <c r="A370" t="str">
        <f>"第1678号"</f>
        <v>第1678号</v>
      </c>
      <c r="B370" t="str">
        <f>"株式会社エディオン"</f>
        <v>株式会社エディオン</v>
      </c>
      <c r="C370" t="str">
        <f>"エディオン　人吉レックス店"</f>
        <v>エディオン　人吉レックス店</v>
      </c>
      <c r="D370" t="str">
        <f>"人吉市宝来町１３２６－１"</f>
        <v>人吉市宝来町１３２６－１</v>
      </c>
      <c r="E370" t="str">
        <f>"R05.11.28"</f>
        <v>R05.11.28</v>
      </c>
      <c r="F370" t="str">
        <f>"R11.11.27"</f>
        <v>R11.11.27</v>
      </c>
    </row>
    <row r="371" spans="1:6" x14ac:dyDescent="0.2">
      <c r="A371" t="str">
        <f>"第340号"</f>
        <v>第340号</v>
      </c>
      <c r="B371" t="str">
        <f>"株式会社アステム"</f>
        <v>株式会社アステム</v>
      </c>
      <c r="C371" t="str">
        <f>"株式会社アステム　八代支店　人吉営業課"</f>
        <v>株式会社アステム　八代支店　人吉営業課</v>
      </c>
      <c r="D371" t="str">
        <f>"人吉市下薩摩瀬町西町８４８"</f>
        <v>人吉市下薩摩瀬町西町８４８</v>
      </c>
      <c r="E371" t="str">
        <f>"R05.01.01"</f>
        <v>R05.01.01</v>
      </c>
      <c r="F371" t="str">
        <f>"R10.12.31"</f>
        <v>R10.12.31</v>
      </c>
    </row>
    <row r="372" spans="1:6" x14ac:dyDescent="0.2">
      <c r="A372" t="str">
        <f>"第1670号"</f>
        <v>第1670号</v>
      </c>
      <c r="B372" t="str">
        <f>"さくら薬局株式会社"</f>
        <v>さくら薬局株式会社</v>
      </c>
      <c r="C372" t="str">
        <f>"さくら調剤薬局　西間店"</f>
        <v>さくら調剤薬局　西間店</v>
      </c>
      <c r="D372" t="str">
        <f>"人吉市西間上町字今宮２５７４－２"</f>
        <v>人吉市西間上町字今宮２５７４－２</v>
      </c>
      <c r="E372" t="str">
        <f t="shared" ref="E372:E376" si="14">"R05.11.01"</f>
        <v>R05.11.01</v>
      </c>
      <c r="F372" t="str">
        <f>"R11.10.31"</f>
        <v>R11.10.31</v>
      </c>
    </row>
    <row r="373" spans="1:6" x14ac:dyDescent="0.2">
      <c r="A373" t="str">
        <f>"第1669号"</f>
        <v>第1669号</v>
      </c>
      <c r="B373" t="str">
        <f>"さくら薬局株式会社"</f>
        <v>さくら薬局株式会社</v>
      </c>
      <c r="C373" t="str">
        <f>"さくら調剤薬局　九日町店"</f>
        <v>さくら調剤薬局　九日町店</v>
      </c>
      <c r="D373" t="str">
        <f>"人吉市九日町１０２番１"</f>
        <v>人吉市九日町１０２番１</v>
      </c>
      <c r="E373" t="str">
        <f t="shared" si="14"/>
        <v>R05.11.01</v>
      </c>
      <c r="F373" t="str">
        <f>"R11.10.31"</f>
        <v>R11.10.31</v>
      </c>
    </row>
    <row r="374" spans="1:6" x14ac:dyDescent="0.2">
      <c r="A374" t="str">
        <f>"第1668号"</f>
        <v>第1668号</v>
      </c>
      <c r="B374" t="str">
        <f>"さくら薬局株式会社"</f>
        <v>さくら薬局株式会社</v>
      </c>
      <c r="C374" t="str">
        <f>"さくら調剤薬局　瓦屋店"</f>
        <v>さくら調剤薬局　瓦屋店</v>
      </c>
      <c r="D374" t="str">
        <f>"人吉市瓦屋町１７２０－６"</f>
        <v>人吉市瓦屋町１７２０－６</v>
      </c>
      <c r="E374" t="str">
        <f t="shared" si="14"/>
        <v>R05.11.01</v>
      </c>
      <c r="F374" t="str">
        <f>"R11.10.31"</f>
        <v>R11.10.31</v>
      </c>
    </row>
    <row r="375" spans="1:6" x14ac:dyDescent="0.2">
      <c r="A375" t="str">
        <f>"第1667号"</f>
        <v>第1667号</v>
      </c>
      <c r="B375" t="str">
        <f>"さくら薬局株式会社"</f>
        <v>さくら薬局株式会社</v>
      </c>
      <c r="C375" t="str">
        <f>"さくら調剤薬局　医療センター前店"</f>
        <v>さくら調剤薬局　医療センター前店</v>
      </c>
      <c r="D375" t="str">
        <f>"人吉市老神町２７番地１"</f>
        <v>人吉市老神町２７番地１</v>
      </c>
      <c r="E375" t="str">
        <f t="shared" si="14"/>
        <v>R05.11.01</v>
      </c>
      <c r="F375" t="str">
        <f>"R11.10.31"</f>
        <v>R11.10.31</v>
      </c>
    </row>
    <row r="376" spans="1:6" x14ac:dyDescent="0.2">
      <c r="A376" t="str">
        <f>"第1666号"</f>
        <v>第1666号</v>
      </c>
      <c r="B376" t="str">
        <f>"さくら薬局株式会社"</f>
        <v>さくら薬局株式会社</v>
      </c>
      <c r="C376" t="str">
        <f>"さくら調剤薬局　人吉店"</f>
        <v>さくら調剤薬局　人吉店</v>
      </c>
      <c r="D376" t="str">
        <f>"人吉市土手町３７番地"</f>
        <v>人吉市土手町３７番地</v>
      </c>
      <c r="E376" t="str">
        <f t="shared" si="14"/>
        <v>R05.11.01</v>
      </c>
      <c r="F376" t="str">
        <f>"R11.10.31"</f>
        <v>R11.10.31</v>
      </c>
    </row>
    <row r="377" spans="1:6" x14ac:dyDescent="0.2">
      <c r="A377" t="str">
        <f>"第1278号"</f>
        <v>第1278号</v>
      </c>
      <c r="B377" t="str">
        <f>"株式会社ＣＩＳファーマシィ"</f>
        <v>株式会社ＣＩＳファーマシィ</v>
      </c>
      <c r="C377" t="str">
        <f>"クスノキ薬局　桜の里店"</f>
        <v>クスノキ薬局　桜の里店</v>
      </c>
      <c r="D377" t="str">
        <f>"球磨郡水上村岩野２６７５－４"</f>
        <v>球磨郡水上村岩野２６７５－４</v>
      </c>
      <c r="E377" t="str">
        <f>"R02.01.01"</f>
        <v>R02.01.01</v>
      </c>
      <c r="F377" t="str">
        <f>"R07.12.31"</f>
        <v>R07.12.31</v>
      </c>
    </row>
    <row r="378" spans="1:6" x14ac:dyDescent="0.2">
      <c r="A378" t="str">
        <f>"第1690号"</f>
        <v>第1690号</v>
      </c>
      <c r="B378" t="str">
        <f>"株式会社ＴｉｅＭＵ"</f>
        <v>株式会社ＴｉｅＭＵ</v>
      </c>
      <c r="C378" t="str">
        <f>"あいあい薬局　人吉店"</f>
        <v>あいあい薬局　人吉店</v>
      </c>
      <c r="D378" t="str">
        <f>"人吉市蟹作町１１０８－４"</f>
        <v>人吉市蟹作町１１０８－４</v>
      </c>
      <c r="E378" t="str">
        <f>"R06.04.11"</f>
        <v>R06.04.11</v>
      </c>
      <c r="F378" t="str">
        <f>"R12.04.10"</f>
        <v>R12.04.10</v>
      </c>
    </row>
    <row r="379" spans="1:6" x14ac:dyDescent="0.2">
      <c r="A379" t="str">
        <f>"第1120号"</f>
        <v>第1120号</v>
      </c>
      <c r="B379" t="str">
        <f>"株式会社ドラッグストアモリ"</f>
        <v>株式会社ドラッグストアモリ</v>
      </c>
      <c r="C379" t="str">
        <f>"ドラッグストアモリあさぎり店"</f>
        <v>ドラッグストアモリあさぎり店</v>
      </c>
      <c r="D379" t="str">
        <f>"球磨郡あさぎり町免田西２５２５"</f>
        <v>球磨郡あさぎり町免田西２５２５</v>
      </c>
      <c r="E379" t="str">
        <f>"R06.03.05"</f>
        <v>R06.03.05</v>
      </c>
      <c r="F379" t="str">
        <f>"R12.03.04"</f>
        <v>R12.03.04</v>
      </c>
    </row>
    <row r="380" spans="1:6" x14ac:dyDescent="0.2">
      <c r="A380" t="str">
        <f>"第1683号"</f>
        <v>第1683号</v>
      </c>
      <c r="B380" t="str">
        <f>"株式会社グリーンクロス"</f>
        <v>株式会社グリーンクロス</v>
      </c>
      <c r="C380" t="str">
        <f>"株式会社グリーンクロス　人吉営業所"</f>
        <v>株式会社グリーンクロス　人吉営業所</v>
      </c>
      <c r="D380" t="str">
        <f>"球磨郡あさぎり町免田西３０４５－５"</f>
        <v>球磨郡あさぎり町免田西３０４５－５</v>
      </c>
      <c r="E380" t="str">
        <f>"R06.02.13"</f>
        <v>R06.02.13</v>
      </c>
      <c r="F380" t="str">
        <f>"R12.02.12"</f>
        <v>R12.02.12</v>
      </c>
    </row>
    <row r="381" spans="1:6" x14ac:dyDescent="0.2">
      <c r="A381" t="str">
        <f>"第1590号"</f>
        <v>第1590号</v>
      </c>
      <c r="B381" t="str">
        <f>"株式会社西金物店"</f>
        <v>株式会社西金物店</v>
      </c>
      <c r="C381" t="str">
        <f>"株式会社西金物店"</f>
        <v>株式会社西金物店</v>
      </c>
      <c r="D381" t="str">
        <f>"球磨郡あさぎり町免田東５０４０－１"</f>
        <v>球磨郡あさぎり町免田東５０４０－１</v>
      </c>
      <c r="E381" t="str">
        <f>"R03.09.03"</f>
        <v>R03.09.03</v>
      </c>
      <c r="F381" t="str">
        <f>"R09.09.02"</f>
        <v>R09.09.02</v>
      </c>
    </row>
    <row r="382" spans="1:6" x14ac:dyDescent="0.2">
      <c r="A382" t="str">
        <f>"第1681号"</f>
        <v>第1681号</v>
      </c>
      <c r="B382" t="str">
        <f>"合資会社山口藥局"</f>
        <v>合資会社山口藥局</v>
      </c>
      <c r="C382" t="str">
        <f>"くろひじ薬局"</f>
        <v>くろひじ薬局</v>
      </c>
      <c r="D382" t="str">
        <f>"球磨郡多良木町大字黒肥地１６１３番地６"</f>
        <v>球磨郡多良木町大字黒肥地１６１３番地６</v>
      </c>
      <c r="E382" t="str">
        <f>"R06.01.15"</f>
        <v>R06.01.15</v>
      </c>
      <c r="F382" t="str">
        <f>"R11.12.31"</f>
        <v>R11.12.31</v>
      </c>
    </row>
    <row r="383" spans="1:6" x14ac:dyDescent="0.2">
      <c r="A383" t="str">
        <f>"第680号"</f>
        <v>第680号</v>
      </c>
      <c r="B383" t="str">
        <f>"有限会社くすりのエスエス堂"</f>
        <v>有限会社くすりのエスエス堂</v>
      </c>
      <c r="C383" t="str">
        <f>"（有）くすりのエスエス堂薬局瓦屋店"</f>
        <v>（有）くすりのエスエス堂薬局瓦屋店</v>
      </c>
      <c r="D383" t="str">
        <f>"人吉市瓦屋町１８６６－２８"</f>
        <v>人吉市瓦屋町１８６６－２８</v>
      </c>
      <c r="E383" t="str">
        <f>"R06.01.01"</f>
        <v>R06.01.01</v>
      </c>
      <c r="F383" t="str">
        <f>"R11.12.31"</f>
        <v>R11.12.31</v>
      </c>
    </row>
    <row r="384" spans="1:6" x14ac:dyDescent="0.2">
      <c r="A384" t="str">
        <f>"第677号"</f>
        <v>第677号</v>
      </c>
      <c r="B384" t="str">
        <f>"株式会社ヨネザワ"</f>
        <v>株式会社ヨネザワ</v>
      </c>
      <c r="C384" t="str">
        <f>"メガネのヨネザワ　人吉バイパス店"</f>
        <v>メガネのヨネザワ　人吉バイパス店</v>
      </c>
      <c r="D384" t="str">
        <f>"人吉市相良町１－１１５８－１"</f>
        <v>人吉市相良町１－１１５８－１</v>
      </c>
      <c r="E384" t="str">
        <f>"R06.01.01"</f>
        <v>R06.01.01</v>
      </c>
      <c r="F384" t="str">
        <f>"R11.12.31"</f>
        <v>R11.12.31</v>
      </c>
    </row>
    <row r="385" spans="1:6" x14ac:dyDescent="0.2">
      <c r="A385" t="str">
        <f>"第644号"</f>
        <v>第644号</v>
      </c>
      <c r="B385" t="str">
        <f>"株式会社ＯＡシステム岩本"</f>
        <v>株式会社ＯＡシステム岩本</v>
      </c>
      <c r="C385" t="str">
        <f>"株式会社ＯＡシステム岩本"</f>
        <v>株式会社ＯＡシステム岩本</v>
      </c>
      <c r="D385" t="str">
        <f>"人吉市鶴田町１３５－２"</f>
        <v>人吉市鶴田町１３５－２</v>
      </c>
      <c r="E385" t="str">
        <f>"R06.01.01"</f>
        <v>R06.01.01</v>
      </c>
      <c r="F385" t="str">
        <f>"R11.12.31"</f>
        <v>R11.12.31</v>
      </c>
    </row>
    <row r="386" spans="1:6" x14ac:dyDescent="0.2">
      <c r="A386" t="str">
        <f>"第1069号"</f>
        <v>第1069号</v>
      </c>
      <c r="B386" t="str">
        <f>"有限会社ＪＡＭ"</f>
        <v>有限会社ＪＡＭ</v>
      </c>
      <c r="C386" t="str">
        <f>"あおい調剤薬局"</f>
        <v>あおい調剤薬局</v>
      </c>
      <c r="D386" t="str">
        <f>"人吉市上青井町１８０番地２３"</f>
        <v>人吉市上青井町１８０番地２３</v>
      </c>
      <c r="E386" t="str">
        <f>"R05.01.01"</f>
        <v>R05.01.01</v>
      </c>
      <c r="F386" t="str">
        <f>"R10.12.31"</f>
        <v>R10.12.31</v>
      </c>
    </row>
    <row r="387" spans="1:6" x14ac:dyDescent="0.2">
      <c r="A387" t="str">
        <f>"第1643号"</f>
        <v>第1643号</v>
      </c>
      <c r="B387" t="str">
        <f>"株式会社コスモス薬品"</f>
        <v>株式会社コスモス薬品</v>
      </c>
      <c r="C387" t="str">
        <f>"ドラッグコスモス多良木店"</f>
        <v>ドラッグコスモス多良木店</v>
      </c>
      <c r="D387" t="str">
        <f>"球磨郡多良木町多良木２８０２"</f>
        <v>球磨郡多良木町多良木２８０２</v>
      </c>
      <c r="E387" t="str">
        <f>"R05.05.29"</f>
        <v>R05.05.29</v>
      </c>
      <c r="F387" t="str">
        <f>"R11.05.28"</f>
        <v>R11.05.28</v>
      </c>
    </row>
    <row r="388" spans="1:6" x14ac:dyDescent="0.2">
      <c r="A388" t="str">
        <f>"第1642号"</f>
        <v>第1642号</v>
      </c>
      <c r="B388" t="str">
        <f>"株式会社コスモス薬品"</f>
        <v>株式会社コスモス薬品</v>
      </c>
      <c r="C388" t="str">
        <f>"ドラッグコスモス人吉インター店"</f>
        <v>ドラッグコスモス人吉インター店</v>
      </c>
      <c r="D388" t="str">
        <f>"人吉市鬼木町１０１４－１"</f>
        <v>人吉市鬼木町１０１４－１</v>
      </c>
      <c r="E388" t="str">
        <f>"R05.05.29"</f>
        <v>R05.05.29</v>
      </c>
      <c r="F388" t="str">
        <f>"R11.05.28"</f>
        <v>R11.05.28</v>
      </c>
    </row>
    <row r="389" spans="1:6" x14ac:dyDescent="0.2">
      <c r="A389" t="str">
        <f>"第1423号"</f>
        <v>第1423号</v>
      </c>
      <c r="B389" t="str">
        <f>"株式会社コスモス薬品"</f>
        <v>株式会社コスモス薬品</v>
      </c>
      <c r="C389" t="str">
        <f>"ドラッグコスモス瓦屋町店"</f>
        <v>ドラッグコスモス瓦屋町店</v>
      </c>
      <c r="D389" t="str">
        <f>"人吉市瓦屋町２４０６－１"</f>
        <v>人吉市瓦屋町２４０６－１</v>
      </c>
      <c r="E389" t="str">
        <f>"R05.08.07"</f>
        <v>R05.08.07</v>
      </c>
      <c r="F389" t="str">
        <f>"R11.08.06"</f>
        <v>R11.08.06</v>
      </c>
    </row>
    <row r="390" spans="1:6" x14ac:dyDescent="0.2">
      <c r="A390" t="str">
        <f>"第1567号"</f>
        <v>第1567号</v>
      </c>
      <c r="B390" t="str">
        <f>"株式会社コスモス薬品"</f>
        <v>株式会社コスモス薬品</v>
      </c>
      <c r="C390" t="str">
        <f>"ドラッグコスモス人吉店"</f>
        <v>ドラッグコスモス人吉店</v>
      </c>
      <c r="D390" t="str">
        <f>"人吉市下青井町３８８－１２"</f>
        <v>人吉市下青井町３８８－１２</v>
      </c>
      <c r="E390" t="str">
        <f>"R03.04.01"</f>
        <v>R03.04.01</v>
      </c>
      <c r="F390" t="str">
        <f>"R09.03.31"</f>
        <v>R09.03.31</v>
      </c>
    </row>
    <row r="391" spans="1:6" x14ac:dyDescent="0.2">
      <c r="A391" t="str">
        <f>"第1623号"</f>
        <v>第1623号</v>
      </c>
      <c r="B391" t="str">
        <f>"株式会社コスモス薬品"</f>
        <v>株式会社コスモス薬品</v>
      </c>
      <c r="C391" t="str">
        <f>"ドラッグコスモス錦店"</f>
        <v>ドラッグコスモス錦店</v>
      </c>
      <c r="D391" t="str">
        <f>"球磨郡錦町一武２８２２－４"</f>
        <v>球磨郡錦町一武２８２２－４</v>
      </c>
      <c r="E391" t="str">
        <f>"R04.11.09"</f>
        <v>R04.11.09</v>
      </c>
      <c r="F391" t="str">
        <f>"R10.11.08"</f>
        <v>R10.11.08</v>
      </c>
    </row>
    <row r="392" spans="1:6" x14ac:dyDescent="0.2">
      <c r="A392" t="str">
        <f>"第614号"</f>
        <v>第614号</v>
      </c>
      <c r="B392" t="str">
        <f>"株式会社　アテナ"</f>
        <v>株式会社　アテナ</v>
      </c>
      <c r="C392" t="str">
        <f>"ひまわり薬局"</f>
        <v>ひまわり薬局</v>
      </c>
      <c r="D392" t="str">
        <f>"人吉市宝来町１２８４番地の３"</f>
        <v>人吉市宝来町１２８４番地の３</v>
      </c>
      <c r="E392" t="str">
        <f>"R05.01.01"</f>
        <v>R05.01.01</v>
      </c>
      <c r="F392" t="str">
        <f>"R10.12.31"</f>
        <v>R10.12.31</v>
      </c>
    </row>
    <row r="393" spans="1:6" x14ac:dyDescent="0.2">
      <c r="A393" t="str">
        <f>"第1035号"</f>
        <v>第1035号</v>
      </c>
      <c r="B393" t="str">
        <f>"株式会社ヨネザワ"</f>
        <v>株式会社ヨネザワ</v>
      </c>
      <c r="C393" t="str">
        <f>"メガネのヨネザワ　イオン錦店"</f>
        <v>メガネのヨネザワ　イオン錦店</v>
      </c>
      <c r="D393" t="str">
        <f>"球磨郡錦町西字打越７１５－１"</f>
        <v>球磨郡錦町西字打越７１５－１</v>
      </c>
      <c r="E393" t="str">
        <f>"R04.07.22"</f>
        <v>R04.07.22</v>
      </c>
      <c r="F393" t="str">
        <f>"R10.07.21"</f>
        <v>R10.07.21</v>
      </c>
    </row>
    <row r="394" spans="1:6" x14ac:dyDescent="0.2">
      <c r="A394" t="str">
        <f>"第347号"</f>
        <v>第347号</v>
      </c>
      <c r="B394" t="str">
        <f>"有限会社　掛井コンタクトレンズセンター"</f>
        <v>有限会社　掛井コンタクトレンズセンター</v>
      </c>
      <c r="C394" t="str">
        <f>"掛井コンタクトレンズセンター"</f>
        <v>掛井コンタクトレンズセンター</v>
      </c>
      <c r="D394" t="str">
        <f>"人吉市駒井田町１８９"</f>
        <v>人吉市駒井田町１８９</v>
      </c>
      <c r="E394" t="str">
        <f>"R05.04.01"</f>
        <v>R05.04.01</v>
      </c>
      <c r="F394" t="str">
        <f>"R11.03.31"</f>
        <v>R11.03.31</v>
      </c>
    </row>
    <row r="395" spans="1:6" x14ac:dyDescent="0.2">
      <c r="A395" t="str">
        <f>"第339号"</f>
        <v>第339号</v>
      </c>
      <c r="B395" t="str">
        <f>"有限会社　泉商"</f>
        <v>有限会社　泉商</v>
      </c>
      <c r="C395" t="str">
        <f>"有限会社　泉商"</f>
        <v>有限会社　泉商</v>
      </c>
      <c r="D395" t="str">
        <f>"人吉市南泉田町３９番地"</f>
        <v>人吉市南泉田町３９番地</v>
      </c>
      <c r="E395" t="str">
        <f>"R05.04.01"</f>
        <v>R05.04.01</v>
      </c>
      <c r="F395" t="str">
        <f>"R11.03.31"</f>
        <v>R11.03.31</v>
      </c>
    </row>
    <row r="396" spans="1:6" x14ac:dyDescent="0.2">
      <c r="A396" t="str">
        <f>"第480号"</f>
        <v>第480号</v>
      </c>
      <c r="B396" t="str">
        <f>"有限会社　たらぎ調剤薬局"</f>
        <v>有限会社　たらぎ調剤薬局</v>
      </c>
      <c r="C396" t="str">
        <f>"たらぎ調剤薬局"</f>
        <v>たらぎ調剤薬局</v>
      </c>
      <c r="D396" t="str">
        <f>"球磨郡多良木町大字多良木２９０５番地４"</f>
        <v>球磨郡多良木町大字多良木２９０５番地４</v>
      </c>
      <c r="E396" t="str">
        <f>"R05.01.01"</f>
        <v>R05.01.01</v>
      </c>
      <c r="F396" t="str">
        <f>"R10.12.31"</f>
        <v>R10.12.31</v>
      </c>
    </row>
    <row r="397" spans="1:6" x14ac:dyDescent="0.2">
      <c r="A397" t="str">
        <f>"第1059号"</f>
        <v>第1059号</v>
      </c>
      <c r="B397" t="str">
        <f>"株式会社ＭＯＭＯ"</f>
        <v>株式会社ＭＯＭＯ</v>
      </c>
      <c r="C397" t="str">
        <f>"くまコンタクト"</f>
        <v>くまコンタクト</v>
      </c>
      <c r="D397" t="str">
        <f>"球磨郡あさぎり町上北１９３－１"</f>
        <v>球磨郡あさぎり町上北１９３－１</v>
      </c>
      <c r="E397" t="str">
        <f>"R04.12.15"</f>
        <v>R04.12.15</v>
      </c>
      <c r="F397" t="str">
        <f>"R10.12.14"</f>
        <v>R10.12.14</v>
      </c>
    </row>
    <row r="398" spans="1:6" x14ac:dyDescent="0.2">
      <c r="A398" t="str">
        <f>"第478号"</f>
        <v>第478号</v>
      </c>
      <c r="B398" t="str">
        <f>"有限会社南コンタクト"</f>
        <v>有限会社南コンタクト</v>
      </c>
      <c r="C398" t="str">
        <f>"有限会社南コンタクト"</f>
        <v>有限会社南コンタクト</v>
      </c>
      <c r="D398" t="str">
        <f>"人吉市下城本町１３９４番地の１"</f>
        <v>人吉市下城本町１３９４番地の１</v>
      </c>
      <c r="E398" t="str">
        <f>"R05.01.01"</f>
        <v>R05.01.01</v>
      </c>
      <c r="F398" t="str">
        <f>"R10.12.31"</f>
        <v>R10.12.31</v>
      </c>
    </row>
    <row r="399" spans="1:6" x14ac:dyDescent="0.2">
      <c r="A399" t="str">
        <f>"第592号"</f>
        <v>第592号</v>
      </c>
      <c r="B399" t="str">
        <f>"合資会社　山口薬局"</f>
        <v>合資会社　山口薬局</v>
      </c>
      <c r="C399" t="str">
        <f>"合資会社　山口薬局"</f>
        <v>合資会社　山口薬局</v>
      </c>
      <c r="D399" t="str">
        <f>"球磨郡多良木町多良木６５０番地"</f>
        <v>球磨郡多良木町多良木６５０番地</v>
      </c>
      <c r="E399" t="str">
        <f>"R05.01.01"</f>
        <v>R05.01.01</v>
      </c>
      <c r="F399" t="str">
        <f>"R10.12.31"</f>
        <v>R10.12.31</v>
      </c>
    </row>
    <row r="400" spans="1:6" x14ac:dyDescent="0.2">
      <c r="A400" t="str">
        <f>"第1075号"</f>
        <v>第1075号</v>
      </c>
      <c r="B400" t="str">
        <f>"有限会社　ミズノ"</f>
        <v>有限会社　ミズノ</v>
      </c>
      <c r="C400" t="str">
        <f>"有限会社　ミズノ"</f>
        <v>有限会社　ミズノ</v>
      </c>
      <c r="D400" t="str">
        <f>"人吉市上林町１４１５－１"</f>
        <v>人吉市上林町１４１５－１</v>
      </c>
      <c r="E400" t="str">
        <f>"R05.01.01"</f>
        <v>R05.01.01</v>
      </c>
      <c r="F400" t="str">
        <f>"R10.12.31"</f>
        <v>R10.12.31</v>
      </c>
    </row>
    <row r="401" spans="1:6" x14ac:dyDescent="0.2">
      <c r="A401" t="str">
        <f>"第1058号"</f>
        <v>第1058号</v>
      </c>
      <c r="B401" t="str">
        <f>"株式会社ヨネザワ"</f>
        <v>株式会社ヨネザワ</v>
      </c>
      <c r="C401" t="str">
        <f>"メガネのヨネザワ　サンロード免田店"</f>
        <v>メガネのヨネザワ　サンロード免田店</v>
      </c>
      <c r="D401" t="str">
        <f>"球磨郡あさぎり町免田東１２５３－１"</f>
        <v>球磨郡あさぎり町免田東１２５３－１</v>
      </c>
      <c r="E401" t="str">
        <f>"R04.12.15"</f>
        <v>R04.12.15</v>
      </c>
      <c r="F401" t="str">
        <f>"R10.12.14"</f>
        <v>R10.12.14</v>
      </c>
    </row>
    <row r="402" spans="1:6" x14ac:dyDescent="0.2">
      <c r="A402" t="str">
        <f>"第479号"</f>
        <v>第479号</v>
      </c>
      <c r="B402" t="str">
        <f>"株式会社　ユニスマイル"</f>
        <v>株式会社　ユニスマイル</v>
      </c>
      <c r="C402" t="str">
        <f>"ファーコス薬局　多良木いちご"</f>
        <v>ファーコス薬局　多良木いちご</v>
      </c>
      <c r="D402" t="str">
        <f>"球磨郡多良木町多良木４２４７－１"</f>
        <v>球磨郡多良木町多良木４２４７－１</v>
      </c>
      <c r="E402" t="str">
        <f>"R05.01.01"</f>
        <v>R05.01.01</v>
      </c>
      <c r="F402" t="str">
        <f>"R10.12.31"</f>
        <v>R10.12.31</v>
      </c>
    </row>
    <row r="403" spans="1:6" x14ac:dyDescent="0.2">
      <c r="A403" t="str">
        <f>"第902号"</f>
        <v>第902号</v>
      </c>
      <c r="B403" t="str">
        <f>"有限会社くすりのエスエス堂"</f>
        <v>有限会社くすりのエスエス堂</v>
      </c>
      <c r="C403" t="str">
        <f>"百太郎薬局"</f>
        <v>百太郎薬局</v>
      </c>
      <c r="D403" t="str">
        <f>"球磨郡錦町西字百太郎３６０４番地１０５号"</f>
        <v>球磨郡錦町西字百太郎３６０４番地１０５号</v>
      </c>
      <c r="E403" t="str">
        <f>"R02.01.01"</f>
        <v>R02.01.01</v>
      </c>
      <c r="F403" t="str">
        <f>"R07.12.31"</f>
        <v>R07.12.31</v>
      </c>
    </row>
    <row r="404" spans="1:6" x14ac:dyDescent="0.2">
      <c r="A404" t="str">
        <f>"第1570号"</f>
        <v>第1570号</v>
      </c>
      <c r="B404" t="str">
        <f>"有限会社くすりのエスエス堂"</f>
        <v>有限会社くすりのエスエス堂</v>
      </c>
      <c r="C404" t="str">
        <f>"(有)くすりのエスエス堂薬局　城本店"</f>
        <v>(有)くすりのエスエス堂薬局　城本店</v>
      </c>
      <c r="D404" t="str">
        <f>"人吉市下城本町１４３５－２"</f>
        <v>人吉市下城本町１４３５－２</v>
      </c>
      <c r="E404" t="str">
        <f>"R03.04.27"</f>
        <v>R03.04.27</v>
      </c>
      <c r="F404" t="str">
        <f>"R09.04.26"</f>
        <v>R09.04.26</v>
      </c>
    </row>
    <row r="405" spans="1:6" x14ac:dyDescent="0.2">
      <c r="A405" t="str">
        <f>"第1301号"</f>
        <v>第1301号</v>
      </c>
      <c r="B405" t="str">
        <f>"綜合警備保障株式会社"</f>
        <v>綜合警備保障株式会社</v>
      </c>
      <c r="C405" t="str">
        <f>"綜合警備保障株式会社　熊本支社　人吉営業所"</f>
        <v>綜合警備保障株式会社　熊本支社　人吉営業所</v>
      </c>
      <c r="D405" t="str">
        <f>"人吉市灰久保町１８－２"</f>
        <v>人吉市灰久保町１８－２</v>
      </c>
      <c r="E405" t="str">
        <f>"R02.01.01"</f>
        <v>R02.01.01</v>
      </c>
      <c r="F405" t="str">
        <f>"R07.12.31"</f>
        <v>R07.12.31</v>
      </c>
    </row>
    <row r="406" spans="1:6" x14ac:dyDescent="0.2">
      <c r="A406" t="str">
        <f>"第1608号"</f>
        <v>第1608号</v>
      </c>
      <c r="B406" t="str">
        <f>"有限会社プラスエンゼル"</f>
        <v>有限会社プラスエンゼル</v>
      </c>
      <c r="C406" t="str">
        <f>"ぎんなん薬局"</f>
        <v>ぎんなん薬局</v>
      </c>
      <c r="D406" t="str">
        <f>"人吉市宝来町１０－６"</f>
        <v>人吉市宝来町１０－６</v>
      </c>
      <c r="E406" t="str">
        <f>"R04.04.01"</f>
        <v>R04.04.01</v>
      </c>
      <c r="F406" t="str">
        <f>"R08.12.31"</f>
        <v>R08.12.31</v>
      </c>
    </row>
    <row r="407" spans="1:6" x14ac:dyDescent="0.2">
      <c r="A407" t="str">
        <f>"第1583号"</f>
        <v>第1583号</v>
      </c>
      <c r="B407" t="str">
        <f>"有限会社ケイピーエス・ネットワーク"</f>
        <v>有限会社ケイピーエス・ネットワーク</v>
      </c>
      <c r="C407" t="str">
        <f>"きりん薬局　免田店"</f>
        <v>きりん薬局　免田店</v>
      </c>
      <c r="D407" t="str">
        <f>"球磨郡あさぎり町免田東２７９３番３"</f>
        <v>球磨郡あさぎり町免田東２７９３番３</v>
      </c>
      <c r="E407" t="str">
        <f>"R03.06.30"</f>
        <v>R03.06.30</v>
      </c>
      <c r="F407" t="str">
        <f>"R09.06.29"</f>
        <v>R09.06.29</v>
      </c>
    </row>
    <row r="408" spans="1:6" x14ac:dyDescent="0.2">
      <c r="A408" t="str">
        <f>"第918号"</f>
        <v>第918号</v>
      </c>
      <c r="B408" t="str">
        <f>"株式会社ヨネザワ"</f>
        <v>株式会社ヨネザワ</v>
      </c>
      <c r="C408" t="str">
        <f>"メガネのヨネザワ　人吉レックス店"</f>
        <v>メガネのヨネザワ　人吉レックス店</v>
      </c>
      <c r="D408" t="str">
        <f>"人吉市宝来町１２９３"</f>
        <v>人吉市宝来町１２９３</v>
      </c>
      <c r="E408" t="str">
        <f>"R02.11.20"</f>
        <v>R02.11.20</v>
      </c>
      <c r="F408" t="str">
        <f>"R08.11.19"</f>
        <v>R08.11.19</v>
      </c>
    </row>
    <row r="409" spans="1:6" x14ac:dyDescent="0.2">
      <c r="A409" t="str">
        <f>"第959号"</f>
        <v>第959号</v>
      </c>
      <c r="B409" t="str">
        <f>"田中　正廣"</f>
        <v>田中　正廣</v>
      </c>
      <c r="C409" t="str">
        <f>"田中電器店"</f>
        <v>田中電器店</v>
      </c>
      <c r="D409" t="str">
        <f>"球磨郡あさぎり町免田東１４９６－１７"</f>
        <v>球磨郡あさぎり町免田東１４９６－１７</v>
      </c>
      <c r="E409" t="str">
        <f>"R03.01.01"</f>
        <v>R03.01.01</v>
      </c>
      <c r="F409" t="str">
        <f>"R08.12.31"</f>
        <v>R08.12.31</v>
      </c>
    </row>
    <row r="410" spans="1:6" x14ac:dyDescent="0.2">
      <c r="A410" t="str">
        <f>"第832号"</f>
        <v>第832号</v>
      </c>
      <c r="B410" t="str">
        <f>"有限会社ケイピ－エス・ネットワ－ク"</f>
        <v>有限会社ケイピ－エス・ネットワ－ク</v>
      </c>
      <c r="C410" t="str">
        <f>"きりん薬局　原田店"</f>
        <v>きりん薬局　原田店</v>
      </c>
      <c r="D410" t="str">
        <f>"球磨郡多良木町大字多良木２８９９"</f>
        <v>球磨郡多良木町大字多良木２８９９</v>
      </c>
      <c r="E410" t="str">
        <f>"R02.01.09"</f>
        <v>R02.01.09</v>
      </c>
      <c r="F410" t="str">
        <f>"R08.01.08"</f>
        <v>R08.01.08</v>
      </c>
    </row>
    <row r="411" spans="1:6" x14ac:dyDescent="0.2">
      <c r="A411" t="str">
        <f>"第728号"</f>
        <v>第728号</v>
      </c>
      <c r="B411" t="str">
        <f>"株式会社ヨネザワ"</f>
        <v>株式会社ヨネザワ</v>
      </c>
      <c r="C411" t="str">
        <f>"メガネのヨネザワ　玉名築地店"</f>
        <v>メガネのヨネザワ　玉名築地店</v>
      </c>
      <c r="D411" t="str">
        <f>"玉名市築地除ヶ口３０５－１"</f>
        <v>玉名市築地除ヶ口３０５－１</v>
      </c>
      <c r="E411" t="str">
        <f>"R06.10.10"</f>
        <v>R06.10.10</v>
      </c>
      <c r="F411" t="str">
        <f>"R12.10.09"</f>
        <v>R12.10.09</v>
      </c>
    </row>
    <row r="412" spans="1:6" x14ac:dyDescent="0.2">
      <c r="A412" t="str">
        <f>"第1732号"</f>
        <v>第1732号</v>
      </c>
      <c r="B412" t="str">
        <f>"有限会社不知火メディクス"</f>
        <v>有限会社不知火メディクス</v>
      </c>
      <c r="C412" t="str">
        <f>"松林堂薬局"</f>
        <v>松林堂薬局</v>
      </c>
      <c r="D412" t="str">
        <f>"玉名郡南関町上長田字穴の口６６４－１"</f>
        <v>玉名郡南関町上長田字穴の口６６４－１</v>
      </c>
      <c r="E412" t="str">
        <f>"R07.06.01"</f>
        <v>R07.06.01</v>
      </c>
      <c r="F412" t="str">
        <f>"R12.12.31"</f>
        <v>R12.12.31</v>
      </c>
    </row>
    <row r="413" spans="1:6" x14ac:dyDescent="0.2">
      <c r="A413" t="str">
        <f>"第1408号"</f>
        <v>第1408号</v>
      </c>
      <c r="B413" t="str">
        <f>"株式会社ヨネザワ"</f>
        <v>株式会社ヨネザワ</v>
      </c>
      <c r="C413" t="str">
        <f>"メガネのヨネザワ　ゆめタウンシティモール店"</f>
        <v>メガネのヨネザワ　ゆめタウンシティモール店</v>
      </c>
      <c r="D413" t="str">
        <f>"荒尾市緑ケ丘１丁目１番１号"</f>
        <v>荒尾市緑ケ丘１丁目１番１号</v>
      </c>
      <c r="E413" t="str">
        <f>"R04.12.15"</f>
        <v>R04.12.15</v>
      </c>
      <c r="F413" t="str">
        <f>"R10.12.14"</f>
        <v>R10.12.14</v>
      </c>
    </row>
    <row r="414" spans="1:6" x14ac:dyDescent="0.2">
      <c r="A414" t="str">
        <f>"第1731号"</f>
        <v>第1731号</v>
      </c>
      <c r="B414" t="str">
        <f>"有限会社　瀬戸薬局"</f>
        <v>有限会社　瀬戸薬局</v>
      </c>
      <c r="C414" t="str">
        <f>"瀬戸薬局　山浦店"</f>
        <v>瀬戸薬局　山浦店</v>
      </c>
      <c r="D414" t="str">
        <f>"荒尾市増永字山浦２５５７－１"</f>
        <v>荒尾市増永字山浦２５５７－１</v>
      </c>
      <c r="E414" t="str">
        <f>"R07.06.01"</f>
        <v>R07.06.01</v>
      </c>
      <c r="F414" t="str">
        <f>"R12.12.31"</f>
        <v>R12.12.31</v>
      </c>
    </row>
    <row r="415" spans="1:6" x14ac:dyDescent="0.2">
      <c r="A415" t="str">
        <f>"第1410号"</f>
        <v>第1410号</v>
      </c>
      <c r="B415" t="str">
        <f>"九州東邦株式会社"</f>
        <v>九州東邦株式会社</v>
      </c>
      <c r="C415" t="str">
        <f>"九州東邦株式会社　有明営業所"</f>
        <v>九州東邦株式会社　有明営業所</v>
      </c>
      <c r="D415" t="str">
        <f>"荒尾市水野１６８４番１３"</f>
        <v>荒尾市水野１６８４番１３</v>
      </c>
      <c r="E415" t="str">
        <f>"R05.01.04"</f>
        <v>R05.01.04</v>
      </c>
      <c r="F415" t="str">
        <f>"R11.01.03"</f>
        <v>R11.01.03</v>
      </c>
    </row>
    <row r="416" spans="1:6" x14ac:dyDescent="0.2">
      <c r="A416" t="str">
        <f>"第1621号"</f>
        <v>第1621号</v>
      </c>
      <c r="B416" t="str">
        <f>"株式会社ドン・キホーテ"</f>
        <v>株式会社ドン・キホーテ</v>
      </c>
      <c r="C416" t="str">
        <f>"ドン・キホーテ荒尾店"</f>
        <v>ドン・キホーテ荒尾店</v>
      </c>
      <c r="D416" t="str">
        <f>"荒尾市原万田８４６番４号"</f>
        <v>荒尾市原万田８４６番４号</v>
      </c>
      <c r="E416" t="str">
        <f>"R04.08.12"</f>
        <v>R04.08.12</v>
      </c>
      <c r="F416" t="str">
        <f>"R09.12.31"</f>
        <v>R09.12.31</v>
      </c>
    </row>
    <row r="417" spans="1:6" x14ac:dyDescent="0.2">
      <c r="A417" t="str">
        <f>"第1376号"</f>
        <v>第1376号</v>
      </c>
      <c r="B417" t="str">
        <f>"有限会社おくすりの本舗"</f>
        <v>有限会社おくすりの本舗</v>
      </c>
      <c r="C417" t="str">
        <f>"四ツ山はるかぜ薬局"</f>
        <v>四ツ山はるかぜ薬局</v>
      </c>
      <c r="D417" t="str">
        <f>"荒尾市四ツ山町３丁目１番２号"</f>
        <v>荒尾市四ツ山町３丁目１番２号</v>
      </c>
      <c r="E417" t="str">
        <f>"R03.12.02"</f>
        <v>R03.12.02</v>
      </c>
      <c r="F417" t="str">
        <f>"R09.12.01"</f>
        <v>R09.12.01</v>
      </c>
    </row>
    <row r="418" spans="1:6" x14ac:dyDescent="0.2">
      <c r="A418" t="str">
        <f>"第1110号"</f>
        <v>第1110号</v>
      </c>
      <c r="B418" t="str">
        <f>"株式会社こころ"</f>
        <v>株式会社こころ</v>
      </c>
      <c r="C418" t="str">
        <f>"株式会社こころ"</f>
        <v>株式会社こころ</v>
      </c>
      <c r="D418" t="str">
        <f>"荒尾市増永２０００－３３"</f>
        <v>荒尾市増永２０００－３３</v>
      </c>
      <c r="E418" t="str">
        <f>"R05.12.19"</f>
        <v>R05.12.19</v>
      </c>
      <c r="F418" t="str">
        <f>"R11.12.18"</f>
        <v>R11.12.18</v>
      </c>
    </row>
    <row r="419" spans="1:6" x14ac:dyDescent="0.2">
      <c r="A419" t="str">
        <f>"第1494号"</f>
        <v>第1494号</v>
      </c>
      <c r="B419" t="str">
        <f>"株式会社ドラッグストアモリ"</f>
        <v>株式会社ドラッグストアモリ</v>
      </c>
      <c r="C419" t="str">
        <f>"ドラッグストアモリ　荒尾駅前店"</f>
        <v>ドラッグストアモリ　荒尾駅前店</v>
      </c>
      <c r="D419" t="str">
        <f>"荒尾市大島６８番地４"</f>
        <v>荒尾市大島６８番地４</v>
      </c>
      <c r="E419" t="str">
        <f>"R07.02.14"</f>
        <v>R07.02.14</v>
      </c>
      <c r="F419" t="str">
        <f>"R13.02.13"</f>
        <v>R13.02.13</v>
      </c>
    </row>
    <row r="420" spans="1:6" x14ac:dyDescent="0.2">
      <c r="A420" t="str">
        <f>"第1207号"</f>
        <v>第1207号</v>
      </c>
      <c r="B420" t="str">
        <f>"総合メディカル株式会社"</f>
        <v>総合メディカル株式会社</v>
      </c>
      <c r="C420" t="str">
        <f>"そうごう薬局　玉名亀甲店"</f>
        <v>そうごう薬局　玉名亀甲店</v>
      </c>
      <c r="D420" t="str">
        <f>"玉名市亀甲２５１番４"</f>
        <v>玉名市亀甲２５１番４</v>
      </c>
      <c r="E420" t="str">
        <f>"R07.02.12"</f>
        <v>R07.02.12</v>
      </c>
      <c r="F420" t="str">
        <f>"R13.02.11"</f>
        <v>R13.02.11</v>
      </c>
    </row>
    <row r="421" spans="1:6" x14ac:dyDescent="0.2">
      <c r="A421" t="str">
        <f>"第1141号"</f>
        <v>第1141号</v>
      </c>
      <c r="B421" t="str">
        <f>"綜合警備保障株式会社"</f>
        <v>綜合警備保障株式会社</v>
      </c>
      <c r="C421" t="str">
        <f>"綜合警備保障株式会社　熊本支社　玉名営業所"</f>
        <v>綜合警備保障株式会社　熊本支社　玉名営業所</v>
      </c>
      <c r="D421" t="str">
        <f>"玉名市立願寺１３９２－１"</f>
        <v>玉名市立願寺１３９２－１</v>
      </c>
      <c r="E421" t="str">
        <f>"R06.06.01"</f>
        <v>R06.06.01</v>
      </c>
      <c r="F421" t="str">
        <f>"R12.05.31"</f>
        <v>R12.05.31</v>
      </c>
    </row>
    <row r="422" spans="1:6" x14ac:dyDescent="0.2">
      <c r="A422" t="str">
        <f>"第1005号"</f>
        <v>第1005号</v>
      </c>
      <c r="B422" t="str">
        <f>"株式会社パリミキ"</f>
        <v>株式会社パリミキ</v>
      </c>
      <c r="C422" t="str">
        <f>"パリミキ　玉名店"</f>
        <v>パリミキ　玉名店</v>
      </c>
      <c r="D422" t="str">
        <f>"玉名市大倉１４６７－２１"</f>
        <v>玉名市大倉１４６７－２１</v>
      </c>
      <c r="E422" t="str">
        <f>"R03.12.16"</f>
        <v>R03.12.16</v>
      </c>
      <c r="F422" t="str">
        <f>"R09.12.15"</f>
        <v>R09.12.15</v>
      </c>
    </row>
    <row r="423" spans="1:6" x14ac:dyDescent="0.2">
      <c r="A423" t="str">
        <f>"第231号"</f>
        <v>第231号</v>
      </c>
      <c r="B423" t="str">
        <f>"株式会社新生堂"</f>
        <v>株式会社新生堂</v>
      </c>
      <c r="C423" t="str">
        <f>"株式会社新生堂荒尾営業所"</f>
        <v>株式会社新生堂荒尾営業所</v>
      </c>
      <c r="D423" t="str">
        <f>"荒尾市金山１１７８－５５"</f>
        <v>荒尾市金山１１７８－５５</v>
      </c>
      <c r="E423" t="str">
        <f>"R05.01.01"</f>
        <v>R05.01.01</v>
      </c>
      <c r="F423" t="str">
        <f>"R10.12.31"</f>
        <v>R10.12.31</v>
      </c>
    </row>
    <row r="424" spans="1:6" x14ac:dyDescent="0.2">
      <c r="A424" t="str">
        <f>"第1232号"</f>
        <v>第1232号</v>
      </c>
      <c r="B424" t="str">
        <f>"有限会社ハッピー薬局"</f>
        <v>有限会社ハッピー薬局</v>
      </c>
      <c r="C424" t="str">
        <f>"有限会社ハッピー薬局"</f>
        <v>有限会社ハッピー薬局</v>
      </c>
      <c r="D424" t="str">
        <f>"玉名市滑石２５４０番地１"</f>
        <v>玉名市滑石２５４０番地１</v>
      </c>
      <c r="E424" t="str">
        <f>"R07.01.01"</f>
        <v>R07.01.01</v>
      </c>
      <c r="F424" t="str">
        <f>"R12.12.31"</f>
        <v>R12.12.31</v>
      </c>
    </row>
    <row r="425" spans="1:6" x14ac:dyDescent="0.2">
      <c r="A425" t="str">
        <f>"第774号"</f>
        <v>第774号</v>
      </c>
      <c r="B425" t="str">
        <f>"菊水堂薬局有限会社"</f>
        <v>菊水堂薬局有限会社</v>
      </c>
      <c r="C425" t="str">
        <f>"菊水堂薬局"</f>
        <v>菊水堂薬局</v>
      </c>
      <c r="D425" t="str">
        <f>"玉名郡和水町江田４１４４"</f>
        <v>玉名郡和水町江田４１４４</v>
      </c>
      <c r="E425" t="str">
        <f>"R07.01.01"</f>
        <v>R07.01.01</v>
      </c>
      <c r="F425" t="str">
        <f>"R12.12.31"</f>
        <v>R12.12.31</v>
      </c>
    </row>
    <row r="426" spans="1:6" x14ac:dyDescent="0.2">
      <c r="A426" t="str">
        <f>"第829号"</f>
        <v>第829号</v>
      </c>
      <c r="B426" t="str">
        <f>"有限会社吉永薬局"</f>
        <v>有限会社吉永薬局</v>
      </c>
      <c r="C426" t="str">
        <f>"有限会社吉永薬局　ハート薬局"</f>
        <v>有限会社吉永薬局　ハート薬局</v>
      </c>
      <c r="D426" t="str">
        <f>"玉名市築地字平町１０番７"</f>
        <v>玉名市築地字平町１０番７</v>
      </c>
      <c r="E426" t="str">
        <f>"R07.01.01"</f>
        <v>R07.01.01</v>
      </c>
      <c r="F426" t="str">
        <f>"R12.12.31"</f>
        <v>R12.12.31</v>
      </c>
    </row>
    <row r="427" spans="1:6" x14ac:dyDescent="0.2">
      <c r="A427" t="str">
        <f>"第797号"</f>
        <v>第797号</v>
      </c>
      <c r="B427" t="str">
        <f>"合資会社　岱陽堂"</f>
        <v>合資会社　岱陽堂</v>
      </c>
      <c r="C427" t="str">
        <f>"合資会社　岱陽堂"</f>
        <v>合資会社　岱陽堂</v>
      </c>
      <c r="D427" t="str">
        <f>"玉名市中１８１３"</f>
        <v>玉名市中１８１３</v>
      </c>
      <c r="E427" t="str">
        <f>"R07.01.01"</f>
        <v>R07.01.01</v>
      </c>
      <c r="F427" t="str">
        <f>"R12.12.31"</f>
        <v>R12.12.31</v>
      </c>
    </row>
    <row r="428" spans="1:6" x14ac:dyDescent="0.2">
      <c r="A428" t="str">
        <f>"第1199号"</f>
        <v>第1199号</v>
      </c>
      <c r="B428" t="str">
        <f>"株式会社アレス"</f>
        <v>株式会社アレス</v>
      </c>
      <c r="C428" t="str">
        <f>"スーパーキッド　荒尾店"</f>
        <v>スーパーキッド　荒尾店</v>
      </c>
      <c r="D428" t="str">
        <f>"荒尾市荒尾４４４２－１１"</f>
        <v>荒尾市荒尾４４４２－１１</v>
      </c>
      <c r="E428" t="str">
        <f>"R06.01.01"</f>
        <v>R06.01.01</v>
      </c>
      <c r="F428" t="str">
        <f>"R11.12.31"</f>
        <v>R11.12.31</v>
      </c>
    </row>
    <row r="429" spans="1:6" x14ac:dyDescent="0.2">
      <c r="A429" t="str">
        <f>"第1399号"</f>
        <v>第1399号</v>
      </c>
      <c r="B429" t="str">
        <f>"株式会社ドラッグストアモリ"</f>
        <v>株式会社ドラッグストアモリ</v>
      </c>
      <c r="C429" t="str">
        <f>"ドラッグストアモリ　玉名店"</f>
        <v>ドラッグストアモリ　玉名店</v>
      </c>
      <c r="D429" t="str">
        <f>"玉名市岱明町下前原字山浦３１７番"</f>
        <v>玉名市岱明町下前原字山浦３１７番</v>
      </c>
      <c r="E429" t="str">
        <f>"R04.10.11"</f>
        <v>R04.10.11</v>
      </c>
      <c r="F429" t="str">
        <f>"R10.10.10"</f>
        <v>R10.10.10</v>
      </c>
    </row>
    <row r="430" spans="1:6" x14ac:dyDescent="0.2">
      <c r="A430" t="str">
        <f>"第1481号"</f>
        <v>第1481号</v>
      </c>
      <c r="B430" t="str">
        <f>"株式会社マツモトキヨシ九州販売"</f>
        <v>株式会社マツモトキヨシ九州販売</v>
      </c>
      <c r="C430" t="str">
        <f>"薬　マツモトキヨシ　イオンタウン荒尾店"</f>
        <v>薬　マツモトキヨシ　イオンタウン荒尾店</v>
      </c>
      <c r="D430" t="str">
        <f>"荒尾市原万田字八反田６３０－１"</f>
        <v>荒尾市原万田字八反田６３０－１</v>
      </c>
      <c r="E430" t="str">
        <f>"R06.10.24"</f>
        <v>R06.10.24</v>
      </c>
      <c r="F430" t="str">
        <f>"R12.10.23"</f>
        <v>R12.10.23</v>
      </c>
    </row>
    <row r="431" spans="1:6" x14ac:dyDescent="0.2">
      <c r="A431" t="str">
        <f>"第1702号"</f>
        <v>第1702号</v>
      </c>
      <c r="B431" t="str">
        <f>"有限会社つばめ薬局"</f>
        <v>有限会社つばめ薬局</v>
      </c>
      <c r="C431" t="str">
        <f>"つばめ薬局高瀬"</f>
        <v>つばめ薬局高瀬</v>
      </c>
      <c r="D431" t="str">
        <f>"玉名市高瀬２３２－３"</f>
        <v>玉名市高瀬２３２－３</v>
      </c>
      <c r="E431" t="str">
        <f>"R06.09.18"</f>
        <v>R06.09.18</v>
      </c>
      <c r="F431" t="str">
        <f>"R11.12.31"</f>
        <v>R11.12.31</v>
      </c>
    </row>
    <row r="432" spans="1:6" x14ac:dyDescent="0.2">
      <c r="A432" t="str">
        <f>"第1700号"</f>
        <v>第1700号</v>
      </c>
      <c r="B432" t="str">
        <f>"株式会社グリット"</f>
        <v>株式会社グリット</v>
      </c>
      <c r="C432" t="str">
        <f>"大信薬局　荒尾店"</f>
        <v>大信薬局　荒尾店</v>
      </c>
      <c r="D432" t="str">
        <f>"荒尾市荒尾1997番地"</f>
        <v>荒尾市荒尾1997番地</v>
      </c>
      <c r="E432" t="str">
        <f>"R06.09.13"</f>
        <v>R06.09.13</v>
      </c>
      <c r="F432" t="str">
        <f>"R11.12.31"</f>
        <v>R11.12.31</v>
      </c>
    </row>
    <row r="433" spans="1:6" x14ac:dyDescent="0.2">
      <c r="A433" t="str">
        <f>"第1070号"</f>
        <v>第1070号</v>
      </c>
      <c r="B433" t="str">
        <f>"東邦薬品株式会社"</f>
        <v>東邦薬品株式会社</v>
      </c>
      <c r="C433" t="str">
        <f>"東邦薬品株式会社ＴＢＣ九州"</f>
        <v>東邦薬品株式会社ＴＢＣ九州</v>
      </c>
      <c r="D433" t="str">
        <f>"荒尾市水野１６８４番１３"</f>
        <v>荒尾市水野１６８４番１３</v>
      </c>
      <c r="E433" t="str">
        <f>"R05.04.01"</f>
        <v>R05.04.01</v>
      </c>
      <c r="F433" t="str">
        <f>"R10.12.31"</f>
        <v>R10.12.31</v>
      </c>
    </row>
    <row r="434" spans="1:6" x14ac:dyDescent="0.2">
      <c r="A434" t="str">
        <f>"第235号"</f>
        <v>第235号</v>
      </c>
      <c r="B434" t="str">
        <f>"株式会社アステム"</f>
        <v>株式会社アステム</v>
      </c>
      <c r="C434" t="str">
        <f>"株式会社アステム有明支店"</f>
        <v>株式会社アステム有明支店</v>
      </c>
      <c r="D434" t="str">
        <f>"荒尾市原万田７０５"</f>
        <v>荒尾市原万田７０５</v>
      </c>
      <c r="E434" t="str">
        <f>"R05.01.01"</f>
        <v>R05.01.01</v>
      </c>
      <c r="F434" t="str">
        <f>"R10.12.31"</f>
        <v>R10.12.31</v>
      </c>
    </row>
    <row r="435" spans="1:6" x14ac:dyDescent="0.2">
      <c r="A435" t="str">
        <f>"第1553号"</f>
        <v>第1553号</v>
      </c>
      <c r="B435" t="str">
        <f>"株式会社アインファーマシーズ"</f>
        <v>株式会社アインファーマシーズ</v>
      </c>
      <c r="C435" t="str">
        <f>"アイン薬局　くまもと県北病院店"</f>
        <v>アイン薬局　くまもと県北病院店</v>
      </c>
      <c r="D435" t="str">
        <f>"玉名市玉名８４２番地"</f>
        <v>玉名市玉名８４２番地</v>
      </c>
      <c r="E435" t="str">
        <f>"R03.02.15"</f>
        <v>R03.02.15</v>
      </c>
      <c r="F435" t="str">
        <f>"R09.02.14"</f>
        <v>R09.02.14</v>
      </c>
    </row>
    <row r="436" spans="1:6" x14ac:dyDescent="0.2">
      <c r="A436" t="str">
        <f>"第1292号"</f>
        <v>第1292号</v>
      </c>
      <c r="B436" t="str">
        <f>"株式会社アレス"</f>
        <v>株式会社アレス</v>
      </c>
      <c r="C436" t="str">
        <f>"スーパーキッド　玉名店"</f>
        <v>スーパーキッド　玉名店</v>
      </c>
      <c r="D436" t="str">
        <f>"玉名市築地３４９"</f>
        <v>玉名市築地３４９</v>
      </c>
      <c r="E436" t="str">
        <f>"R02.01.01"</f>
        <v>R02.01.01</v>
      </c>
      <c r="F436" t="str">
        <f>"R07.12.31"</f>
        <v>R07.12.31</v>
      </c>
    </row>
    <row r="437" spans="1:6" x14ac:dyDescent="0.2">
      <c r="A437" t="str">
        <f>"第1412号"</f>
        <v>第1412号</v>
      </c>
      <c r="B437" t="str">
        <f>"総合メディカル株式会社"</f>
        <v>総合メディカル株式会社</v>
      </c>
      <c r="C437" t="str">
        <f>"そうごう薬局　有明長洲店"</f>
        <v>そうごう薬局　有明長洲店</v>
      </c>
      <c r="D437" t="str">
        <f>"玉名郡長洲町宮野２７７５番地１"</f>
        <v>玉名郡長洲町宮野２７７５番地１</v>
      </c>
      <c r="E437" t="str">
        <f>"R05.02.09"</f>
        <v>R05.02.09</v>
      </c>
      <c r="F437" t="str">
        <f>"R11.02.08"</f>
        <v>R11.02.08</v>
      </c>
    </row>
    <row r="438" spans="1:6" x14ac:dyDescent="0.2">
      <c r="A438" t="str">
        <f>"第1604号"</f>
        <v>第1604号</v>
      </c>
      <c r="B438" t="str">
        <f>"株式会社スカイメディカルファーマ"</f>
        <v>株式会社スカイメディカルファーマ</v>
      </c>
      <c r="C438" t="str">
        <f>"スカイメディカル荒尾薬局"</f>
        <v>スカイメディカル荒尾薬局</v>
      </c>
      <c r="D438" t="str">
        <f>"荒尾市荒尾４１６０－２７０"</f>
        <v>荒尾市荒尾４１６０－２７０</v>
      </c>
      <c r="E438" t="str">
        <f>"R04.02.18"</f>
        <v>R04.02.18</v>
      </c>
      <c r="F438" t="str">
        <f>"R09.12.31"</f>
        <v>R09.12.31</v>
      </c>
    </row>
    <row r="439" spans="1:6" x14ac:dyDescent="0.2">
      <c r="A439" t="str">
        <f>"第1136号"</f>
        <v>第1136号</v>
      </c>
      <c r="B439" t="str">
        <f>"株式会社ドラッグストアモリ"</f>
        <v>株式会社ドラッグストアモリ</v>
      </c>
      <c r="C439" t="str">
        <f>"ドラッグストア　モリ　荒尾店"</f>
        <v>ドラッグストア　モリ　荒尾店</v>
      </c>
      <c r="D439" t="str">
        <f>"荒尾市荒尾４１６０番地２"</f>
        <v>荒尾市荒尾４１６０番地２</v>
      </c>
      <c r="E439" t="str">
        <f>"R06.05.29"</f>
        <v>R06.05.29</v>
      </c>
      <c r="F439" t="str">
        <f>"R12.05.28"</f>
        <v>R12.05.28</v>
      </c>
    </row>
    <row r="440" spans="1:6" x14ac:dyDescent="0.2">
      <c r="A440" t="str">
        <f>"第1249号"</f>
        <v>第1249号</v>
      </c>
      <c r="B440" t="str">
        <f>"株式会社ヨネザワ"</f>
        <v>株式会社ヨネザワ</v>
      </c>
      <c r="C440" t="str">
        <f>"メガネのヨネザワ　ゆめマート玉名店"</f>
        <v>メガネのヨネザワ　ゆめマート玉名店</v>
      </c>
      <c r="D440" t="str">
        <f>"玉名市亀甲１３４"</f>
        <v>玉名市亀甲１３４</v>
      </c>
      <c r="E440" t="str">
        <f>"R01.10.25"</f>
        <v>R01.10.25</v>
      </c>
      <c r="F440" t="str">
        <f>"R07.10.24"</f>
        <v>R07.10.24</v>
      </c>
    </row>
    <row r="441" spans="1:6" x14ac:dyDescent="0.2">
      <c r="A441" t="str">
        <f>"第1355号"</f>
        <v>第1355号</v>
      </c>
      <c r="B441" t="str">
        <f>"有限会社エヌ・エス・ケー"</f>
        <v>有限会社エヌ・エス・ケー</v>
      </c>
      <c r="C441" t="str">
        <f>"有限会社エヌ・エス・ケー"</f>
        <v>有限会社エヌ・エス・ケー</v>
      </c>
      <c r="D441" t="str">
        <f>"荒尾市緑ケ丘二丁目５番地３－６０９号"</f>
        <v>荒尾市緑ケ丘二丁目５番地３－６０９号</v>
      </c>
      <c r="E441" t="str">
        <f>"R03.05.27"</f>
        <v>R03.05.27</v>
      </c>
      <c r="F441" t="str">
        <f>"R09.05.26"</f>
        <v>R09.05.26</v>
      </c>
    </row>
    <row r="442" spans="1:6" x14ac:dyDescent="0.2">
      <c r="A442" t="str">
        <f>"第1117号"</f>
        <v>第1117号</v>
      </c>
      <c r="B442" t="str">
        <f>"株式会社荒尾介護システム"</f>
        <v>株式会社荒尾介護システム</v>
      </c>
      <c r="C442" t="str">
        <f>"株式会社荒尾介護システム"</f>
        <v>株式会社荒尾介護システム</v>
      </c>
      <c r="D442" t="str">
        <f>"荒尾市原万田６９６番地９"</f>
        <v>荒尾市原万田６９６番地９</v>
      </c>
      <c r="E442" t="str">
        <f>"R06.02.15"</f>
        <v>R06.02.15</v>
      </c>
      <c r="F442" t="str">
        <f>"R12.02.14"</f>
        <v>R12.02.14</v>
      </c>
    </row>
    <row r="443" spans="1:6" x14ac:dyDescent="0.2">
      <c r="A443" t="str">
        <f>"第1682号"</f>
        <v>第1682号</v>
      </c>
      <c r="B443" t="str">
        <f>"株式会社コスモス薬品"</f>
        <v>株式会社コスモス薬品</v>
      </c>
      <c r="C443" t="str">
        <f>"ドラッグコスモス荒尾店"</f>
        <v>ドラッグコスモス荒尾店</v>
      </c>
      <c r="D443" t="str">
        <f>"荒尾市宮内出目３４１"</f>
        <v>荒尾市宮内出目３４１</v>
      </c>
      <c r="E443" t="str">
        <f>"R06.02.05"</f>
        <v>R06.02.05</v>
      </c>
      <c r="F443" t="str">
        <f>"R12.02.04"</f>
        <v>R12.02.04</v>
      </c>
    </row>
    <row r="444" spans="1:6" x14ac:dyDescent="0.2">
      <c r="A444" t="str">
        <f>"第422号"</f>
        <v>第422号</v>
      </c>
      <c r="B444" t="str">
        <f>"総合メディカル株式会社"</f>
        <v>総合メディカル株式会社</v>
      </c>
      <c r="C444" t="str">
        <f>"そうごう薬局玉名店"</f>
        <v>そうごう薬局玉名店</v>
      </c>
      <c r="D444" t="str">
        <f>"玉名市寺田４３０－４"</f>
        <v>玉名市寺田４３０－４</v>
      </c>
      <c r="E444" t="str">
        <f>"R05.01.01"</f>
        <v>R05.01.01</v>
      </c>
      <c r="F444" t="str">
        <f>"R10.12.31"</f>
        <v>R10.12.31</v>
      </c>
    </row>
    <row r="445" spans="1:6" x14ac:dyDescent="0.2">
      <c r="A445" t="str">
        <f>"第1514号"</f>
        <v>第1514号</v>
      </c>
      <c r="B445" t="str">
        <f>"キヤノンシステムアンドサポート株式会社"</f>
        <v>キヤノンシステムアンドサポート株式会社</v>
      </c>
      <c r="C445" t="str">
        <f>"キヤノンシステムアンドサポート株式会社　玉名サービスセンター"</f>
        <v>キヤノンシステムアンドサポート株式会社　玉名サービスセンター</v>
      </c>
      <c r="D445" t="str">
        <f>"玉名市六田２９－３"</f>
        <v>玉名市六田２９－３</v>
      </c>
      <c r="E445" t="str">
        <f>"R01.09.19"</f>
        <v>R01.09.19</v>
      </c>
      <c r="F445" t="str">
        <f>"R07.09.18"</f>
        <v>R07.09.18</v>
      </c>
    </row>
    <row r="446" spans="1:6" x14ac:dyDescent="0.2">
      <c r="A446" t="str">
        <f>"第1456号"</f>
        <v>第1456号</v>
      </c>
      <c r="B446" t="str">
        <f>"株式会社　荒文堂"</f>
        <v>株式会社　荒文堂</v>
      </c>
      <c r="C446" t="str">
        <f>"株式会社　荒文堂"</f>
        <v>株式会社　荒文堂</v>
      </c>
      <c r="D446" t="str">
        <f>"荒尾市宮内６０７番地"</f>
        <v>荒尾市宮内６０７番地</v>
      </c>
      <c r="E446" t="str">
        <f>"R06.02.14"</f>
        <v>R06.02.14</v>
      </c>
      <c r="F446" t="str">
        <f>"R12.02.13"</f>
        <v>R12.02.13</v>
      </c>
    </row>
    <row r="447" spans="1:6" x14ac:dyDescent="0.2">
      <c r="A447" t="str">
        <f>"第581号"</f>
        <v>第581号</v>
      </c>
      <c r="B447" t="str">
        <f>"株式会社旭製作所"</f>
        <v>株式会社旭製作所</v>
      </c>
      <c r="C447" t="str">
        <f>"株式会社旭製作所"</f>
        <v>株式会社旭製作所</v>
      </c>
      <c r="D447" t="str">
        <f>"荒尾市高浜１９７８番地"</f>
        <v>荒尾市高浜１９７８番地</v>
      </c>
      <c r="E447" t="str">
        <f>"R05.01.01"</f>
        <v>R05.01.01</v>
      </c>
      <c r="F447" t="str">
        <f>"R10.12.31"</f>
        <v>R10.12.31</v>
      </c>
    </row>
    <row r="448" spans="1:6" x14ac:dyDescent="0.2">
      <c r="A448" t="str">
        <f>"第1478号"</f>
        <v>第1478号</v>
      </c>
      <c r="B448" t="str">
        <f>"有限会社ハッピー薬局"</f>
        <v>有限会社ハッピー薬局</v>
      </c>
      <c r="C448" t="str">
        <f>"ハッピー薬局　松木店"</f>
        <v>ハッピー薬局　松木店</v>
      </c>
      <c r="D448" t="str">
        <f>"玉名市松木１３番地３"</f>
        <v>玉名市松木１３番地３</v>
      </c>
      <c r="E448" t="str">
        <f>"R06.01.01"</f>
        <v>R06.01.01</v>
      </c>
      <c r="F448" t="str">
        <f>"R11.12.31"</f>
        <v>R11.12.31</v>
      </c>
    </row>
    <row r="449" spans="1:6" x14ac:dyDescent="0.2">
      <c r="A449" t="str">
        <f>"第1477号"</f>
        <v>第1477号</v>
      </c>
      <c r="B449" t="str">
        <f>"株式会社Ｂｅｔｔｅｒ　Ｔｏｍｏｒｒｏｗ　Ｐｈａｒｍａｃｙ"</f>
        <v>株式会社Ｂｅｔｔｅｒ　Ｔｏｍｏｒｒｏｗ　Ｐｈａｒｍａｃｙ</v>
      </c>
      <c r="C449" t="str">
        <f>"地域の薬局"</f>
        <v>地域の薬局</v>
      </c>
      <c r="D449" t="str">
        <f>"玉名郡玉東町木葉７５５番７"</f>
        <v>玉名郡玉東町木葉７５５番７</v>
      </c>
      <c r="E449" t="str">
        <f>"R06.01.01"</f>
        <v>R06.01.01</v>
      </c>
      <c r="F449" t="str">
        <f>"R11.12.31"</f>
        <v>R11.12.31</v>
      </c>
    </row>
    <row r="450" spans="1:6" x14ac:dyDescent="0.2">
      <c r="A450" t="str">
        <f>"第1450号"</f>
        <v>第1450号</v>
      </c>
      <c r="B450" t="str">
        <f>"株式会社　微笑"</f>
        <v>株式会社　微笑</v>
      </c>
      <c r="C450" t="str">
        <f>"株式会社　微笑"</f>
        <v>株式会社　微笑</v>
      </c>
      <c r="D450" t="str">
        <f>"玉名市繁根木２５９番地１８"</f>
        <v>玉名市繁根木２５９番地１８</v>
      </c>
      <c r="E450" t="str">
        <f>"R05.12.08"</f>
        <v>R05.12.08</v>
      </c>
      <c r="F450" t="str">
        <f>"R11.12.07"</f>
        <v>R11.12.07</v>
      </c>
    </row>
    <row r="451" spans="1:6" x14ac:dyDescent="0.2">
      <c r="A451" t="str">
        <f>"第1447号"</f>
        <v>第1447号</v>
      </c>
      <c r="B451" t="str">
        <f>"有限会社ハッピー薬局"</f>
        <v>有限会社ハッピー薬局</v>
      </c>
      <c r="C451" t="str">
        <f>"ハッピー薬局　高道店"</f>
        <v>ハッピー薬局　高道店</v>
      </c>
      <c r="D451" t="str">
        <f>"玉名市岱明町高道１１９５"</f>
        <v>玉名市岱明町高道１１９５</v>
      </c>
      <c r="E451" t="str">
        <f>"R05.11.08"</f>
        <v>R05.11.08</v>
      </c>
      <c r="F451" t="str">
        <f>"R11.11.07"</f>
        <v>R11.11.07</v>
      </c>
    </row>
    <row r="452" spans="1:6" x14ac:dyDescent="0.2">
      <c r="A452" t="str">
        <f>"第1554号"</f>
        <v>第1554号</v>
      </c>
      <c r="B452" t="str">
        <f>"株式会社新生堂薬局"</f>
        <v>株式会社新生堂薬局</v>
      </c>
      <c r="C452" t="str">
        <f>"新生堂薬局　くまもと県北病院前店"</f>
        <v>新生堂薬局　くまもと県北病院前店</v>
      </c>
      <c r="D452" t="str">
        <f>"玉名市玉名４２９番１"</f>
        <v>玉名市玉名４２９番１</v>
      </c>
      <c r="E452" t="str">
        <f>"R03.03.01"</f>
        <v>R03.03.01</v>
      </c>
      <c r="F452" t="str">
        <f>"R09.02.28"</f>
        <v>R09.02.28</v>
      </c>
    </row>
    <row r="453" spans="1:6" x14ac:dyDescent="0.2">
      <c r="A453" t="str">
        <f>"第1026号"</f>
        <v>第1026号</v>
      </c>
      <c r="B453" t="str">
        <f>"翔佑会株式会社"</f>
        <v>翔佑会株式会社</v>
      </c>
      <c r="C453" t="str">
        <f>"長洲まりん薬局"</f>
        <v>長洲まりん薬局</v>
      </c>
      <c r="D453" t="str">
        <f>"玉名郡長洲町長洲２７１５－１"</f>
        <v>玉名郡長洲町長洲２７１５－１</v>
      </c>
      <c r="E453" t="str">
        <f>"R04.01.01"</f>
        <v>R04.01.01</v>
      </c>
      <c r="F453" t="str">
        <f>"R09.12.31"</f>
        <v>R09.12.31</v>
      </c>
    </row>
    <row r="454" spans="1:6" x14ac:dyDescent="0.2">
      <c r="A454" t="str">
        <f>"第1109号"</f>
        <v>第1109号</v>
      </c>
      <c r="B454" t="str">
        <f>"株式会社ファーマダイワ"</f>
        <v>株式会社ファーマダイワ</v>
      </c>
      <c r="C454" t="str">
        <f>"しょうぶ薬局"</f>
        <v>しょうぶ薬局</v>
      </c>
      <c r="D454" t="str">
        <f>"玉名市岩崎６５８－１"</f>
        <v>玉名市岩崎６５８－１</v>
      </c>
      <c r="E454" t="str">
        <f>"R05.12.13"</f>
        <v>R05.12.13</v>
      </c>
      <c r="F454" t="str">
        <f>"R11.12.12"</f>
        <v>R11.12.12</v>
      </c>
    </row>
    <row r="455" spans="1:6" x14ac:dyDescent="0.2">
      <c r="A455" t="str">
        <f>"第1430号"</f>
        <v>第1430号</v>
      </c>
      <c r="B455" t="str">
        <f>"株式会社コスモス薬品"</f>
        <v>株式会社コスモス薬品</v>
      </c>
      <c r="C455" t="str">
        <f>"ドラッグコスモス川登店"</f>
        <v>ドラッグコスモス川登店</v>
      </c>
      <c r="D455" t="str">
        <f>"荒尾市川登1925-1"</f>
        <v>荒尾市川登1925-1</v>
      </c>
      <c r="E455" t="str">
        <f>"R05.08.15"</f>
        <v>R05.08.15</v>
      </c>
      <c r="F455" t="str">
        <f>"R11.08.14"</f>
        <v>R11.08.14</v>
      </c>
    </row>
    <row r="456" spans="1:6" x14ac:dyDescent="0.2">
      <c r="A456" t="str">
        <f>"第1637号"</f>
        <v>第1637号</v>
      </c>
      <c r="B456" t="str">
        <f>"株式会社コスモス薬品"</f>
        <v>株式会社コスモス薬品</v>
      </c>
      <c r="C456" t="str">
        <f>"ドラッグコスモス玉名大倉店"</f>
        <v>ドラッグコスモス玉名大倉店</v>
      </c>
      <c r="D456" t="str">
        <f>"玉名市寺田字大堂１６－１"</f>
        <v>玉名市寺田字大堂１６－１</v>
      </c>
      <c r="E456" t="str">
        <f>"R05.05.10"</f>
        <v>R05.05.10</v>
      </c>
      <c r="F456" t="str">
        <f>"R11.05.09"</f>
        <v>R11.05.09</v>
      </c>
    </row>
    <row r="457" spans="1:6" x14ac:dyDescent="0.2">
      <c r="A457" t="str">
        <f>"第1403号"</f>
        <v>第1403号</v>
      </c>
      <c r="B457" t="str">
        <f>"株式会社コスモス薬品"</f>
        <v>株式会社コスモス薬品</v>
      </c>
      <c r="C457" t="str">
        <f>"ドラッグコスモス六田店"</f>
        <v>ドラッグコスモス六田店</v>
      </c>
      <c r="D457" t="str">
        <f>"玉名市六田１３ー４"</f>
        <v>玉名市六田１３ー４</v>
      </c>
      <c r="E457" t="str">
        <f>"R04.10.19"</f>
        <v>R04.10.19</v>
      </c>
      <c r="F457" t="str">
        <f>"R10.10.18"</f>
        <v>R10.10.18</v>
      </c>
    </row>
    <row r="458" spans="1:6" x14ac:dyDescent="0.2">
      <c r="A458" t="str">
        <f>"第1402号"</f>
        <v>第1402号</v>
      </c>
      <c r="B458" t="str">
        <f>"株式会社コスモス薬品"</f>
        <v>株式会社コスモス薬品</v>
      </c>
      <c r="C458" t="str">
        <f>"ドラッグコスモスグリーンランド店"</f>
        <v>ドラッグコスモスグリーンランド店</v>
      </c>
      <c r="D458" t="str">
        <f>"荒尾市宮内１０９２－３５"</f>
        <v>荒尾市宮内１０９２－３５</v>
      </c>
      <c r="E458" t="str">
        <f>"R04.10.19"</f>
        <v>R04.10.19</v>
      </c>
      <c r="F458" t="str">
        <f>"R10.10.18"</f>
        <v>R10.10.18</v>
      </c>
    </row>
    <row r="459" spans="1:6" x14ac:dyDescent="0.2">
      <c r="A459" t="str">
        <f>"第1431号"</f>
        <v>第1431号</v>
      </c>
      <c r="B459" t="str">
        <f>"株式会社コスモス薬品"</f>
        <v>株式会社コスモス薬品</v>
      </c>
      <c r="C459" t="str">
        <f>"ドラッグコスモス長洲店"</f>
        <v>ドラッグコスモス長洲店</v>
      </c>
      <c r="D459" t="str">
        <f>"玉名郡長洲町長洲字一の割２６２１番"</f>
        <v>玉名郡長洲町長洲字一の割２６２１番</v>
      </c>
      <c r="E459" t="str">
        <f>"R05.08.15"</f>
        <v>R05.08.15</v>
      </c>
      <c r="F459" t="str">
        <f>"R11.08.14"</f>
        <v>R11.08.14</v>
      </c>
    </row>
    <row r="460" spans="1:6" x14ac:dyDescent="0.2">
      <c r="A460" t="str">
        <f>"第1584号"</f>
        <v>第1584号</v>
      </c>
      <c r="B460" t="str">
        <f>"株式会社スカイメディカルホールディングス"</f>
        <v>株式会社スカイメディカルホールディングス</v>
      </c>
      <c r="C460" t="str">
        <f>"スカイメディカル玉名薬局"</f>
        <v>スカイメディカル玉名薬局</v>
      </c>
      <c r="D460" t="str">
        <f>"玉名市築地字大坪１９６－１"</f>
        <v>玉名市築地字大坪１９６－１</v>
      </c>
      <c r="E460" t="str">
        <f>"R03.06.30"</f>
        <v>R03.06.30</v>
      </c>
      <c r="F460" t="str">
        <f>"R09.06.29"</f>
        <v>R09.06.29</v>
      </c>
    </row>
    <row r="461" spans="1:6" x14ac:dyDescent="0.2">
      <c r="A461" t="str">
        <f>"第1661号"</f>
        <v>第1661号</v>
      </c>
      <c r="B461" t="str">
        <f>"株式会社野相薬局"</f>
        <v>株式会社野相薬局</v>
      </c>
      <c r="C461" t="str">
        <f>"みらい薬局"</f>
        <v>みらい薬局</v>
      </c>
      <c r="D461" t="str">
        <f>"荒尾市川登字新屋敷１９０７番８１"</f>
        <v>荒尾市川登字新屋敷１９０７番８１</v>
      </c>
      <c r="E461" t="str">
        <f>"R05.08.09"</f>
        <v>R05.08.09</v>
      </c>
      <c r="F461" t="str">
        <f>"R11.08.08"</f>
        <v>R11.08.08</v>
      </c>
    </row>
    <row r="462" spans="1:6" x14ac:dyDescent="0.2">
      <c r="A462" t="str">
        <f>"第239号"</f>
        <v>第239号</v>
      </c>
      <c r="B462" t="str">
        <f>"株式会社アトル"</f>
        <v>株式会社アトル</v>
      </c>
      <c r="C462" t="str">
        <f>"株式会社アトル玉名支店"</f>
        <v>株式会社アトル玉名支店</v>
      </c>
      <c r="D462" t="str">
        <f>"玉名市岱明町野口６２９－１"</f>
        <v>玉名市岱明町野口６２９－１</v>
      </c>
      <c r="E462" t="str">
        <f>"R05.01.01"</f>
        <v>R05.01.01</v>
      </c>
      <c r="F462" t="str">
        <f>"R10.12.31"</f>
        <v>R10.12.31</v>
      </c>
    </row>
    <row r="463" spans="1:6" x14ac:dyDescent="0.2">
      <c r="A463" t="str">
        <f>"第507号"</f>
        <v>第507号</v>
      </c>
      <c r="B463" t="str">
        <f>"有限会社あけぼの薬局"</f>
        <v>有限会社あけぼの薬局</v>
      </c>
      <c r="C463" t="str">
        <f>"有限会社あけぼの薬局"</f>
        <v>有限会社あけぼの薬局</v>
      </c>
      <c r="D463" t="str">
        <f>"荒尾市荒尾２６６６－１"</f>
        <v>荒尾市荒尾２６６６－１</v>
      </c>
      <c r="E463" t="str">
        <f>"R05.01.01"</f>
        <v>R05.01.01</v>
      </c>
      <c r="F463" t="str">
        <f>"R10.12.31"</f>
        <v>R10.12.31</v>
      </c>
    </row>
    <row r="464" spans="1:6" x14ac:dyDescent="0.2">
      <c r="A464" t="str">
        <f>"第1322号"</f>
        <v>第1322号</v>
      </c>
      <c r="B464" t="str">
        <f>"総合メディカル株式会社"</f>
        <v>総合メディカル株式会社</v>
      </c>
      <c r="C464" t="str">
        <f>"そうごう薬局　高瀬店"</f>
        <v>そうごう薬局　高瀬店</v>
      </c>
      <c r="D464" t="str">
        <f>"玉名市高瀬３２３番２"</f>
        <v>玉名市高瀬３２３番２</v>
      </c>
      <c r="E464" t="str">
        <f>"R02.01.01"</f>
        <v>R02.01.01</v>
      </c>
      <c r="F464" t="str">
        <f>"R07.12.31"</f>
        <v>R07.12.31</v>
      </c>
    </row>
    <row r="465" spans="1:6" x14ac:dyDescent="0.2">
      <c r="A465" t="str">
        <f>"第228号"</f>
        <v>第228号</v>
      </c>
      <c r="B465" t="str">
        <f>"総合メディカル株式会社"</f>
        <v>総合メディカル株式会社</v>
      </c>
      <c r="C465" t="str">
        <f>"そうごう薬局荒尾店"</f>
        <v>そうごう薬局荒尾店</v>
      </c>
      <c r="D465" t="str">
        <f>"荒尾市荒尾８１３番地３"</f>
        <v>荒尾市荒尾８１３番地３</v>
      </c>
      <c r="E465" t="str">
        <f>"R05.01.01"</f>
        <v>R05.01.01</v>
      </c>
      <c r="F465" t="str">
        <f>"R10.12.31"</f>
        <v>R10.12.31</v>
      </c>
    </row>
    <row r="466" spans="1:6" x14ac:dyDescent="0.2">
      <c r="A466" t="str">
        <f>"第1659号"</f>
        <v>第1659号</v>
      </c>
      <c r="B466" t="str">
        <f>"株式会社新生堂薬局"</f>
        <v>株式会社新生堂薬局</v>
      </c>
      <c r="C466" t="str">
        <f>"新生堂薬局　南関店"</f>
        <v>新生堂薬局　南関店</v>
      </c>
      <c r="D466" t="str">
        <f>"玉名郡南関町関町１２８４"</f>
        <v>玉名郡南関町関町１２８４</v>
      </c>
      <c r="E466" t="str">
        <f>"R05.07.13"</f>
        <v>R05.07.13</v>
      </c>
      <c r="F466" t="str">
        <f>"R11.07.12"</f>
        <v>R11.07.12</v>
      </c>
    </row>
    <row r="467" spans="1:6" x14ac:dyDescent="0.2">
      <c r="A467" t="str">
        <f>"第824号"</f>
        <v>第824号</v>
      </c>
      <c r="B467" t="str">
        <f>"総合メディカル株式会社"</f>
        <v>総合メディカル株式会社</v>
      </c>
      <c r="C467" t="str">
        <f>"そうごう薬局四ツ山店"</f>
        <v>そうごう薬局四ツ山店</v>
      </c>
      <c r="D467" t="str">
        <f>"荒尾市四ツ山町３丁目２－２９"</f>
        <v>荒尾市四ツ山町３丁目２－２９</v>
      </c>
      <c r="E467" t="str">
        <f>"R01.11.27"</f>
        <v>R01.11.27</v>
      </c>
      <c r="F467" t="str">
        <f>"R07.11.26"</f>
        <v>R07.11.26</v>
      </c>
    </row>
    <row r="468" spans="1:6" x14ac:dyDescent="0.2">
      <c r="A468" t="str">
        <f>"第238号"</f>
        <v>第238号</v>
      </c>
      <c r="B468" t="str">
        <f>"総合メディカル株式会社"</f>
        <v>総合メディカル株式会社</v>
      </c>
      <c r="C468" t="str">
        <f>"そうごう薬局立願寺店"</f>
        <v>そうごう薬局立願寺店</v>
      </c>
      <c r="D468" t="str">
        <f>"玉名市山田字高岡原２０１９－１"</f>
        <v>玉名市山田字高岡原２０１９－１</v>
      </c>
      <c r="E468" t="str">
        <f>"R05.01.01"</f>
        <v>R05.01.01</v>
      </c>
      <c r="F468" t="str">
        <f>"R10.12.31"</f>
        <v>R10.12.31</v>
      </c>
    </row>
    <row r="469" spans="1:6" x14ac:dyDescent="0.2">
      <c r="A469" t="str">
        <f>"第1407号"</f>
        <v>第1407号</v>
      </c>
      <c r="B469" t="str">
        <f>"有限会社瀬戸薬局"</f>
        <v>有限会社瀬戸薬局</v>
      </c>
      <c r="C469" t="str">
        <f>"瀬戸薬局　四ツ山店"</f>
        <v>瀬戸薬局　四ツ山店</v>
      </c>
      <c r="D469" t="str">
        <f>"荒尾市四ツ山町３丁目６－１"</f>
        <v>荒尾市四ツ山町３丁目６－１</v>
      </c>
      <c r="E469" t="str">
        <f>"R05.01.01"</f>
        <v>R05.01.01</v>
      </c>
      <c r="F469" t="str">
        <f>"R10.12.31"</f>
        <v>R10.12.31</v>
      </c>
    </row>
    <row r="470" spans="1:6" x14ac:dyDescent="0.2">
      <c r="A470" t="str">
        <f>"第1417号"</f>
        <v>第1417号</v>
      </c>
      <c r="B470" t="str">
        <f>"株式会社ＢＯＯＫＳあんとく"</f>
        <v>株式会社ＢＯＯＫＳあんとく</v>
      </c>
      <c r="C470" t="str">
        <f>"ＢＯＯＫＳあんとく荒尾店"</f>
        <v>ＢＯＯＫＳあんとく荒尾店</v>
      </c>
      <c r="D470" t="str">
        <f>"荒尾市荒尾４１６０－２５１"</f>
        <v>荒尾市荒尾４１６０－２５１</v>
      </c>
      <c r="E470" t="str">
        <f>"R05.04.05"</f>
        <v>R05.04.05</v>
      </c>
      <c r="F470" t="str">
        <f>"R11.04.04"</f>
        <v>R11.04.04</v>
      </c>
    </row>
    <row r="471" spans="1:6" x14ac:dyDescent="0.2">
      <c r="A471" t="str">
        <f>"第618号"</f>
        <v>第618号</v>
      </c>
      <c r="B471" t="str">
        <f>"有限会社せいうんメデイックス"</f>
        <v>有限会社せいうんメデイックス</v>
      </c>
      <c r="C471" t="str">
        <f>"たんぽぽ薬局"</f>
        <v>たんぽぽ薬局</v>
      </c>
      <c r="D471" t="str">
        <f>"荒尾市宮内５７０－３"</f>
        <v>荒尾市宮内５７０－３</v>
      </c>
      <c r="E471" t="str">
        <f t="shared" ref="E471:E479" si="15">"R05.01.01"</f>
        <v>R05.01.01</v>
      </c>
      <c r="F471" t="str">
        <f t="shared" ref="F471:F479" si="16">"R10.12.31"</f>
        <v>R10.12.31</v>
      </c>
    </row>
    <row r="472" spans="1:6" x14ac:dyDescent="0.2">
      <c r="A472" t="str">
        <f>"第617号"</f>
        <v>第617号</v>
      </c>
      <c r="B472" t="str">
        <f>"有限会社せいうんメデイックス"</f>
        <v>有限会社せいうんメデイックス</v>
      </c>
      <c r="C472" t="str">
        <f>"なのはな薬局"</f>
        <v>なのはな薬局</v>
      </c>
      <c r="D472" t="str">
        <f>"荒尾市一部９０５－８"</f>
        <v>荒尾市一部９０５－８</v>
      </c>
      <c r="E472" t="str">
        <f t="shared" si="15"/>
        <v>R05.01.01</v>
      </c>
      <c r="F472" t="str">
        <f t="shared" si="16"/>
        <v>R10.12.31</v>
      </c>
    </row>
    <row r="473" spans="1:6" x14ac:dyDescent="0.2">
      <c r="A473" t="str">
        <f>"第420号"</f>
        <v>第420号</v>
      </c>
      <c r="B473" t="str">
        <f>"内村酸素株式会社"</f>
        <v>内村酸素株式会社</v>
      </c>
      <c r="C473" t="str">
        <f>"内村酸素株式会社有明事業所"</f>
        <v>内村酸素株式会社有明事業所</v>
      </c>
      <c r="D473" t="str">
        <f>"玉名郡長洲町清源寺字川西６２０－１"</f>
        <v>玉名郡長洲町清源寺字川西６２０－１</v>
      </c>
      <c r="E473" t="str">
        <f t="shared" si="15"/>
        <v>R05.01.01</v>
      </c>
      <c r="F473" t="str">
        <f t="shared" si="16"/>
        <v>R10.12.31</v>
      </c>
    </row>
    <row r="474" spans="1:6" x14ac:dyDescent="0.2">
      <c r="A474" t="str">
        <f>"第555号"</f>
        <v>第555号</v>
      </c>
      <c r="B474" t="str">
        <f>"有限会社ミドルモア"</f>
        <v>有限会社ミドルモア</v>
      </c>
      <c r="C474" t="str">
        <f>"有限会社ミドルモア"</f>
        <v>有限会社ミドルモア</v>
      </c>
      <c r="D474" t="str">
        <f>"玉名市中９５８番地"</f>
        <v>玉名市中９５８番地</v>
      </c>
      <c r="E474" t="str">
        <f t="shared" si="15"/>
        <v>R05.01.01</v>
      </c>
      <c r="F474" t="str">
        <f t="shared" si="16"/>
        <v>R10.12.31</v>
      </c>
    </row>
    <row r="475" spans="1:6" x14ac:dyDescent="0.2">
      <c r="A475" t="str">
        <f>"第236号"</f>
        <v>第236号</v>
      </c>
      <c r="B475" t="str">
        <f>"有限会社フロンティア"</f>
        <v>有限会社フロンティア</v>
      </c>
      <c r="C475" t="str">
        <f>"有限会社フロンティア"</f>
        <v>有限会社フロンティア</v>
      </c>
      <c r="D475" t="str">
        <f>"荒尾市大島３０番地１３"</f>
        <v>荒尾市大島３０番地１３</v>
      </c>
      <c r="E475" t="str">
        <f t="shared" si="15"/>
        <v>R05.01.01</v>
      </c>
      <c r="F475" t="str">
        <f t="shared" si="16"/>
        <v>R10.12.31</v>
      </c>
    </row>
    <row r="476" spans="1:6" x14ac:dyDescent="0.2">
      <c r="A476" t="str">
        <f>"第226号"</f>
        <v>第226号</v>
      </c>
      <c r="B476" t="str">
        <f>"有限会社山本コンタクトレンズ"</f>
        <v>有限会社山本コンタクトレンズ</v>
      </c>
      <c r="C476" t="str">
        <f>"有限会社山本コンタクトレンズ"</f>
        <v>有限会社山本コンタクトレンズ</v>
      </c>
      <c r="D476" t="str">
        <f>"玉名市亀甲１１５－５"</f>
        <v>玉名市亀甲１１５－５</v>
      </c>
      <c r="E476" t="str">
        <f t="shared" si="15"/>
        <v>R05.01.01</v>
      </c>
      <c r="F476" t="str">
        <f t="shared" si="16"/>
        <v>R10.12.31</v>
      </c>
    </row>
    <row r="477" spans="1:6" x14ac:dyDescent="0.2">
      <c r="A477" t="str">
        <f>"第237号"</f>
        <v>第237号</v>
      </c>
      <c r="B477" t="str">
        <f>"有限会社ＭＳコーポレーション"</f>
        <v>有限会社ＭＳコーポレーション</v>
      </c>
      <c r="C477" t="str">
        <f>"有限会社ＭＳコーポレーション"</f>
        <v>有限会社ＭＳコーポレーション</v>
      </c>
      <c r="D477" t="str">
        <f>"玉名市中１８４１－２"</f>
        <v>玉名市中１８４１－２</v>
      </c>
      <c r="E477" t="str">
        <f t="shared" si="15"/>
        <v>R05.01.01</v>
      </c>
      <c r="F477" t="str">
        <f t="shared" si="16"/>
        <v>R10.12.31</v>
      </c>
    </row>
    <row r="478" spans="1:6" x14ac:dyDescent="0.2">
      <c r="A478" t="str">
        <f>"第227号"</f>
        <v>第227号</v>
      </c>
      <c r="B478" t="str">
        <f>"有限会社つばめ薬局"</f>
        <v>有限会社つばめ薬局</v>
      </c>
      <c r="C478" t="str">
        <f>"つばめ薬局"</f>
        <v>つばめ薬局</v>
      </c>
      <c r="D478" t="str">
        <f>"玉名市岩崎１２－１"</f>
        <v>玉名市岩崎１２－１</v>
      </c>
      <c r="E478" t="str">
        <f t="shared" si="15"/>
        <v>R05.01.01</v>
      </c>
      <c r="F478" t="str">
        <f t="shared" si="16"/>
        <v>R10.12.31</v>
      </c>
    </row>
    <row r="479" spans="1:6" x14ac:dyDescent="0.2">
      <c r="A479" t="str">
        <f>"第234号"</f>
        <v>第234号</v>
      </c>
      <c r="B479" t="str">
        <f>"有限会社玉名メディカル"</f>
        <v>有限会社玉名メディカル</v>
      </c>
      <c r="C479" t="str">
        <f>"有限会社玉名メディカル"</f>
        <v>有限会社玉名メディカル</v>
      </c>
      <c r="D479" t="str">
        <f>"玉名市高瀬５１０－１"</f>
        <v>玉名市高瀬５１０－１</v>
      </c>
      <c r="E479" t="str">
        <f t="shared" si="15"/>
        <v>R05.01.01</v>
      </c>
      <c r="F479" t="str">
        <f t="shared" si="16"/>
        <v>R10.12.31</v>
      </c>
    </row>
    <row r="480" spans="1:6" x14ac:dyDescent="0.2">
      <c r="A480" t="str">
        <f>"第1395号"</f>
        <v>第1395号</v>
      </c>
      <c r="B480" t="str">
        <f>"富田薬品株式会社"</f>
        <v>富田薬品株式会社</v>
      </c>
      <c r="C480" t="str">
        <f>"富田薬品株式会社　玉名営業所"</f>
        <v>富田薬品株式会社　玉名営業所</v>
      </c>
      <c r="D480" t="str">
        <f>"玉名市山田１７５０－１"</f>
        <v>玉名市山田１７５０－１</v>
      </c>
      <c r="E480" t="str">
        <f>"R04.07.30"</f>
        <v>R04.07.30</v>
      </c>
      <c r="F480" t="str">
        <f>"R10.07.29"</f>
        <v>R10.07.29</v>
      </c>
    </row>
    <row r="481" spans="1:6" x14ac:dyDescent="0.2">
      <c r="A481" t="str">
        <f>"第1048号"</f>
        <v>第1048号</v>
      </c>
      <c r="B481" t="str">
        <f>"株式会社浦田運動具店"</f>
        <v>株式会社浦田運動具店</v>
      </c>
      <c r="C481" t="str">
        <f>"株式会社浦田運動具店"</f>
        <v>株式会社浦田運動具店</v>
      </c>
      <c r="D481" t="str">
        <f>"玉名市高瀬５２２－１"</f>
        <v>玉名市高瀬５２２－１</v>
      </c>
      <c r="E481" t="str">
        <f>"R04.01.01"</f>
        <v>R04.01.01</v>
      </c>
      <c r="F481" t="str">
        <f>"R09.12.31"</f>
        <v>R09.12.31</v>
      </c>
    </row>
    <row r="482" spans="1:6" x14ac:dyDescent="0.2">
      <c r="A482" t="str">
        <f>"第897号"</f>
        <v>第897号</v>
      </c>
      <c r="B482" t="str">
        <f>"有限会社オレンジ薬局"</f>
        <v>有限会社オレンジ薬局</v>
      </c>
      <c r="C482" t="str">
        <f>"オレンジ薬局おあま店"</f>
        <v>オレンジ薬局おあま店</v>
      </c>
      <c r="D482" t="str">
        <f>"玉名市天水町小天６９８７の１"</f>
        <v>玉名市天水町小天６９８７の１</v>
      </c>
      <c r="E482" t="str">
        <f>"R02.01.01"</f>
        <v>R02.01.01</v>
      </c>
      <c r="F482" t="str">
        <f>"R07.12.31"</f>
        <v>R07.12.31</v>
      </c>
    </row>
    <row r="483" spans="1:6" x14ac:dyDescent="0.2">
      <c r="A483" t="str">
        <f>"第1393号"</f>
        <v>第1393号</v>
      </c>
      <c r="B483" t="str">
        <f>"株式会社サークルケア"</f>
        <v>株式会社サークルケア</v>
      </c>
      <c r="C483" t="str">
        <f>"株式会社サークルケア"</f>
        <v>株式会社サークルケア</v>
      </c>
      <c r="D483" t="str">
        <f>"玉名市伊倉北方３９番地１"</f>
        <v>玉名市伊倉北方３９番地１</v>
      </c>
      <c r="E483" t="str">
        <f>"R04.01.01"</f>
        <v>R04.01.01</v>
      </c>
      <c r="F483" t="str">
        <f>"R09.12.31"</f>
        <v>R09.12.31</v>
      </c>
    </row>
    <row r="484" spans="1:6" x14ac:dyDescent="0.2">
      <c r="A484" t="str">
        <f>"第1598号"</f>
        <v>第1598号</v>
      </c>
      <c r="B484" t="str">
        <f>"株式会社グッドアイ"</f>
        <v>株式会社グッドアイ</v>
      </c>
      <c r="C484" t="str">
        <f>"眼鏡市場　玉名店"</f>
        <v>眼鏡市場　玉名店</v>
      </c>
      <c r="D484" t="str">
        <f>"玉名市岱明町野口５０２－２"</f>
        <v>玉名市岱明町野口５０２－２</v>
      </c>
      <c r="E484" t="str">
        <f>"R03.11.16"</f>
        <v>R03.11.16</v>
      </c>
      <c r="F484" t="str">
        <f>"R08.12.31"</f>
        <v>R08.12.31</v>
      </c>
    </row>
    <row r="485" spans="1:6" x14ac:dyDescent="0.2">
      <c r="A485" t="str">
        <f>"第1585号"</f>
        <v>第1585号</v>
      </c>
      <c r="B485" t="str">
        <f>"株式会社Ｗｉｓｄｏｍ"</f>
        <v>株式会社Ｗｉｓｄｏｍ</v>
      </c>
      <c r="C485" t="str">
        <f>"やまと薬局"</f>
        <v>やまと薬局</v>
      </c>
      <c r="D485" t="str">
        <f>"玉名市中１８３６番地６"</f>
        <v>玉名市中１８３６番地６</v>
      </c>
      <c r="E485" t="str">
        <f>"R03.08.01"</f>
        <v>R03.08.01</v>
      </c>
      <c r="F485" t="str">
        <f>"R08.12.31"</f>
        <v>R08.12.31</v>
      </c>
    </row>
    <row r="486" spans="1:6" x14ac:dyDescent="0.2">
      <c r="A486" t="str">
        <f>"第1581号"</f>
        <v>第1581号</v>
      </c>
      <c r="B486" t="str">
        <f>"合同会社MSサポートトータルアイ"</f>
        <v>合同会社MSサポートトータルアイ</v>
      </c>
      <c r="C486" t="str">
        <f>"合同会社MSサポートトータルアイ"</f>
        <v>合同会社MSサポートトータルアイ</v>
      </c>
      <c r="D486" t="str">
        <f>"玉名市繁根木４０番地２"</f>
        <v>玉名市繁根木４０番地２</v>
      </c>
      <c r="E486" t="str">
        <f>"R03.06.04"</f>
        <v>R03.06.04</v>
      </c>
      <c r="F486" t="str">
        <f>"R09.06.03"</f>
        <v>R09.06.03</v>
      </c>
    </row>
    <row r="487" spans="1:6" x14ac:dyDescent="0.2">
      <c r="A487" t="str">
        <f>"第1563号"</f>
        <v>第1563号</v>
      </c>
      <c r="B487" t="str">
        <f>"株式会社SKY CREATE"</f>
        <v>株式会社SKY CREATE</v>
      </c>
      <c r="C487" t="str">
        <f>"海浜総合薬局　築地店"</f>
        <v>海浜総合薬局　築地店</v>
      </c>
      <c r="D487" t="str">
        <f>"玉名市築地６番地"</f>
        <v>玉名市築地６番地</v>
      </c>
      <c r="E487" t="str">
        <f>"R03.04.01"</f>
        <v>R03.04.01</v>
      </c>
      <c r="F487" t="str">
        <f>"R08.12.31"</f>
        <v>R08.12.31</v>
      </c>
    </row>
    <row r="488" spans="1:6" x14ac:dyDescent="0.2">
      <c r="A488" t="str">
        <f>"第1549号"</f>
        <v>第1549号</v>
      </c>
      <c r="B488" t="str">
        <f>"ネオソルタ株式会社"</f>
        <v>ネオソルタ株式会社</v>
      </c>
      <c r="C488" t="str">
        <f>"双葉薬局"</f>
        <v>双葉薬局</v>
      </c>
      <c r="D488" t="str">
        <f>"玉名市立願寺１９０番地５"</f>
        <v>玉名市立願寺１９０番地５</v>
      </c>
      <c r="E488" t="str">
        <f>"R02.12.15"</f>
        <v>R02.12.15</v>
      </c>
      <c r="F488" t="str">
        <f>"R08.12.14"</f>
        <v>R08.12.14</v>
      </c>
    </row>
    <row r="489" spans="1:6" x14ac:dyDescent="0.2">
      <c r="A489" t="str">
        <f>"第1536号"</f>
        <v>第1536号</v>
      </c>
      <c r="B489" t="str">
        <f>"有限会社佐藤コンタクト"</f>
        <v>有限会社佐藤コンタクト</v>
      </c>
      <c r="C489" t="str">
        <f>"スマイルアイコンタクト"</f>
        <v>スマイルアイコンタクト</v>
      </c>
      <c r="D489" t="str">
        <f>"荒尾市荒尾４１６０番地２７０"</f>
        <v>荒尾市荒尾４１６０番地２７０</v>
      </c>
      <c r="E489" t="str">
        <f>"R02.07.13"</f>
        <v>R02.07.13</v>
      </c>
      <c r="F489" t="str">
        <f>"R07.12.31"</f>
        <v>R07.12.31</v>
      </c>
    </row>
    <row r="490" spans="1:6" x14ac:dyDescent="0.2">
      <c r="A490" t="str">
        <f>"第1535号"</f>
        <v>第1535号</v>
      </c>
      <c r="B490" t="str">
        <f>"株式会社シーバイハート"</f>
        <v>株式会社シーバイハート</v>
      </c>
      <c r="C490" t="str">
        <f>"いくら調剤薬局"</f>
        <v>いくら調剤薬局</v>
      </c>
      <c r="D490" t="str">
        <f>"玉名市伊倉北方２７８－４"</f>
        <v>玉名市伊倉北方２７８－４</v>
      </c>
      <c r="E490" t="str">
        <f>"R02.08.01"</f>
        <v>R02.08.01</v>
      </c>
      <c r="F490" t="str">
        <f>"R07.12.31"</f>
        <v>R07.12.31</v>
      </c>
    </row>
    <row r="491" spans="1:6" x14ac:dyDescent="0.2">
      <c r="A491" t="str">
        <f>"第1233号"</f>
        <v>第1233号</v>
      </c>
      <c r="B491" t="str">
        <f>"株式会社ヨネザワ"</f>
        <v>株式会社ヨネザワ</v>
      </c>
      <c r="C491" t="str">
        <f>"メガネのヨネザワ　宇土松原交差店"</f>
        <v>メガネのヨネザワ　宇土松原交差店</v>
      </c>
      <c r="D491" t="str">
        <f>"宇土市新松原町１５１－３"</f>
        <v>宇土市新松原町１５１－３</v>
      </c>
      <c r="E491" t="str">
        <f>"R07.07.18"</f>
        <v>R07.07.18</v>
      </c>
      <c r="F491" t="str">
        <f>"R13.07.17"</f>
        <v>R13.07.17</v>
      </c>
    </row>
    <row r="492" spans="1:6" x14ac:dyDescent="0.2">
      <c r="A492" t="str">
        <f>"第1594号"</f>
        <v>第1594号</v>
      </c>
      <c r="B492" t="str">
        <f>"福岡酸素株式会社"</f>
        <v>福岡酸素株式会社</v>
      </c>
      <c r="C492" t="str">
        <f>"福岡酸素株式会社　熊本支社"</f>
        <v>福岡酸素株式会社　熊本支社</v>
      </c>
      <c r="D492" t="str">
        <f>"宇土市境目町２５番地"</f>
        <v>宇土市境目町２５番地</v>
      </c>
      <c r="E492" t="str">
        <f>"R03.10.01"</f>
        <v>R03.10.01</v>
      </c>
      <c r="F492" t="str">
        <f>"R09.09.30"</f>
        <v>R09.09.30</v>
      </c>
    </row>
    <row r="493" spans="1:6" x14ac:dyDescent="0.2">
      <c r="A493" t="str">
        <f>"第1561号"</f>
        <v>第1561号</v>
      </c>
      <c r="B493" t="str">
        <f>"株式会社ココカラファインヘルスケア"</f>
        <v>株式会社ココカラファインヘルスケア</v>
      </c>
      <c r="C493" t="str">
        <f>"たんぽぽ薬局"</f>
        <v>たんぽぽ薬局</v>
      </c>
      <c r="D493" t="str">
        <f>"宇城市松橋町松橋４９０番２"</f>
        <v>宇城市松橋町松橋４９０番２</v>
      </c>
      <c r="E493" t="str">
        <f>"R03.04.01"</f>
        <v>R03.04.01</v>
      </c>
      <c r="F493" t="str">
        <f>"R09.03.31"</f>
        <v>R09.03.31</v>
      </c>
    </row>
    <row r="494" spans="1:6" x14ac:dyDescent="0.2">
      <c r="A494" t="str">
        <f>"第1562号"</f>
        <v>第1562号</v>
      </c>
      <c r="B494" t="str">
        <f>"株式会社ココカラファインヘルスケア"</f>
        <v>株式会社ココカラファインヘルスケア</v>
      </c>
      <c r="C494" t="str">
        <f>"たんぽぽ薬局宇土市役所前店"</f>
        <v>たんぽぽ薬局宇土市役所前店</v>
      </c>
      <c r="D494" t="str">
        <f>"宇土市浦田町８５"</f>
        <v>宇土市浦田町８５</v>
      </c>
      <c r="E494" t="str">
        <f>"R03.04.01"</f>
        <v>R03.04.01</v>
      </c>
      <c r="F494" t="str">
        <f>"R09.03.31"</f>
        <v>R09.03.31</v>
      </c>
    </row>
    <row r="495" spans="1:6" x14ac:dyDescent="0.2">
      <c r="A495" t="str">
        <f>"第1693号"</f>
        <v>第1693号</v>
      </c>
      <c r="B495" t="str">
        <f>"株式会社ココカラファインヘルスケア"</f>
        <v>株式会社ココカラファインヘルスケア</v>
      </c>
      <c r="C495" t="str">
        <f>"ココカラファイン薬局　宇土本町店"</f>
        <v>ココカラファイン薬局　宇土本町店</v>
      </c>
      <c r="D495" t="str">
        <f>"宇土市築籠町１３９－５"</f>
        <v>宇土市築籠町１３９－５</v>
      </c>
      <c r="E495" t="str">
        <f>"R06.06.01"</f>
        <v>R06.06.01</v>
      </c>
      <c r="F495" t="str">
        <f>"R12.05.31"</f>
        <v>R12.05.31</v>
      </c>
    </row>
    <row r="496" spans="1:6" x14ac:dyDescent="0.2">
      <c r="A496" t="str">
        <f>"第1560号"</f>
        <v>第1560号</v>
      </c>
      <c r="B496" t="str">
        <f>"株式会社ココカラファインヘルスケア"</f>
        <v>株式会社ココカラファインヘルスケア</v>
      </c>
      <c r="C496" t="str">
        <f>"福永調剤薬局三丁目店"</f>
        <v>福永調剤薬局三丁目店</v>
      </c>
      <c r="D496" t="str">
        <f>"宇土市本町３丁目１８"</f>
        <v>宇土市本町３丁目１８</v>
      </c>
      <c r="E496" t="str">
        <f>"R03.04.01"</f>
        <v>R03.04.01</v>
      </c>
      <c r="F496" t="str">
        <f>"R09.03.31"</f>
        <v>R09.03.31</v>
      </c>
    </row>
    <row r="497" spans="1:6" x14ac:dyDescent="0.2">
      <c r="A497" t="str">
        <f>"第1538号"</f>
        <v>第1538号</v>
      </c>
      <c r="B497" t="str">
        <f>"エア・ウォーター西日本株式会社"</f>
        <v>エア・ウォーター西日本株式会社</v>
      </c>
      <c r="C497" t="str">
        <f>"エア・ウォーター西日本株式会社　南九州医療営業所"</f>
        <v>エア・ウォーター西日本株式会社　南九州医療営業所</v>
      </c>
      <c r="D497" t="str">
        <f>"宇土市松山町字東柳町１３２０番地１２号"</f>
        <v>宇土市松山町字東柳町１３２０番地１２号</v>
      </c>
      <c r="E497" t="str">
        <f>"R02.10.01"</f>
        <v>R02.10.01</v>
      </c>
      <c r="F497" t="str">
        <f>"R08.09.30"</f>
        <v>R08.09.30</v>
      </c>
    </row>
    <row r="498" spans="1:6" x14ac:dyDescent="0.2">
      <c r="A498" t="str">
        <f>"第715号"</f>
        <v>第715号</v>
      </c>
      <c r="B498" t="str">
        <f>"有限会社カワグチ薬局"</f>
        <v>有限会社カワグチ薬局</v>
      </c>
      <c r="C498" t="str">
        <f>"有限会社カワグチ薬局"</f>
        <v>有限会社カワグチ薬局</v>
      </c>
      <c r="D498" t="str">
        <f>"宇土市松山町４３９７番地３"</f>
        <v>宇土市松山町４３９７番地３</v>
      </c>
      <c r="E498" t="str">
        <f>"R06.09.28"</f>
        <v>R06.09.28</v>
      </c>
      <c r="F498" t="str">
        <f>"R12.09.27"</f>
        <v>R12.09.27</v>
      </c>
    </row>
    <row r="499" spans="1:6" x14ac:dyDescent="0.2">
      <c r="A499" t="str">
        <f>"第1720号"</f>
        <v>第1720号</v>
      </c>
      <c r="B499" t="str">
        <f>"株式会社城南メディカル"</f>
        <v>株式会社城南メディカル</v>
      </c>
      <c r="C499" t="str">
        <f>"松橋中央薬局"</f>
        <v>松橋中央薬局</v>
      </c>
      <c r="D499" t="str">
        <f>"宇城市松橋町きらら２丁目２番１３号"</f>
        <v>宇城市松橋町きらら２丁目２番１３号</v>
      </c>
      <c r="E499" t="str">
        <f>"R07.02.23"</f>
        <v>R07.02.23</v>
      </c>
      <c r="F499" t="str">
        <f>"R13.02.22"</f>
        <v>R13.02.22</v>
      </c>
    </row>
    <row r="500" spans="1:6" x14ac:dyDescent="0.2">
      <c r="A500" t="str">
        <f>"第1196号"</f>
        <v>第1196号</v>
      </c>
      <c r="B500" t="str">
        <f>"有限会社ひまわり"</f>
        <v>有限会社ひまわり</v>
      </c>
      <c r="C500" t="str">
        <f>"有限会社ひまわり"</f>
        <v>有限会社ひまわり</v>
      </c>
      <c r="D500" t="str">
        <f>"宇城市松橋町東松崎６０２番地"</f>
        <v>宇城市松橋町東松崎６０２番地</v>
      </c>
      <c r="E500" t="str">
        <f>"R06.12.07"</f>
        <v>R06.12.07</v>
      </c>
      <c r="F500" t="str">
        <f>"R12.12.06"</f>
        <v>R12.12.06</v>
      </c>
    </row>
    <row r="501" spans="1:6" x14ac:dyDescent="0.2">
      <c r="A501" t="str">
        <f>"第730号"</f>
        <v>第730号</v>
      </c>
      <c r="B501" t="str">
        <f>"株式会社　ヨネザワ"</f>
        <v>株式会社　ヨネザワ</v>
      </c>
      <c r="C501" t="str">
        <f>"メガネのヨネザワ松橋店"</f>
        <v>メガネのヨネザワ松橋店</v>
      </c>
      <c r="D501" t="str">
        <f>"宇城市松橋町松橋８９１"</f>
        <v>宇城市松橋町松橋８９１</v>
      </c>
      <c r="E501" t="str">
        <f>"R06.10.10"</f>
        <v>R06.10.10</v>
      </c>
      <c r="F501" t="str">
        <f>"R12.10.09"</f>
        <v>R12.10.09</v>
      </c>
    </row>
    <row r="502" spans="1:6" x14ac:dyDescent="0.2">
      <c r="A502" t="str">
        <f>"第702号"</f>
        <v>第702号</v>
      </c>
      <c r="B502" t="str">
        <f>"株式会社　ヨネザワ"</f>
        <v>株式会社　ヨネザワ</v>
      </c>
      <c r="C502" t="str">
        <f>"メガネのヨネザワ　イオンモール宇城店"</f>
        <v>メガネのヨネザワ　イオンモール宇城店</v>
      </c>
      <c r="D502" t="str">
        <f>"宇城市小川町河江１－１－１Ｆ"</f>
        <v>宇城市小川町河江１－１－１Ｆ</v>
      </c>
      <c r="E502" t="str">
        <f>"R06.07.25"</f>
        <v>R06.07.25</v>
      </c>
      <c r="F502" t="str">
        <f>"R12.07.24"</f>
        <v>R12.07.24</v>
      </c>
    </row>
    <row r="503" spans="1:6" x14ac:dyDescent="0.2">
      <c r="A503" t="str">
        <f>"第1254号"</f>
        <v>第1254号</v>
      </c>
      <c r="B503" t="str">
        <f>"株式会社ドラッグストアモリ"</f>
        <v>株式会社ドラッグストアモリ</v>
      </c>
      <c r="C503" t="str">
        <f>"ドラッグストアモリ　宇土店"</f>
        <v>ドラッグストアモリ　宇土店</v>
      </c>
      <c r="D503" t="str">
        <f>"宇土市水町５０番地１"</f>
        <v>宇土市水町５０番地１</v>
      </c>
      <c r="E503" t="str">
        <f>"R01.11.13"</f>
        <v>R01.11.13</v>
      </c>
      <c r="F503" t="str">
        <f>"R07.11.12"</f>
        <v>R07.11.12</v>
      </c>
    </row>
    <row r="504" spans="1:6" x14ac:dyDescent="0.2">
      <c r="A504" t="str">
        <f>"第1517号"</f>
        <v>第1517号</v>
      </c>
      <c r="B504" t="str">
        <f>"株式会社同仁堂"</f>
        <v>株式会社同仁堂</v>
      </c>
      <c r="C504" t="str">
        <f>"同仁堂　小川店"</f>
        <v>同仁堂　小川店</v>
      </c>
      <c r="D504" t="str">
        <f>"宇城市小川町河江１－１"</f>
        <v>宇城市小川町河江１－１</v>
      </c>
      <c r="E504" t="str">
        <f>"R01.11.18"</f>
        <v>R01.11.18</v>
      </c>
      <c r="F504" t="str">
        <f>"R07.11.17"</f>
        <v>R07.11.17</v>
      </c>
    </row>
    <row r="505" spans="1:6" x14ac:dyDescent="0.2">
      <c r="A505" t="str">
        <f>"第1665号"</f>
        <v>第1665号</v>
      </c>
      <c r="B505" t="str">
        <f>"さくら薬局株式会社"</f>
        <v>さくら薬局株式会社</v>
      </c>
      <c r="C505" t="str">
        <f>"さくら調剤薬局　松橋店"</f>
        <v>さくら調剤薬局　松橋店</v>
      </c>
      <c r="D505" t="str">
        <f>"宇城市松橋町きらら２丁目４番７号"</f>
        <v>宇城市松橋町きらら２丁目４番７号</v>
      </c>
      <c r="E505" t="str">
        <f>"R05.11.01"</f>
        <v>R05.11.01</v>
      </c>
      <c r="F505" t="str">
        <f>"R11.10.31"</f>
        <v>R11.10.31</v>
      </c>
    </row>
    <row r="506" spans="1:6" x14ac:dyDescent="0.2">
      <c r="A506" t="str">
        <f>"第935号"</f>
        <v>第935号</v>
      </c>
      <c r="B506" t="str">
        <f>"株式会社萩尾ハニーファーマシー"</f>
        <v>株式会社萩尾ハニーファーマシー</v>
      </c>
      <c r="C506" t="str">
        <f>"まつばせ薬局"</f>
        <v>まつばせ薬局</v>
      </c>
      <c r="D506" t="str">
        <f>"宇城市松橋町萩尾２０５１番地８"</f>
        <v>宇城市松橋町萩尾２０５１番地８</v>
      </c>
      <c r="E506" t="str">
        <f>"R03.01.01"</f>
        <v>R03.01.01</v>
      </c>
      <c r="F506" t="str">
        <f>"R08.12.31"</f>
        <v>R08.12.31</v>
      </c>
    </row>
    <row r="507" spans="1:6" x14ac:dyDescent="0.2">
      <c r="A507" t="str">
        <f>"第1179号"</f>
        <v>第1179号</v>
      </c>
      <c r="B507" t="str">
        <f>"株式会社アレス"</f>
        <v>株式会社アレス</v>
      </c>
      <c r="C507" t="str">
        <f>"スーパーキッド宇土店"</f>
        <v>スーパーキッド宇土店</v>
      </c>
      <c r="D507" t="str">
        <f>"宇土市南段原町２０－１"</f>
        <v>宇土市南段原町２０－１</v>
      </c>
      <c r="E507" t="str">
        <f>"R06.01.01"</f>
        <v>R06.01.01</v>
      </c>
      <c r="F507" t="str">
        <f>"R11.12.31"</f>
        <v>R11.12.31</v>
      </c>
    </row>
    <row r="508" spans="1:6" x14ac:dyDescent="0.2">
      <c r="A508" t="str">
        <f>"第1253号"</f>
        <v>第1253号</v>
      </c>
      <c r="B508" t="str">
        <f>"株式会社メガネトップ"</f>
        <v>株式会社メガネトップ</v>
      </c>
      <c r="C508" t="str">
        <f>"眼鏡市場　熊本宇土店"</f>
        <v>眼鏡市場　熊本宇土店</v>
      </c>
      <c r="D508" t="str">
        <f>"宇土市水町５０番１"</f>
        <v>宇土市水町５０番１</v>
      </c>
      <c r="E508" t="str">
        <f>"R01.11.13"</f>
        <v>R01.11.13</v>
      </c>
      <c r="F508" t="str">
        <f>"R07.11.12"</f>
        <v>R07.11.12</v>
      </c>
    </row>
    <row r="509" spans="1:6" x14ac:dyDescent="0.2">
      <c r="A509" t="str">
        <f>"第660号"</f>
        <v>第660号</v>
      </c>
      <c r="B509" t="str">
        <f>"富田薬品株式会社"</f>
        <v>富田薬品株式会社</v>
      </c>
      <c r="C509" t="str">
        <f>"富田薬品株式会社宇土営業所"</f>
        <v>富田薬品株式会社宇土営業所</v>
      </c>
      <c r="D509" t="str">
        <f>"宇土市松原町２３－２０"</f>
        <v>宇土市松原町２３－２０</v>
      </c>
      <c r="E509" t="str">
        <f>"R06.01.01"</f>
        <v>R06.01.01</v>
      </c>
      <c r="F509" t="str">
        <f>"R11.12.31"</f>
        <v>R11.12.31</v>
      </c>
    </row>
    <row r="510" spans="1:6" x14ac:dyDescent="0.2">
      <c r="A510" t="str">
        <f>"第1161号"</f>
        <v>第1161号</v>
      </c>
      <c r="B510" t="str">
        <f>"有限会社プチマリノ"</f>
        <v>有限会社プチマリノ</v>
      </c>
      <c r="C510" t="str">
        <f>"マリノ薬局"</f>
        <v>マリノ薬局</v>
      </c>
      <c r="D510" t="str">
        <f>"宇城市松橋町久具６８７番地２"</f>
        <v>宇城市松橋町久具６８７番地２</v>
      </c>
      <c r="E510" t="str">
        <f>"R06.01.01"</f>
        <v>R06.01.01</v>
      </c>
      <c r="F510" t="str">
        <f>"R11.12.31"</f>
        <v>R11.12.31</v>
      </c>
    </row>
    <row r="511" spans="1:6" x14ac:dyDescent="0.2">
      <c r="A511" t="str">
        <f>"第1640号"</f>
        <v>第1640号</v>
      </c>
      <c r="B511" t="str">
        <f>"株式会社コスモス薬品"</f>
        <v>株式会社コスモス薬品</v>
      </c>
      <c r="C511" t="str">
        <f>"ドラッグコスモス宇土駅店"</f>
        <v>ドラッグコスモス宇土駅店</v>
      </c>
      <c r="D511" t="str">
        <f>"宇土市城之浦町７１－８"</f>
        <v>宇土市城之浦町７１－８</v>
      </c>
      <c r="E511" t="str">
        <f>"R05.05.24"</f>
        <v>R05.05.24</v>
      </c>
      <c r="F511" t="str">
        <f>"R11.05.23"</f>
        <v>R11.05.23</v>
      </c>
    </row>
    <row r="512" spans="1:6" x14ac:dyDescent="0.2">
      <c r="A512" t="str">
        <f>"第1589号"</f>
        <v>第1589号</v>
      </c>
      <c r="B512" t="str">
        <f>"株式会社コスモス薬品"</f>
        <v>株式会社コスモス薬品</v>
      </c>
      <c r="C512" t="str">
        <f>"ドラッグコスモス松橋店"</f>
        <v>ドラッグコスモス松橋店</v>
      </c>
      <c r="D512" t="str">
        <f>"宇城市松橋町曲野１１８－１"</f>
        <v>宇城市松橋町曲野１１８－１</v>
      </c>
      <c r="E512" t="str">
        <f>"R03.08.27"</f>
        <v>R03.08.27</v>
      </c>
      <c r="F512" t="str">
        <f>"R09.08.26"</f>
        <v>R09.08.26</v>
      </c>
    </row>
    <row r="513" spans="1:6" x14ac:dyDescent="0.2">
      <c r="A513" t="str">
        <f>"第1356号"</f>
        <v>第1356号</v>
      </c>
      <c r="B513" t="str">
        <f>"株式会社　キクチ"</f>
        <v>株式会社　キクチ</v>
      </c>
      <c r="C513" t="str">
        <f>"キクチめがね　宇土シティモール店"</f>
        <v>キクチめがね　宇土シティモール店</v>
      </c>
      <c r="D513" t="str">
        <f>"宇土市善道寺町９５　宇土シティモール１Ｆ"</f>
        <v>宇土市善道寺町９５　宇土シティモール１Ｆ</v>
      </c>
      <c r="E513" t="str">
        <f>"R03.06.02"</f>
        <v>R03.06.02</v>
      </c>
      <c r="F513" t="str">
        <f>"R09.06.01"</f>
        <v>R09.06.01</v>
      </c>
    </row>
    <row r="514" spans="1:6" x14ac:dyDescent="0.2">
      <c r="A514" t="str">
        <f>"第288号"</f>
        <v>第288号</v>
      </c>
      <c r="B514" t="str">
        <f>"有限会社　三角コンタクトレンズ"</f>
        <v>有限会社　三角コンタクトレンズ</v>
      </c>
      <c r="C514" t="str">
        <f>"三角コンタクトレンズ"</f>
        <v>三角コンタクトレンズ</v>
      </c>
      <c r="D514" t="str">
        <f>"宇城市三角町三角浦３４８の６"</f>
        <v>宇城市三角町三角浦３４８の６</v>
      </c>
      <c r="E514" t="str">
        <f t="shared" ref="E514:E520" si="17">"R05.01.01"</f>
        <v>R05.01.01</v>
      </c>
      <c r="F514" t="str">
        <f t="shared" ref="F514:F520" si="18">"R10.12.31"</f>
        <v>R10.12.31</v>
      </c>
    </row>
    <row r="515" spans="1:6" x14ac:dyDescent="0.2">
      <c r="A515" t="str">
        <f>"第449号"</f>
        <v>第449号</v>
      </c>
      <c r="B515" t="str">
        <f>"髙濱　由利子"</f>
        <v>髙濱　由利子</v>
      </c>
      <c r="C515" t="str">
        <f>"宇土コンタクト"</f>
        <v>宇土コンタクト</v>
      </c>
      <c r="D515" t="str">
        <f>"宇土市城之浦町６７"</f>
        <v>宇土市城之浦町６７</v>
      </c>
      <c r="E515" t="str">
        <f t="shared" si="17"/>
        <v>R05.01.01</v>
      </c>
      <c r="F515" t="str">
        <f t="shared" si="18"/>
        <v>R10.12.31</v>
      </c>
    </row>
    <row r="516" spans="1:6" x14ac:dyDescent="0.2">
      <c r="A516" t="str">
        <f>"第448号"</f>
        <v>第448号</v>
      </c>
      <c r="B516" t="str">
        <f>"有限会社松橋コンタクトレンズセンター"</f>
        <v>有限会社松橋コンタクトレンズセンター</v>
      </c>
      <c r="C516" t="str">
        <f>"(有)松橋コンタクトレンズセンター"</f>
        <v>(有)松橋コンタクトレンズセンター</v>
      </c>
      <c r="D516" t="str">
        <f>"宇城市松橋町松橋５７０"</f>
        <v>宇城市松橋町松橋５７０</v>
      </c>
      <c r="E516" t="str">
        <f t="shared" si="17"/>
        <v>R05.01.01</v>
      </c>
      <c r="F516" t="str">
        <f t="shared" si="18"/>
        <v>R10.12.31</v>
      </c>
    </row>
    <row r="517" spans="1:6" x14ac:dyDescent="0.2">
      <c r="A517" t="str">
        <f>"第441号"</f>
        <v>第441号</v>
      </c>
      <c r="B517" t="str">
        <f>"森川　秀昭"</f>
        <v>森川　秀昭</v>
      </c>
      <c r="C517" t="str">
        <f>"メディコムライフ"</f>
        <v>メディコムライフ</v>
      </c>
      <c r="D517" t="str">
        <f>"下益城郡美里町安部１３１"</f>
        <v>下益城郡美里町安部１３１</v>
      </c>
      <c r="E517" t="str">
        <f t="shared" si="17"/>
        <v>R05.01.01</v>
      </c>
      <c r="F517" t="str">
        <f t="shared" si="18"/>
        <v>R10.12.31</v>
      </c>
    </row>
    <row r="518" spans="1:6" x14ac:dyDescent="0.2">
      <c r="A518" t="str">
        <f>"第450号"</f>
        <v>第450号</v>
      </c>
      <c r="B518" t="str">
        <f>"有限会社下益城調剤支援センター　宇城薬局"</f>
        <v>有限会社下益城調剤支援センター　宇城薬局</v>
      </c>
      <c r="C518" t="str">
        <f>"宇城薬局"</f>
        <v>宇城薬局</v>
      </c>
      <c r="D518" t="str">
        <f>"宇城市松橋町両仲間７２４"</f>
        <v>宇城市松橋町両仲間７２４</v>
      </c>
      <c r="E518" t="str">
        <f t="shared" si="17"/>
        <v>R05.01.01</v>
      </c>
      <c r="F518" t="str">
        <f t="shared" si="18"/>
        <v>R10.12.31</v>
      </c>
    </row>
    <row r="519" spans="1:6" x14ac:dyDescent="0.2">
      <c r="A519" t="str">
        <f>"第1073号"</f>
        <v>第1073号</v>
      </c>
      <c r="B519" t="str">
        <f>"有限会社網田薬局"</f>
        <v>有限会社網田薬局</v>
      </c>
      <c r="C519" t="str">
        <f>"つばき薬局"</f>
        <v>つばき薬局</v>
      </c>
      <c r="D519" t="str">
        <f>"宇土市野鶴町３４１－２"</f>
        <v>宇土市野鶴町３４１－２</v>
      </c>
      <c r="E519" t="str">
        <f t="shared" si="17"/>
        <v>R05.01.01</v>
      </c>
      <c r="F519" t="str">
        <f t="shared" si="18"/>
        <v>R10.12.31</v>
      </c>
    </row>
    <row r="520" spans="1:6" x14ac:dyDescent="0.2">
      <c r="A520" t="str">
        <f>"第443号"</f>
        <v>第443号</v>
      </c>
      <c r="B520" t="str">
        <f>"有限会社熊本南前薬局"</f>
        <v>有限会社熊本南前薬局</v>
      </c>
      <c r="C520" t="str">
        <f>"熊本南前薬局"</f>
        <v>熊本南前薬局</v>
      </c>
      <c r="D520" t="str">
        <f>"宇城市松橋町豊福２０７０番地"</f>
        <v>宇城市松橋町豊福２０７０番地</v>
      </c>
      <c r="E520" t="str">
        <f t="shared" si="17"/>
        <v>R05.01.01</v>
      </c>
      <c r="F520" t="str">
        <f t="shared" si="18"/>
        <v>R10.12.31</v>
      </c>
    </row>
    <row r="521" spans="1:6" x14ac:dyDescent="0.2">
      <c r="A521" t="str">
        <f>"第1342号"</f>
        <v>第1342号</v>
      </c>
      <c r="B521" t="str">
        <f>"株式会社ドラッグストアモリ"</f>
        <v>株式会社ドラッグストアモリ</v>
      </c>
      <c r="C521" t="str">
        <f>"ドラッグストアモリ　松橋店"</f>
        <v>ドラッグストアモリ　松橋店</v>
      </c>
      <c r="D521" t="str">
        <f>"宇城市松橋町松橋７７６－１"</f>
        <v>宇城市松橋町松橋７７６－１</v>
      </c>
      <c r="E521" t="str">
        <f>"R03.02.12"</f>
        <v>R03.02.12</v>
      </c>
      <c r="F521" t="str">
        <f>"R09.02.11"</f>
        <v>R09.02.11</v>
      </c>
    </row>
    <row r="522" spans="1:6" x14ac:dyDescent="0.2">
      <c r="A522" t="str">
        <f>"第284号"</f>
        <v>第284号</v>
      </c>
      <c r="B522" t="str">
        <f>"株式会社ヨネザワ"</f>
        <v>株式会社ヨネザワ</v>
      </c>
      <c r="C522" t="str">
        <f>"メガネのヨネザワ　宇土店"</f>
        <v>メガネのヨネザワ　宇土店</v>
      </c>
      <c r="D522" t="str">
        <f>"宇土市南段原町南１１－７"</f>
        <v>宇土市南段原町南１１－７</v>
      </c>
      <c r="E522" t="str">
        <f>"R05.01.01"</f>
        <v>R05.01.01</v>
      </c>
      <c r="F522" t="str">
        <f>"R10.12.31"</f>
        <v>R10.12.31</v>
      </c>
    </row>
    <row r="523" spans="1:6" x14ac:dyDescent="0.2">
      <c r="A523" t="str">
        <f>"第1389号"</f>
        <v>第1389号</v>
      </c>
      <c r="B523" t="str">
        <f>"株式会社ファーマダイワ"</f>
        <v>株式会社ファーマダイワ</v>
      </c>
      <c r="C523" t="str">
        <f>"ひまわり薬局　宇土店"</f>
        <v>ひまわり薬局　宇土店</v>
      </c>
      <c r="D523" t="str">
        <f>"宇土市本町１丁目5番地１"</f>
        <v>宇土市本町１丁目5番地１</v>
      </c>
      <c r="E523" t="str">
        <f>"R04.05.01"</f>
        <v>R04.05.01</v>
      </c>
      <c r="F523" t="str">
        <f>"R10.04.30"</f>
        <v>R10.04.30</v>
      </c>
    </row>
    <row r="524" spans="1:6" x14ac:dyDescent="0.2">
      <c r="A524" t="str">
        <f>"第1605号"</f>
        <v>第1605号</v>
      </c>
      <c r="B524" t="str">
        <f>"ケアパーク株式会社"</f>
        <v>ケアパーク株式会社</v>
      </c>
      <c r="C524" t="str">
        <f>"ケアパーク熊本南店"</f>
        <v>ケアパーク熊本南店</v>
      </c>
      <c r="D524" t="str">
        <f>"宇土市松山町９３７番地１"</f>
        <v>宇土市松山町９３７番地１</v>
      </c>
      <c r="E524" t="str">
        <f>"R04.02.15"</f>
        <v>R04.02.15</v>
      </c>
      <c r="F524" t="str">
        <f>"R10.02.14"</f>
        <v>R10.02.14</v>
      </c>
    </row>
    <row r="525" spans="1:6" x14ac:dyDescent="0.2">
      <c r="A525" t="str">
        <f>"第1592号"</f>
        <v>第1592号</v>
      </c>
      <c r="B525" t="str">
        <f>"株式会社まるそうヘルスケア"</f>
        <v>株式会社まるそうヘルスケア</v>
      </c>
      <c r="C525" t="str">
        <f>"とよかわ薬局"</f>
        <v>とよかわ薬局</v>
      </c>
      <c r="D525" t="str">
        <f>"宇城市松橋町南豊崎５９３番地４"</f>
        <v>宇城市松橋町南豊崎５９３番地４</v>
      </c>
      <c r="E525" t="str">
        <f>"R03.10.01"</f>
        <v>R03.10.01</v>
      </c>
      <c r="F525" t="str">
        <f>"R09.09.30"</f>
        <v>R09.09.30</v>
      </c>
    </row>
    <row r="526" spans="1:6" x14ac:dyDescent="0.2">
      <c r="A526" t="str">
        <f>"第1352号"</f>
        <v>第1352号</v>
      </c>
      <c r="B526" t="str">
        <f>"有限会社明和"</f>
        <v>有限会社明和</v>
      </c>
      <c r="C526" t="str">
        <f>"ミノリ調剤薬局"</f>
        <v>ミノリ調剤薬局</v>
      </c>
      <c r="D526" t="str">
        <f>"宇城市小川町新田出字二番２７４"</f>
        <v>宇城市小川町新田出字二番２７４</v>
      </c>
      <c r="E526" t="str">
        <f>"R03.04.22"</f>
        <v>R03.04.22</v>
      </c>
      <c r="F526" t="str">
        <f>"R09.04.21"</f>
        <v>R09.04.21</v>
      </c>
    </row>
    <row r="527" spans="1:6" x14ac:dyDescent="0.2">
      <c r="A527" t="str">
        <f>"第1557号"</f>
        <v>第1557号</v>
      </c>
      <c r="B527" t="str">
        <f>"有限会社カワグチ薬局"</f>
        <v>有限会社カワグチ薬局</v>
      </c>
      <c r="C527" t="str">
        <f>"道の駅調剤薬局"</f>
        <v>道の駅調剤薬局</v>
      </c>
      <c r="D527" t="str">
        <f>"宇城市松橋町久具７５８番地４"</f>
        <v>宇城市松橋町久具７５８番地４</v>
      </c>
      <c r="E527" t="str">
        <f>"R03.04.01"</f>
        <v>R03.04.01</v>
      </c>
      <c r="F527" t="str">
        <f>"R09.03.31"</f>
        <v>R09.03.31</v>
      </c>
    </row>
    <row r="528" spans="1:6" x14ac:dyDescent="0.2">
      <c r="A528" t="str">
        <f>"第1537号"</f>
        <v>第1537号</v>
      </c>
      <c r="B528" t="str">
        <f>"江上　慶太"</f>
        <v>江上　慶太</v>
      </c>
      <c r="C528" t="str">
        <f>"かえで薬局"</f>
        <v>かえで薬局</v>
      </c>
      <c r="D528" t="str">
        <f>"宇城市松橋町曲野字南田２２７５－６"</f>
        <v>宇城市松橋町曲野字南田２２７５－６</v>
      </c>
      <c r="E528" t="str">
        <f>"R02.07.27"</f>
        <v>R02.07.27</v>
      </c>
      <c r="F528" t="str">
        <f>"R08.07.26"</f>
        <v>R08.07.26</v>
      </c>
    </row>
    <row r="529" spans="1:6" x14ac:dyDescent="0.2">
      <c r="A529" t="str">
        <f>"第904号"</f>
        <v>第904号</v>
      </c>
      <c r="B529" t="str">
        <f>"株式会社　宇土まつやま調剤薬局"</f>
        <v>株式会社　宇土まつやま調剤薬局</v>
      </c>
      <c r="C529" t="str">
        <f>"宇土まつやま調剤薬局"</f>
        <v>宇土まつやま調剤薬局</v>
      </c>
      <c r="D529" t="str">
        <f>"宇土市松山町１９２１－３"</f>
        <v>宇土市松山町１９２１－３</v>
      </c>
      <c r="E529" t="str">
        <f>"R02.01.01"</f>
        <v>R02.01.01</v>
      </c>
      <c r="F529" t="str">
        <f>"R07.12.31"</f>
        <v>R07.12.31</v>
      </c>
    </row>
    <row r="530" spans="1:6" x14ac:dyDescent="0.2">
      <c r="A530" t="str">
        <f>"第1335号"</f>
        <v>第1335号</v>
      </c>
      <c r="B530" t="str">
        <f>"株式会社ヨネザワ"</f>
        <v>株式会社ヨネザワ</v>
      </c>
      <c r="C530" t="str">
        <f>"メガネのヨネザワ　イオン天草店"</f>
        <v>メガネのヨネザワ　イオン天草店</v>
      </c>
      <c r="D530" t="str">
        <f>"天草市亀場町食場後山下７４０"</f>
        <v>天草市亀場町食場後山下７４０</v>
      </c>
      <c r="E530" t="str">
        <f>"R03.01.20"</f>
        <v>R03.01.20</v>
      </c>
      <c r="F530" t="str">
        <f>"R09.01.19"</f>
        <v>R09.01.19</v>
      </c>
    </row>
    <row r="531" spans="1:6" x14ac:dyDescent="0.2">
      <c r="A531" t="str">
        <f>"第1725号"</f>
        <v>第1725号</v>
      </c>
      <c r="B531" t="str">
        <f>"株式会社とみた薬局"</f>
        <v>株式会社とみた薬局</v>
      </c>
      <c r="C531" t="str">
        <f>"ほんど北薬局"</f>
        <v>ほんど北薬局</v>
      </c>
      <c r="D531" t="str">
        <f>"天草市八幡町７－２５"</f>
        <v>天草市八幡町７－２５</v>
      </c>
      <c r="E531" t="str">
        <f>"R07.04.01"</f>
        <v>R07.04.01</v>
      </c>
      <c r="F531" t="str">
        <f>"R12.12.31"</f>
        <v>R12.12.31</v>
      </c>
    </row>
    <row r="532" spans="1:6" x14ac:dyDescent="0.2">
      <c r="A532" t="str">
        <f>"第1726号"</f>
        <v>第1726号</v>
      </c>
      <c r="B532" t="str">
        <f>"株式会社とみた薬局"</f>
        <v>株式会社とみた薬局</v>
      </c>
      <c r="C532" t="str">
        <f>"エーピー薬局"</f>
        <v>エーピー薬局</v>
      </c>
      <c r="D532" t="str">
        <f>"天草市亀場町亀川１６９３番地２"</f>
        <v>天草市亀場町亀川１６９３番地２</v>
      </c>
      <c r="E532" t="str">
        <f>"R07.04.01"</f>
        <v>R07.04.01</v>
      </c>
      <c r="F532" t="str">
        <f>"R12.12.31"</f>
        <v>R12.12.31</v>
      </c>
    </row>
    <row r="533" spans="1:6" x14ac:dyDescent="0.2">
      <c r="A533" t="str">
        <f>"第982号"</f>
        <v>第982号</v>
      </c>
      <c r="B533" t="str">
        <f>"株式会社　ドラッグストアモリ"</f>
        <v>株式会社　ドラッグストアモリ</v>
      </c>
      <c r="C533" t="str">
        <f>"ドラッグストアモリ天草亀川店"</f>
        <v>ドラッグストアモリ天草亀川店</v>
      </c>
      <c r="D533" t="str">
        <f>"天草市亀場町亀川１８７７－４"</f>
        <v>天草市亀場町亀川１８７７－４</v>
      </c>
      <c r="E533" t="str">
        <f>"R03.10.29"</f>
        <v>R03.10.29</v>
      </c>
      <c r="F533" t="str">
        <f>"R09.10.28"</f>
        <v>R09.10.28</v>
      </c>
    </row>
    <row r="534" spans="1:6" x14ac:dyDescent="0.2">
      <c r="A534" t="str">
        <f>"第1730号"</f>
        <v>第1730号</v>
      </c>
      <c r="B534" t="str">
        <f>"株式会社サニープレイス"</f>
        <v>株式会社サニープレイス</v>
      </c>
      <c r="C534" t="str">
        <f>"サニー牛深薬局"</f>
        <v>サニー牛深薬局</v>
      </c>
      <c r="D534" t="str">
        <f>"天草市久玉町５７０４番地５"</f>
        <v>天草市久玉町５７０４番地５</v>
      </c>
      <c r="E534" t="str">
        <f>"R07.06.01"</f>
        <v>R07.06.01</v>
      </c>
      <c r="F534" t="str">
        <f>"R13.05.31"</f>
        <v>R13.05.31</v>
      </c>
    </row>
    <row r="535" spans="1:6" x14ac:dyDescent="0.2">
      <c r="A535" t="str">
        <f>"第813号"</f>
        <v>第813号</v>
      </c>
      <c r="B535" t="str">
        <f>"肥銀リース株式会社"</f>
        <v>肥銀リース株式会社</v>
      </c>
      <c r="C535" t="str">
        <f>"肥銀リース株式会社　天草支店"</f>
        <v>肥銀リース株式会社　天草支店</v>
      </c>
      <c r="D535" t="str">
        <f>"天草市南新町６－１"</f>
        <v>天草市南新町６－１</v>
      </c>
      <c r="E535" t="str">
        <f>"R07.01.01"</f>
        <v>R07.01.01</v>
      </c>
      <c r="F535" t="str">
        <f>"R12.12.31"</f>
        <v>R12.12.31</v>
      </c>
    </row>
    <row r="536" spans="1:6" x14ac:dyDescent="0.2">
      <c r="A536" t="str">
        <f>"第491号"</f>
        <v>第491号</v>
      </c>
      <c r="B536" t="str">
        <f>"株式会社木山薬局"</f>
        <v>株式会社木山薬局</v>
      </c>
      <c r="C536" t="str">
        <f>"株式会社木山薬局北部店"</f>
        <v>株式会社木山薬局北部店</v>
      </c>
      <c r="D536" t="str">
        <f>"天草市八幡町１番１号"</f>
        <v>天草市八幡町１番１号</v>
      </c>
      <c r="E536" t="str">
        <f>"R05.01.01"</f>
        <v>R05.01.01</v>
      </c>
      <c r="F536" t="str">
        <f>"R10.12.31"</f>
        <v>R10.12.31</v>
      </c>
    </row>
    <row r="537" spans="1:6" x14ac:dyDescent="0.2">
      <c r="A537" t="str">
        <f>"第354号"</f>
        <v>第354号</v>
      </c>
      <c r="B537" t="str">
        <f>"株式会社アトル"</f>
        <v>株式会社アトル</v>
      </c>
      <c r="C537" t="str">
        <f>"株式会社アトル　天草支店"</f>
        <v>株式会社アトル　天草支店</v>
      </c>
      <c r="D537" t="str">
        <f>"天草市亀場町亀川１１３－２"</f>
        <v>天草市亀場町亀川１１３－２</v>
      </c>
      <c r="E537" t="str">
        <f>"R05.01.01"</f>
        <v>R05.01.01</v>
      </c>
      <c r="F537" t="str">
        <f>"R10.12.31"</f>
        <v>R10.12.31</v>
      </c>
    </row>
    <row r="538" spans="1:6" x14ac:dyDescent="0.2">
      <c r="A538" t="str">
        <f>"第356号"</f>
        <v>第356号</v>
      </c>
      <c r="B538" t="str">
        <f>"株式会社　新生堂"</f>
        <v>株式会社　新生堂</v>
      </c>
      <c r="C538" t="str">
        <f>"株式会社　新生堂　天草営業所"</f>
        <v>株式会社　新生堂　天草営業所</v>
      </c>
      <c r="D538" t="str">
        <f>"天草市亀場町亀川１３８７－６"</f>
        <v>天草市亀場町亀川１３８７－６</v>
      </c>
      <c r="E538" t="str">
        <f>"R05.01.01"</f>
        <v>R05.01.01</v>
      </c>
      <c r="F538" t="str">
        <f>"R10.12.31"</f>
        <v>R10.12.31</v>
      </c>
    </row>
    <row r="539" spans="1:6" x14ac:dyDescent="0.2">
      <c r="A539" t="str">
        <f>"第1721号"</f>
        <v>第1721号</v>
      </c>
      <c r="B539" t="str">
        <f>"株式会社八尾ムトウ"</f>
        <v>株式会社八尾ムトウ</v>
      </c>
      <c r="C539" t="str">
        <f>"株式会社八尾ムトウ　天草支店"</f>
        <v>株式会社八尾ムトウ　天草支店</v>
      </c>
      <c r="D539" t="str">
        <f>"天草市本渡町本渡２６４５－１"</f>
        <v>天草市本渡町本渡２６４５－１</v>
      </c>
      <c r="E539" t="str">
        <f>"R07.04.01"</f>
        <v>R07.04.01</v>
      </c>
      <c r="F539" t="str">
        <f>"R12.12.31"</f>
        <v>R12.12.31</v>
      </c>
    </row>
    <row r="540" spans="1:6" x14ac:dyDescent="0.2">
      <c r="A540" t="str">
        <f>"第1512号"</f>
        <v>第1512号</v>
      </c>
      <c r="B540" t="str">
        <f>"株式会社アポセカリーＨＡＹＡＳＨＩ"</f>
        <v>株式会社アポセカリーＨＡＹＡＳＨＩ</v>
      </c>
      <c r="C540" t="str">
        <f>"はやし薬局"</f>
        <v>はやし薬局</v>
      </c>
      <c r="D540" t="str">
        <f>"天草市城下町６番１９号"</f>
        <v>天草市城下町６番１９号</v>
      </c>
      <c r="E540" t="str">
        <f>"R07.01.01"</f>
        <v>R07.01.01</v>
      </c>
      <c r="F540" t="str">
        <f>"R12.12.31"</f>
        <v>R12.12.31</v>
      </c>
    </row>
    <row r="541" spans="1:6" x14ac:dyDescent="0.2">
      <c r="A541" t="str">
        <f>"第1511号"</f>
        <v>第1511号</v>
      </c>
      <c r="B541" t="str">
        <f>"株式会社ファルコバイオシステムズ"</f>
        <v>株式会社ファルコバイオシステムズ</v>
      </c>
      <c r="C541" t="str">
        <f>"株式会社ファルコバイオシステムズ天草営業所"</f>
        <v>株式会社ファルコバイオシステムズ天草営業所</v>
      </c>
      <c r="D541" t="str">
        <f>"天草市今釜町１２－２７"</f>
        <v>天草市今釜町１２－２７</v>
      </c>
      <c r="E541" t="str">
        <f>"R07.01.01"</f>
        <v>R07.01.01</v>
      </c>
      <c r="F541" t="str">
        <f>"R12.12.31"</f>
        <v>R12.12.31</v>
      </c>
    </row>
    <row r="542" spans="1:6" x14ac:dyDescent="0.2">
      <c r="A542" t="str">
        <f>"第1498号"</f>
        <v>第1498号</v>
      </c>
      <c r="B542" t="str">
        <f>"株式会社メディカルインテリジェンス"</f>
        <v>株式会社メディカルインテリジェンス</v>
      </c>
      <c r="C542" t="str">
        <f>"くらしの薬局"</f>
        <v>くらしの薬局</v>
      </c>
      <c r="D542" t="str">
        <f>"上天草市姫戸町姫浦２５２８－３"</f>
        <v>上天草市姫戸町姫浦２５２８－３</v>
      </c>
      <c r="E542" t="str">
        <f>"R07.01.01"</f>
        <v>R07.01.01</v>
      </c>
      <c r="F542" t="str">
        <f>"R12.12.31"</f>
        <v>R12.12.31</v>
      </c>
    </row>
    <row r="543" spans="1:6" x14ac:dyDescent="0.2">
      <c r="A543" t="str">
        <f>"第1489号"</f>
        <v>第1489号</v>
      </c>
      <c r="B543" t="str">
        <f>"荒木　圭一"</f>
        <v>荒木　圭一</v>
      </c>
      <c r="C543" t="str">
        <f>"オーシーエス"</f>
        <v>オーシーエス</v>
      </c>
      <c r="D543" t="str">
        <f>"天草市有明町大島子大矢３０４４番地１"</f>
        <v>天草市有明町大島子大矢３０４４番地１</v>
      </c>
      <c r="E543" t="str">
        <f>"R06.12.14"</f>
        <v>R06.12.14</v>
      </c>
      <c r="F543" t="str">
        <f>"R12.12.13"</f>
        <v>R12.12.13</v>
      </c>
    </row>
    <row r="544" spans="1:6" x14ac:dyDescent="0.2">
      <c r="A544" t="str">
        <f>"第1240号"</f>
        <v>第1240号</v>
      </c>
      <c r="B544" t="str">
        <f>"株式会社アビィロード"</f>
        <v>株式会社アビィロード</v>
      </c>
      <c r="C544" t="str">
        <f>"ファイン薬局"</f>
        <v>ファイン薬局</v>
      </c>
      <c r="D544" t="str">
        <f>"天草市大浜町８番８号"</f>
        <v>天草市大浜町８番８号</v>
      </c>
      <c r="E544" t="str">
        <f>"R07.01.01"</f>
        <v>R07.01.01</v>
      </c>
      <c r="F544" t="str">
        <f>"R12.12.31"</f>
        <v>R12.12.31</v>
      </c>
    </row>
    <row r="545" spans="1:6" x14ac:dyDescent="0.2">
      <c r="A545" t="str">
        <f>"第1237号"</f>
        <v>第1237号</v>
      </c>
      <c r="B545" t="str">
        <f>"株式会社天草調剤薬局"</f>
        <v>株式会社天草調剤薬局</v>
      </c>
      <c r="C545" t="str">
        <f>"東町調剤薬局"</f>
        <v>東町調剤薬局</v>
      </c>
      <c r="D545" t="str">
        <f>"天草市東町８５番地"</f>
        <v>天草市東町８５番地</v>
      </c>
      <c r="E545" t="str">
        <f>"R07.01.01"</f>
        <v>R07.01.01</v>
      </c>
      <c r="F545" t="str">
        <f>"R12.12.31"</f>
        <v>R12.12.31</v>
      </c>
    </row>
    <row r="546" spans="1:6" x14ac:dyDescent="0.2">
      <c r="A546" t="str">
        <f>"第1197号"</f>
        <v>第1197号</v>
      </c>
      <c r="B546" t="str">
        <f>"綜合警備保障株式会社"</f>
        <v>綜合警備保障株式会社</v>
      </c>
      <c r="C546" t="str">
        <f>"綜合警備保障株式会社　熊本支社　天草営業所"</f>
        <v>綜合警備保障株式会社　熊本支社　天草営業所</v>
      </c>
      <c r="D546" t="str">
        <f>"天草市太田町２１－１１　太田町中央ビル３Ｆ"</f>
        <v>天草市太田町２１－１１　太田町中央ビル３Ｆ</v>
      </c>
      <c r="E546" t="str">
        <f>"R06.12.10"</f>
        <v>R06.12.10</v>
      </c>
      <c r="F546" t="str">
        <f>"R12.12.09"</f>
        <v>R12.12.09</v>
      </c>
    </row>
    <row r="547" spans="1:6" x14ac:dyDescent="0.2">
      <c r="A547" t="str">
        <f>"第1506号"</f>
        <v>第1506号</v>
      </c>
      <c r="B547" t="str">
        <f>"株式会社ＱＣＣＧ"</f>
        <v>株式会社ＱＣＣＧ</v>
      </c>
      <c r="C547" t="str">
        <f>"株式会社ＱＣＣＧ天草営業所"</f>
        <v>株式会社ＱＣＣＧ天草営業所</v>
      </c>
      <c r="D547" t="str">
        <f>"天草市今釜新町３５５９番"</f>
        <v>天草市今釜新町３５５９番</v>
      </c>
      <c r="E547" t="str">
        <f>"R07.01.01"</f>
        <v>R07.01.01</v>
      </c>
      <c r="F547" t="str">
        <f>"R12.12.31"</f>
        <v>R12.12.31</v>
      </c>
    </row>
    <row r="548" spans="1:6" x14ac:dyDescent="0.2">
      <c r="A548" t="str">
        <f>"第1657号"</f>
        <v>第1657号</v>
      </c>
      <c r="B548" t="str">
        <f>"株式会社コスモス薬品"</f>
        <v>株式会社コスモス薬品</v>
      </c>
      <c r="C548" t="str">
        <f>"ドラッグコスモス松島店"</f>
        <v>ドラッグコスモス松島店</v>
      </c>
      <c r="D548" t="str">
        <f>"上天草市松島町合津７９１５－６"</f>
        <v>上天草市松島町合津７９１５－６</v>
      </c>
      <c r="E548" t="str">
        <f>"R05.06.29"</f>
        <v>R05.06.29</v>
      </c>
      <c r="F548" t="str">
        <f>"R11.06.28"</f>
        <v>R11.06.28</v>
      </c>
    </row>
    <row r="549" spans="1:6" x14ac:dyDescent="0.2">
      <c r="A549" t="str">
        <f>"第1607号"</f>
        <v>第1607号</v>
      </c>
      <c r="B549" t="str">
        <f>"株式会社モアナ"</f>
        <v>株式会社モアナ</v>
      </c>
      <c r="C549" t="str">
        <f>"マリーン薬局"</f>
        <v>マリーン薬局</v>
      </c>
      <c r="D549" t="str">
        <f>"天草市牛深町１５５１－６９"</f>
        <v>天草市牛深町１５５１－６９</v>
      </c>
      <c r="E549" t="str">
        <f>"R04.04.01"</f>
        <v>R04.04.01</v>
      </c>
      <c r="F549" t="str">
        <f>"R10.03.31"</f>
        <v>R10.03.31</v>
      </c>
    </row>
    <row r="550" spans="1:6" x14ac:dyDescent="0.2">
      <c r="A550" t="str">
        <f>"第1363号"</f>
        <v>第1363号</v>
      </c>
      <c r="B550" t="str">
        <f>"株式会社八尾ムトウ"</f>
        <v>株式会社八尾ムトウ</v>
      </c>
      <c r="C550" t="str">
        <f>"株式会社八尾ムトウ　天草支店"</f>
        <v>株式会社八尾ムトウ　天草支店</v>
      </c>
      <c r="D550" t="str">
        <f>"天草市古川町7-2"</f>
        <v>天草市古川町7-2</v>
      </c>
      <c r="E550" t="str">
        <f>"R03.06.26"</f>
        <v>R03.06.26</v>
      </c>
      <c r="F550" t="str">
        <f>"R09.06.25"</f>
        <v>R09.06.25</v>
      </c>
    </row>
    <row r="551" spans="1:6" x14ac:dyDescent="0.2">
      <c r="A551" t="str">
        <f>"第355号"</f>
        <v>第355号</v>
      </c>
      <c r="B551" t="str">
        <f>"株式会社アステム"</f>
        <v>株式会社アステム</v>
      </c>
      <c r="C551" t="str">
        <f>"株式会社アステム　天草支店"</f>
        <v>株式会社アステム　天草支店</v>
      </c>
      <c r="D551" t="str">
        <f>"天草市亀場町食場８２５"</f>
        <v>天草市亀場町食場８２５</v>
      </c>
      <c r="E551" t="str">
        <f>"R05.01.01"</f>
        <v>R05.01.01</v>
      </c>
      <c r="F551" t="str">
        <f>"R10.12.31"</f>
        <v>R10.12.31</v>
      </c>
    </row>
    <row r="552" spans="1:6" x14ac:dyDescent="0.2">
      <c r="A552" t="str">
        <f>"第1697号"</f>
        <v>第1697号</v>
      </c>
      <c r="B552" t="str">
        <f>"株式会社められうか"</f>
        <v>株式会社められうか</v>
      </c>
      <c r="C552" t="str">
        <f>"ありあけ薬局"</f>
        <v>ありあけ薬局</v>
      </c>
      <c r="D552" t="str">
        <f>"天草市有明町大島子１９４９－３"</f>
        <v>天草市有明町大島子１９４９－３</v>
      </c>
      <c r="E552" t="str">
        <f>"R06.06.06"</f>
        <v>R06.06.06</v>
      </c>
      <c r="F552" t="str">
        <f>"R11.12.31"</f>
        <v>R11.12.31</v>
      </c>
    </row>
    <row r="553" spans="1:6" x14ac:dyDescent="0.2">
      <c r="A553" t="str">
        <f>"第1692号"</f>
        <v>第1692号</v>
      </c>
      <c r="B553" t="str">
        <f>"株式会社メディカルインテリジェンス"</f>
        <v>株式会社メディカルインテリジェンス</v>
      </c>
      <c r="C553" t="str">
        <f>"龍ヶ岳くらしの薬局"</f>
        <v>龍ヶ岳くらしの薬局</v>
      </c>
      <c r="D553" t="str">
        <f>"上天草市龍ケ岳町高戸１２３７－１７"</f>
        <v>上天草市龍ケ岳町高戸１２３７－１７</v>
      </c>
      <c r="E553" t="str">
        <f>"R06.05.01"</f>
        <v>R06.05.01</v>
      </c>
      <c r="F553" t="str">
        <f>"R12.04.30"</f>
        <v>R12.04.30</v>
      </c>
    </row>
    <row r="554" spans="1:6" x14ac:dyDescent="0.2">
      <c r="A554" t="str">
        <f>"第1688号"</f>
        <v>第1688号</v>
      </c>
      <c r="B554" t="str">
        <f>"株式会社メガネトップ"</f>
        <v>株式会社メガネトップ</v>
      </c>
      <c r="C554" t="str">
        <f>"眼鏡市場　天草市役所前店"</f>
        <v>眼鏡市場　天草市役所前店</v>
      </c>
      <c r="D554" t="str">
        <f>"天草市東浜町９－６"</f>
        <v>天草市東浜町９－６</v>
      </c>
      <c r="E554" t="str">
        <f>"R06.03.19"</f>
        <v>R06.03.19</v>
      </c>
      <c r="F554" t="str">
        <f>"R12.03.18"</f>
        <v>R12.03.18</v>
      </c>
    </row>
    <row r="555" spans="1:6" x14ac:dyDescent="0.2">
      <c r="A555" t="str">
        <f>"第1687号"</f>
        <v>第1687号</v>
      </c>
      <c r="B555" t="str">
        <f>"有限会社ハート薬局"</f>
        <v>有限会社ハート薬局</v>
      </c>
      <c r="C555" t="str">
        <f>"ハート薬局牛深店"</f>
        <v>ハート薬局牛深店</v>
      </c>
      <c r="D555" t="str">
        <f>"天草市牛深町１４９８－３８"</f>
        <v>天草市牛深町１４９８－３８</v>
      </c>
      <c r="E555" t="str">
        <f>"R06.03.14"</f>
        <v>R06.03.14</v>
      </c>
      <c r="F555" t="str">
        <f>"R11.12.31"</f>
        <v>R11.12.31</v>
      </c>
    </row>
    <row r="556" spans="1:6" x14ac:dyDescent="0.2">
      <c r="A556" t="str">
        <f>"第1129号"</f>
        <v>第1129号</v>
      </c>
      <c r="B556" t="str">
        <f>"株式会社　ドラッグストアモリ"</f>
        <v>株式会社　ドラッグストアモリ</v>
      </c>
      <c r="C556" t="str">
        <f>"ドラッグストアモリ　天草大浜店"</f>
        <v>ドラッグストアモリ　天草大浜店</v>
      </c>
      <c r="D556" t="str">
        <f>"天草市大浜町３７６番地１"</f>
        <v>天草市大浜町３７６番地１</v>
      </c>
      <c r="E556" t="str">
        <f>"R06.03.26"</f>
        <v>R06.03.26</v>
      </c>
      <c r="F556" t="str">
        <f>"R12.03.25"</f>
        <v>R12.03.25</v>
      </c>
    </row>
    <row r="557" spans="1:6" x14ac:dyDescent="0.2">
      <c r="A557" t="str">
        <f>"第1603号"</f>
        <v>第1603号</v>
      </c>
      <c r="B557" t="str">
        <f>"株式会社シルバーレスキュー"</f>
        <v>株式会社シルバーレスキュー</v>
      </c>
      <c r="C557" t="str">
        <f>"株式会社シルバーレスキュー"</f>
        <v>株式会社シルバーレスキュー</v>
      </c>
      <c r="D557" t="str">
        <f>"天草市本渡町本渡２５７８－６"</f>
        <v>天草市本渡町本渡２５７８－６</v>
      </c>
      <c r="E557" t="str">
        <f>"R04.01.18"</f>
        <v>R04.01.18</v>
      </c>
      <c r="F557" t="str">
        <f>"R10.01.17"</f>
        <v>R10.01.17</v>
      </c>
    </row>
    <row r="558" spans="1:6" x14ac:dyDescent="0.2">
      <c r="A558" t="str">
        <f>"第919号"</f>
        <v>第919号</v>
      </c>
      <c r="B558" t="str">
        <f>"株式会社メガネスーパー"</f>
        <v>株式会社メガネスーパー</v>
      </c>
      <c r="C558" t="str">
        <f>"メガネスーパー天草店"</f>
        <v>メガネスーパー天草店</v>
      </c>
      <c r="D558" t="str">
        <f>"天草市今釜町１６番１９号"</f>
        <v>天草市今釜町１６番１９号</v>
      </c>
      <c r="E558" t="str">
        <f>"R02.11.20"</f>
        <v>R02.11.20</v>
      </c>
      <c r="F558" t="str">
        <f>"R08.11.19"</f>
        <v>R08.11.19</v>
      </c>
    </row>
    <row r="559" spans="1:6" x14ac:dyDescent="0.2">
      <c r="A559" t="str">
        <f>"第1680号"</f>
        <v>第1680号</v>
      </c>
      <c r="B559" t="str">
        <f>"株式会社千里"</f>
        <v>株式会社千里</v>
      </c>
      <c r="C559" t="str">
        <f>"コンタクトレンズ　ニーナム"</f>
        <v>コンタクトレンズ　ニーナム</v>
      </c>
      <c r="D559" t="str">
        <f>"天草市久玉町５７１６－６"</f>
        <v>天草市久玉町５７１６－６</v>
      </c>
      <c r="E559" t="str">
        <f>"R06.01.01"</f>
        <v>R06.01.01</v>
      </c>
      <c r="F559" t="str">
        <f>"R11.12.31"</f>
        <v>R11.12.31</v>
      </c>
    </row>
    <row r="560" spans="1:6" x14ac:dyDescent="0.2">
      <c r="A560" t="str">
        <f>"第1108号"</f>
        <v>第1108号</v>
      </c>
      <c r="B560" t="str">
        <f>"株式会社メディカルインテリジェンス"</f>
        <v>株式会社メディカルインテリジェンス</v>
      </c>
      <c r="C560" t="str">
        <f>"くらしの薬局　中店"</f>
        <v>くらしの薬局　中店</v>
      </c>
      <c r="D560" t="str">
        <f>"上天草市大矢野町中８２９２－７"</f>
        <v>上天草市大矢野町中８２９２－７</v>
      </c>
      <c r="E560" t="str">
        <f>"R05.12.13"</f>
        <v>R05.12.13</v>
      </c>
      <c r="F560" t="str">
        <f>"R11.12.12"</f>
        <v>R11.12.12</v>
      </c>
    </row>
    <row r="561" spans="1:6" x14ac:dyDescent="0.2">
      <c r="A561" t="str">
        <f>"第747号"</f>
        <v>第747号</v>
      </c>
      <c r="B561" t="str">
        <f>"株式会社　ＡＱＵＡ"</f>
        <v>株式会社　ＡＱＵＡ</v>
      </c>
      <c r="C561" t="str">
        <f>"あまくさ薬局"</f>
        <v>あまくさ薬局</v>
      </c>
      <c r="D561" t="str">
        <f>"天草市本渡町広瀬字大矢崎５番地１２３"</f>
        <v>天草市本渡町広瀬字大矢崎５番地１２３</v>
      </c>
      <c r="E561" t="str">
        <f>"R06.01.01"</f>
        <v>R06.01.01</v>
      </c>
      <c r="F561" t="str">
        <f>"R11.12.31"</f>
        <v>R11.12.31</v>
      </c>
    </row>
    <row r="562" spans="1:6" x14ac:dyDescent="0.2">
      <c r="A562" t="str">
        <f>"第736号"</f>
        <v>第736号</v>
      </c>
      <c r="B562" t="str">
        <f>"有限会社　すばる薬局"</f>
        <v>有限会社　すばる薬局</v>
      </c>
      <c r="C562" t="str">
        <f>"すばる薬局"</f>
        <v>すばる薬局</v>
      </c>
      <c r="D562" t="str">
        <f>"天草市大浜町３番３５号"</f>
        <v>天草市大浜町３番３５号</v>
      </c>
      <c r="E562" t="str">
        <f>"R06.01.01"</f>
        <v>R06.01.01</v>
      </c>
      <c r="F562" t="str">
        <f>"R11.12.31"</f>
        <v>R11.12.31</v>
      </c>
    </row>
    <row r="563" spans="1:6" x14ac:dyDescent="0.2">
      <c r="A563" t="str">
        <f>"第739号"</f>
        <v>第739号</v>
      </c>
      <c r="B563" t="str">
        <f>"株式会社　ＡＱＵＡ"</f>
        <v>株式会社　ＡＱＵＡ</v>
      </c>
      <c r="C563" t="str">
        <f>"イルカ薬局"</f>
        <v>イルカ薬局</v>
      </c>
      <c r="D563" t="str">
        <f>"天草市五和町二江１４７７番地７３"</f>
        <v>天草市五和町二江１４７７番地７３</v>
      </c>
      <c r="E563" t="str">
        <f>"R06.01.01"</f>
        <v>R06.01.01</v>
      </c>
      <c r="F563" t="str">
        <f>"R11.12.31"</f>
        <v>R11.12.31</v>
      </c>
    </row>
    <row r="564" spans="1:6" x14ac:dyDescent="0.2">
      <c r="A564" t="str">
        <f>"第668号"</f>
        <v>第668号</v>
      </c>
      <c r="B564" t="str">
        <f>"江崎　光則"</f>
        <v>江崎　光則</v>
      </c>
      <c r="C564" t="str">
        <f>"学設社"</f>
        <v>学設社</v>
      </c>
      <c r="D564" t="str">
        <f>"天草市亀場町亀川443"</f>
        <v>天草市亀場町亀川443</v>
      </c>
      <c r="E564" t="str">
        <f>"R06.01.01"</f>
        <v>R06.01.01</v>
      </c>
      <c r="F564" t="str">
        <f>"R11.12.31"</f>
        <v>R11.12.31</v>
      </c>
    </row>
    <row r="565" spans="1:6" x14ac:dyDescent="0.2">
      <c r="A565" t="str">
        <f>"第1658号"</f>
        <v>第1658号</v>
      </c>
      <c r="B565" t="str">
        <f>"株式会社コスモス薬品"</f>
        <v>株式会社コスモス薬品</v>
      </c>
      <c r="C565" t="str">
        <f>"ドラッグコスモス天草食場店"</f>
        <v>ドラッグコスモス天草食場店</v>
      </c>
      <c r="D565" t="str">
        <f>"天草市亀場町食場９４７"</f>
        <v>天草市亀場町食場９４７</v>
      </c>
      <c r="E565" t="str">
        <f>"R05.06.29"</f>
        <v>R05.06.29</v>
      </c>
      <c r="F565" t="str">
        <f>"R11.06.28"</f>
        <v>R11.06.28</v>
      </c>
    </row>
    <row r="566" spans="1:6" x14ac:dyDescent="0.2">
      <c r="A566" t="str">
        <f>"第1435号"</f>
        <v>第1435号</v>
      </c>
      <c r="B566" t="str">
        <f>"株式会社コスモス薬品"</f>
        <v>株式会社コスモス薬品</v>
      </c>
      <c r="C566" t="str">
        <f>"ドラッグコスモス大矢野店"</f>
        <v>ドラッグコスモス大矢野店</v>
      </c>
      <c r="D566" t="str">
        <f>"上天草市大矢野町上１４８４－１"</f>
        <v>上天草市大矢野町上１４８４－１</v>
      </c>
      <c r="E566" t="str">
        <f>"R05.08.15"</f>
        <v>R05.08.15</v>
      </c>
      <c r="F566" t="str">
        <f>"R11.08.14"</f>
        <v>R11.08.14</v>
      </c>
    </row>
    <row r="567" spans="1:6" x14ac:dyDescent="0.2">
      <c r="A567" t="str">
        <f>"第1618号"</f>
        <v>第1618号</v>
      </c>
      <c r="B567" t="str">
        <f>"株式会社コスモス薬品"</f>
        <v>株式会社コスモス薬品</v>
      </c>
      <c r="C567" t="str">
        <f>"ドラッグコスモス本渡北店"</f>
        <v>ドラッグコスモス本渡北店</v>
      </c>
      <c r="D567" t="str">
        <f>"天草市丸尾町１１－４"</f>
        <v>天草市丸尾町１１－４</v>
      </c>
      <c r="E567" t="str">
        <f>"R04.07.07"</f>
        <v>R04.07.07</v>
      </c>
      <c r="F567" t="str">
        <f>"R10.07.06"</f>
        <v>R10.07.06</v>
      </c>
    </row>
    <row r="568" spans="1:6" x14ac:dyDescent="0.2">
      <c r="A568" t="str">
        <f>"第1362号"</f>
        <v>第1362号</v>
      </c>
      <c r="B568" t="str">
        <f>"アイティーアイ株式会社"</f>
        <v>アイティーアイ株式会社</v>
      </c>
      <c r="C568" t="str">
        <f>"アイティーアイ株式会社　天草営業所"</f>
        <v>アイティーアイ株式会社　天草営業所</v>
      </c>
      <c r="D568" t="str">
        <f>"天草市東浜町７番９号"</f>
        <v>天草市東浜町７番９号</v>
      </c>
      <c r="E568" t="str">
        <f>"R03.06.25"</f>
        <v>R03.06.25</v>
      </c>
      <c r="F568" t="str">
        <f>"R09.06.24"</f>
        <v>R09.06.24</v>
      </c>
    </row>
    <row r="569" spans="1:6" x14ac:dyDescent="0.2">
      <c r="A569" t="str">
        <f>"第365号"</f>
        <v>第365号</v>
      </c>
      <c r="B569" t="str">
        <f>"山下医科器械株式会社"</f>
        <v>山下医科器械株式会社</v>
      </c>
      <c r="C569" t="str">
        <f>"山下医科器械株式会社天草連絡所"</f>
        <v>山下医科器械株式会社天草連絡所</v>
      </c>
      <c r="D569" t="str">
        <f>"天草市小松原町１４－４"</f>
        <v>天草市小松原町１４－４</v>
      </c>
      <c r="E569" t="str">
        <f>"R05.04.01"</f>
        <v>R05.04.01</v>
      </c>
      <c r="F569" t="str">
        <f>"R11.03.31"</f>
        <v>R11.03.31</v>
      </c>
    </row>
    <row r="570" spans="1:6" x14ac:dyDescent="0.2">
      <c r="A570" t="str">
        <f>"第1579号"</f>
        <v>第1579号</v>
      </c>
      <c r="B570" t="str">
        <f>"九州風雲堂販売株式会社"</f>
        <v>九州風雲堂販売株式会社</v>
      </c>
      <c r="C570" t="str">
        <f>"九州風雲堂販売株式会社　天草出張所"</f>
        <v>九州風雲堂販売株式会社　天草出張所</v>
      </c>
      <c r="D570" t="str">
        <f>"天草市諏訪町７－１"</f>
        <v>天草市諏訪町７－１</v>
      </c>
      <c r="E570" t="str">
        <f>"R03.05.27"</f>
        <v>R03.05.27</v>
      </c>
      <c r="F570" t="str">
        <f>"R09.05.26"</f>
        <v>R09.05.26</v>
      </c>
    </row>
    <row r="571" spans="1:6" x14ac:dyDescent="0.2">
      <c r="A571" t="str">
        <f>"第350号"</f>
        <v>第350号</v>
      </c>
      <c r="B571" t="str">
        <f>"株式会社　宮崎温仙堂商店"</f>
        <v>株式会社　宮崎温仙堂商店</v>
      </c>
      <c r="C571" t="str">
        <f>"株式会社宮崎温仙堂商店　天草支店"</f>
        <v>株式会社宮崎温仙堂商店　天草支店</v>
      </c>
      <c r="D571" t="str">
        <f>"天草市大浜町１９番１３号"</f>
        <v>天草市大浜町１９番１３号</v>
      </c>
      <c r="E571" t="str">
        <f>"R05.01.01"</f>
        <v>R05.01.01</v>
      </c>
      <c r="F571" t="str">
        <f>"R10.12.31"</f>
        <v>R10.12.31</v>
      </c>
    </row>
    <row r="572" spans="1:6" x14ac:dyDescent="0.2">
      <c r="A572" t="str">
        <f>"第358号"</f>
        <v>第358号</v>
      </c>
      <c r="B572" t="str">
        <f>"九州東邦株式会社"</f>
        <v>九州東邦株式会社</v>
      </c>
      <c r="C572" t="str">
        <f>"九州東邦株式会社　天草営業所"</f>
        <v>九州東邦株式会社　天草営業所</v>
      </c>
      <c r="D572" t="str">
        <f>"天草市本渡町本戸馬場１９９０－３"</f>
        <v>天草市本渡町本戸馬場１９９０－３</v>
      </c>
      <c r="E572" t="str">
        <f>"R05.01.01"</f>
        <v>R05.01.01</v>
      </c>
      <c r="F572" t="str">
        <f>"R10.12.31"</f>
        <v>R10.12.31</v>
      </c>
    </row>
    <row r="573" spans="1:6" x14ac:dyDescent="0.2">
      <c r="A573" t="str">
        <f>"第1641号"</f>
        <v>第1641号</v>
      </c>
      <c r="B573" t="str">
        <f>"株式会社北星堂"</f>
        <v>株式会社北星堂</v>
      </c>
      <c r="C573" t="str">
        <f>"株式会社　北星堂　天草店"</f>
        <v>株式会社　北星堂　天草店</v>
      </c>
      <c r="D573" t="str">
        <f>"天草市大浜町２－４５"</f>
        <v>天草市大浜町２－４５</v>
      </c>
      <c r="E573" t="str">
        <f>"R05.05.29"</f>
        <v>R05.05.29</v>
      </c>
      <c r="F573" t="str">
        <f>"R10.12.31"</f>
        <v>R10.12.31</v>
      </c>
    </row>
    <row r="574" spans="1:6" x14ac:dyDescent="0.2">
      <c r="A574" t="str">
        <f>"第1613号"</f>
        <v>第1613号</v>
      </c>
      <c r="B574" t="str">
        <f>"有限会社フジオカ薬品"</f>
        <v>有限会社フジオカ薬品</v>
      </c>
      <c r="C574" t="str">
        <f>"有限会社フジオカ薬品"</f>
        <v>有限会社フジオカ薬品</v>
      </c>
      <c r="D574" t="str">
        <f>"天草市亀場町亀川１８４番地の１"</f>
        <v>天草市亀場町亀川１８４番地の１</v>
      </c>
      <c r="E574" t="str">
        <f>"R04.05.17"</f>
        <v>R04.05.17</v>
      </c>
      <c r="F574" t="str">
        <f>"R10.05.16"</f>
        <v>R10.05.16</v>
      </c>
    </row>
    <row r="575" spans="1:6" x14ac:dyDescent="0.2">
      <c r="A575" t="str">
        <f>"第352号"</f>
        <v>第352号</v>
      </c>
      <c r="B575" t="str">
        <f>"有限会社　カミシマ薬局"</f>
        <v>有限会社　カミシマ薬局</v>
      </c>
      <c r="C575" t="str">
        <f>"有限会社　カミシマ薬局"</f>
        <v>有限会社　カミシマ薬局</v>
      </c>
      <c r="D575" t="str">
        <f>"上天草市龍ケ岳町高戸１４２７"</f>
        <v>上天草市龍ケ岳町高戸１４２７</v>
      </c>
      <c r="E575" t="str">
        <f>"R05.04.01"</f>
        <v>R05.04.01</v>
      </c>
      <c r="F575" t="str">
        <f>"R11.03.31"</f>
        <v>R11.03.31</v>
      </c>
    </row>
    <row r="576" spans="1:6" x14ac:dyDescent="0.2">
      <c r="A576" t="str">
        <f>"第515号"</f>
        <v>第515号</v>
      </c>
      <c r="B576" t="str">
        <f>"株式会社天草調剤薬局"</f>
        <v>株式会社天草調剤薬局</v>
      </c>
      <c r="C576" t="str">
        <f>"デイ薬局"</f>
        <v>デイ薬局</v>
      </c>
      <c r="D576" t="str">
        <f>"天草市亀場町食場８５２－３"</f>
        <v>天草市亀場町食場８５２－３</v>
      </c>
      <c r="E576" t="str">
        <f t="shared" ref="E576:E592" si="19">"R05.01.01"</f>
        <v>R05.01.01</v>
      </c>
      <c r="F576" t="str">
        <f t="shared" ref="F576:F592" si="20">"R10.12.31"</f>
        <v>R10.12.31</v>
      </c>
    </row>
    <row r="577" spans="1:6" x14ac:dyDescent="0.2">
      <c r="A577" t="str">
        <f>"第493号"</f>
        <v>第493号</v>
      </c>
      <c r="B577" t="str">
        <f>"株式会社　アコー"</f>
        <v>株式会社　アコー</v>
      </c>
      <c r="C577" t="str">
        <f>"株式会社　アコー"</f>
        <v>株式会社　アコー</v>
      </c>
      <c r="D577" t="str">
        <f>"天草市佐伊津町３４１３番地の９"</f>
        <v>天草市佐伊津町３４１３番地の９</v>
      </c>
      <c r="E577" t="str">
        <f t="shared" si="19"/>
        <v>R05.01.01</v>
      </c>
      <c r="F577" t="str">
        <f t="shared" si="20"/>
        <v>R10.12.31</v>
      </c>
    </row>
    <row r="578" spans="1:6" x14ac:dyDescent="0.2">
      <c r="A578" t="str">
        <f>"第372号"</f>
        <v>第372号</v>
      </c>
      <c r="B578" t="str">
        <f>"株式会社ニーナム"</f>
        <v>株式会社ニーナム</v>
      </c>
      <c r="C578" t="str">
        <f>"コンタクトレンズニーナム"</f>
        <v>コンタクトレンズニーナム</v>
      </c>
      <c r="D578" t="str">
        <f>"天草市久玉町５７１６－６"</f>
        <v>天草市久玉町５７１６－６</v>
      </c>
      <c r="E578" t="str">
        <f t="shared" si="19"/>
        <v>R05.01.01</v>
      </c>
      <c r="F578" t="str">
        <f t="shared" si="20"/>
        <v>R10.12.31</v>
      </c>
    </row>
    <row r="579" spans="1:6" x14ac:dyDescent="0.2">
      <c r="A579" t="str">
        <f>"第364号"</f>
        <v>第364号</v>
      </c>
      <c r="B579" t="str">
        <f>"株式会社ヨネザワ"</f>
        <v>株式会社ヨネザワ</v>
      </c>
      <c r="C579" t="str">
        <f>"メガネのヨネザワ　本渡店"</f>
        <v>メガネのヨネザワ　本渡店</v>
      </c>
      <c r="D579" t="str">
        <f>"天草市南新町７－１７"</f>
        <v>天草市南新町７－１７</v>
      </c>
      <c r="E579" t="str">
        <f t="shared" si="19"/>
        <v>R05.01.01</v>
      </c>
      <c r="F579" t="str">
        <f t="shared" si="20"/>
        <v>R10.12.31</v>
      </c>
    </row>
    <row r="580" spans="1:6" x14ac:dyDescent="0.2">
      <c r="A580" t="str">
        <f>"第591号"</f>
        <v>第591号</v>
      </c>
      <c r="B580" t="str">
        <f>"有限会社ハート薬局"</f>
        <v>有限会社ハート薬局</v>
      </c>
      <c r="C580" t="str">
        <f>"有限会社ハート薬局"</f>
        <v>有限会社ハート薬局</v>
      </c>
      <c r="D580" t="str">
        <f>"天草市今釜新町３４１３－１"</f>
        <v>天草市今釜新町３４１３－１</v>
      </c>
      <c r="E580" t="str">
        <f t="shared" si="19"/>
        <v>R05.01.01</v>
      </c>
      <c r="F580" t="str">
        <f t="shared" si="20"/>
        <v>R10.12.31</v>
      </c>
    </row>
    <row r="581" spans="1:6" x14ac:dyDescent="0.2">
      <c r="A581" t="str">
        <f>"第580号"</f>
        <v>第580号</v>
      </c>
      <c r="B581" t="str">
        <f>"有限会社　サンワ"</f>
        <v>有限会社　サンワ</v>
      </c>
      <c r="C581" t="str">
        <f>"あい薬局"</f>
        <v>あい薬局</v>
      </c>
      <c r="D581" t="str">
        <f>"天草市牛深町３０５２番地２"</f>
        <v>天草市牛深町３０５２番地２</v>
      </c>
      <c r="E581" t="str">
        <f t="shared" si="19"/>
        <v>R05.01.01</v>
      </c>
      <c r="F581" t="str">
        <f t="shared" si="20"/>
        <v>R10.12.31</v>
      </c>
    </row>
    <row r="582" spans="1:6" x14ac:dyDescent="0.2">
      <c r="A582" t="str">
        <f>"第516号"</f>
        <v>第516号</v>
      </c>
      <c r="B582" t="str">
        <f>"株式会社　メディカルインテリジェンス"</f>
        <v>株式会社　メディカルインテリジェンス</v>
      </c>
      <c r="C582" t="str">
        <f>"くらしの薬局　阿村店"</f>
        <v>くらしの薬局　阿村店</v>
      </c>
      <c r="D582" t="str">
        <f>"上天草市松島町阿村８０４－６"</f>
        <v>上天草市松島町阿村８０４－６</v>
      </c>
      <c r="E582" t="str">
        <f t="shared" si="19"/>
        <v>R05.01.01</v>
      </c>
      <c r="F582" t="str">
        <f t="shared" si="20"/>
        <v>R10.12.31</v>
      </c>
    </row>
    <row r="583" spans="1:6" x14ac:dyDescent="0.2">
      <c r="A583" t="str">
        <f>"第492号"</f>
        <v>第492号</v>
      </c>
      <c r="B583" t="str">
        <f>"有限会社　ミューズコンタクト"</f>
        <v>有限会社　ミューズコンタクト</v>
      </c>
      <c r="C583" t="str">
        <f>"有限会社　ミューズコンタクト"</f>
        <v>有限会社　ミューズコンタクト</v>
      </c>
      <c r="D583" t="str">
        <f>"上天草市大矢野町上１２８３－３"</f>
        <v>上天草市大矢野町上１２８３－３</v>
      </c>
      <c r="E583" t="str">
        <f t="shared" si="19"/>
        <v>R05.01.01</v>
      </c>
      <c r="F583" t="str">
        <f t="shared" si="20"/>
        <v>R10.12.31</v>
      </c>
    </row>
    <row r="584" spans="1:6" x14ac:dyDescent="0.2">
      <c r="A584" t="str">
        <f>"第490号"</f>
        <v>第490号</v>
      </c>
      <c r="B584" t="str">
        <f>"有限会社嶽本薬局"</f>
        <v>有限会社嶽本薬局</v>
      </c>
      <c r="C584" t="str">
        <f>"はまゆう薬局"</f>
        <v>はまゆう薬局</v>
      </c>
      <c r="D584" t="str">
        <f>"上天草市大矢野町上１５０７－２"</f>
        <v>上天草市大矢野町上１５０７－２</v>
      </c>
      <c r="E584" t="str">
        <f t="shared" si="19"/>
        <v>R05.01.01</v>
      </c>
      <c r="F584" t="str">
        <f t="shared" si="20"/>
        <v>R10.12.31</v>
      </c>
    </row>
    <row r="585" spans="1:6" x14ac:dyDescent="0.2">
      <c r="A585" t="str">
        <f>"第488号"</f>
        <v>第488号</v>
      </c>
      <c r="B585" t="str">
        <f>"有限会社翔優"</f>
        <v>有限会社翔優</v>
      </c>
      <c r="C585" t="str">
        <f>"港町調剤薬局"</f>
        <v>港町調剤薬局</v>
      </c>
      <c r="D585" t="str">
        <f>"天草市港町１６－１１"</f>
        <v>天草市港町１６－１１</v>
      </c>
      <c r="E585" t="str">
        <f t="shared" si="19"/>
        <v>R05.01.01</v>
      </c>
      <c r="F585" t="str">
        <f t="shared" si="20"/>
        <v>R10.12.31</v>
      </c>
    </row>
    <row r="586" spans="1:6" x14ac:dyDescent="0.2">
      <c r="A586" t="str">
        <f>"第373号"</f>
        <v>第373号</v>
      </c>
      <c r="B586" t="str">
        <f>"有限会社和樂"</f>
        <v>有限会社和樂</v>
      </c>
      <c r="C586" t="str">
        <f>"有限会社福本コンタクトレンズ"</f>
        <v>有限会社福本コンタクトレンズ</v>
      </c>
      <c r="D586" t="str">
        <f>"天草市牛深町１５２２番地４６"</f>
        <v>天草市牛深町１５２２番地４６</v>
      </c>
      <c r="E586" t="str">
        <f t="shared" si="19"/>
        <v>R05.01.01</v>
      </c>
      <c r="F586" t="str">
        <f t="shared" si="20"/>
        <v>R10.12.31</v>
      </c>
    </row>
    <row r="587" spans="1:6" x14ac:dyDescent="0.2">
      <c r="A587" t="str">
        <f>"第370号"</f>
        <v>第370号</v>
      </c>
      <c r="B587" t="str">
        <f>"合資会社天草酸素"</f>
        <v>合資会社天草酸素</v>
      </c>
      <c r="C587" t="str">
        <f>"合資会社天草酸素"</f>
        <v>合資会社天草酸素</v>
      </c>
      <c r="D587" t="str">
        <f>"天草市亀場町食場９５９番地"</f>
        <v>天草市亀場町食場９５９番地</v>
      </c>
      <c r="E587" t="str">
        <f t="shared" si="19"/>
        <v>R05.01.01</v>
      </c>
      <c r="F587" t="str">
        <f t="shared" si="20"/>
        <v>R10.12.31</v>
      </c>
    </row>
    <row r="588" spans="1:6" x14ac:dyDescent="0.2">
      <c r="A588" t="str">
        <f>"第369号"</f>
        <v>第369号</v>
      </c>
      <c r="B588" t="str">
        <f>"有限会社栄町薬局"</f>
        <v>有限会社栄町薬局</v>
      </c>
      <c r="C588" t="str">
        <f>"有限会社栄町薬局"</f>
        <v>有限会社栄町薬局</v>
      </c>
      <c r="D588" t="str">
        <f>"天草市栄町１２番１５号"</f>
        <v>天草市栄町１２番１５号</v>
      </c>
      <c r="E588" t="str">
        <f t="shared" si="19"/>
        <v>R05.01.01</v>
      </c>
      <c r="F588" t="str">
        <f t="shared" si="20"/>
        <v>R10.12.31</v>
      </c>
    </row>
    <row r="589" spans="1:6" x14ac:dyDescent="0.2">
      <c r="A589" t="str">
        <f>"第362号"</f>
        <v>第362号</v>
      </c>
      <c r="B589" t="str">
        <f>"有限会社アイランド"</f>
        <v>有限会社アイランド</v>
      </c>
      <c r="C589" t="str">
        <f>"アイランドコンタクト"</f>
        <v>アイランドコンタクト</v>
      </c>
      <c r="D589" t="str">
        <f>"天草市亀場町亀川１１０"</f>
        <v>天草市亀場町亀川１１０</v>
      </c>
      <c r="E589" t="str">
        <f t="shared" si="19"/>
        <v>R05.01.01</v>
      </c>
      <c r="F589" t="str">
        <f t="shared" si="20"/>
        <v>R10.12.31</v>
      </c>
    </row>
    <row r="590" spans="1:6" x14ac:dyDescent="0.2">
      <c r="A590" t="str">
        <f>"第361号"</f>
        <v>第361号</v>
      </c>
      <c r="B590" t="str">
        <f>"有限会社マリーンコンタクト"</f>
        <v>有限会社マリーンコンタクト</v>
      </c>
      <c r="C590" t="str">
        <f>"有限会社マリーンコンタクト"</f>
        <v>有限会社マリーンコンタクト</v>
      </c>
      <c r="D590" t="str">
        <f>"天草市八幡町７－２６"</f>
        <v>天草市八幡町７－２６</v>
      </c>
      <c r="E590" t="str">
        <f t="shared" si="19"/>
        <v>R05.01.01</v>
      </c>
      <c r="F590" t="str">
        <f t="shared" si="20"/>
        <v>R10.12.31</v>
      </c>
    </row>
    <row r="591" spans="1:6" x14ac:dyDescent="0.2">
      <c r="A591" t="str">
        <f>"第353号"</f>
        <v>第353号</v>
      </c>
      <c r="B591" t="str">
        <f>"富田薬品株式会社"</f>
        <v>富田薬品株式会社</v>
      </c>
      <c r="C591" t="str">
        <f>"富田薬品株式会社　天草営業所"</f>
        <v>富田薬品株式会社　天草営業所</v>
      </c>
      <c r="D591" t="str">
        <f>"天草市亀場町亀川６６－５"</f>
        <v>天草市亀場町亀川６６－５</v>
      </c>
      <c r="E591" t="str">
        <f t="shared" si="19"/>
        <v>R05.01.01</v>
      </c>
      <c r="F591" t="str">
        <f t="shared" si="20"/>
        <v>R10.12.31</v>
      </c>
    </row>
    <row r="592" spans="1:6" x14ac:dyDescent="0.2">
      <c r="A592" t="str">
        <f>"第1079号"</f>
        <v>第1079号</v>
      </c>
      <c r="B592" t="str">
        <f>"株式会社天草調剤薬局"</f>
        <v>株式会社天草調剤薬局</v>
      </c>
      <c r="C592" t="str">
        <f>"シンワ薬局"</f>
        <v>シンワ薬局</v>
      </c>
      <c r="D592" t="str">
        <f>"天草市新和町小宮地７６３－１０"</f>
        <v>天草市新和町小宮地７６３－１０</v>
      </c>
      <c r="E592" t="str">
        <f t="shared" si="19"/>
        <v>R05.01.01</v>
      </c>
      <c r="F592" t="str">
        <f t="shared" si="20"/>
        <v>R10.12.31</v>
      </c>
    </row>
    <row r="593" spans="1:6" x14ac:dyDescent="0.2">
      <c r="A593" t="str">
        <f>"第1331号"</f>
        <v>第1331号</v>
      </c>
      <c r="B593" t="str">
        <f>"フクダライフテック九州株式会社"</f>
        <v>フクダライフテック九州株式会社</v>
      </c>
      <c r="C593" t="str">
        <f>"フクダライフテック九州株式会社　天草出張所"</f>
        <v>フクダライフテック九州株式会社　天草出張所</v>
      </c>
      <c r="D593" t="str">
        <f>"天草市東町４０"</f>
        <v>天草市東町４０</v>
      </c>
      <c r="E593" t="str">
        <f>"R03.01.05"</f>
        <v>R03.01.05</v>
      </c>
      <c r="F593" t="str">
        <f>"R09.01.04"</f>
        <v>R09.01.04</v>
      </c>
    </row>
    <row r="594" spans="1:6" x14ac:dyDescent="0.2">
      <c r="A594" t="str">
        <f>"第1619号"</f>
        <v>第1619号</v>
      </c>
      <c r="B594" t="str">
        <f>"株式会社ミタカ"</f>
        <v>株式会社ミタカ</v>
      </c>
      <c r="C594" t="str">
        <f>"株式会社ミタカ　天草営業所"</f>
        <v>株式会社ミタカ　天草営業所</v>
      </c>
      <c r="D594" t="str">
        <f>"天草市楠浦町字新田１０２６３－４"</f>
        <v>天草市楠浦町字新田１０２６３－４</v>
      </c>
      <c r="E594" t="str">
        <f>"R04.07.25"</f>
        <v>R04.07.25</v>
      </c>
      <c r="F594" t="str">
        <f>"R10.07.24"</f>
        <v>R10.07.24</v>
      </c>
    </row>
    <row r="595" spans="1:6" x14ac:dyDescent="0.2">
      <c r="A595" t="str">
        <f>"第1612号"</f>
        <v>第1612号</v>
      </c>
      <c r="B595" t="str">
        <f>"株式会社サイカイ薬局"</f>
        <v>株式会社サイカイ薬局</v>
      </c>
      <c r="C595" t="str">
        <f>"株式会社サイカイ薬局"</f>
        <v>株式会社サイカイ薬局</v>
      </c>
      <c r="D595" t="str">
        <f>"天草郡苓北町富岡３５９７番地の１７"</f>
        <v>天草郡苓北町富岡３５９７番地の１７</v>
      </c>
      <c r="E595" t="str">
        <f>"R04.05.17"</f>
        <v>R04.05.17</v>
      </c>
      <c r="F595" t="str">
        <f>"R10.05.16"</f>
        <v>R10.05.16</v>
      </c>
    </row>
    <row r="596" spans="1:6" x14ac:dyDescent="0.2">
      <c r="A596" t="str">
        <f>"第1611号"</f>
        <v>第1611号</v>
      </c>
      <c r="B596" t="str">
        <f>"北岡　敏克"</f>
        <v>北岡　敏克</v>
      </c>
      <c r="C596" t="str">
        <f>"きたおか薬局"</f>
        <v>きたおか薬局</v>
      </c>
      <c r="D596" t="str">
        <f>"天草市東浜町１２－１"</f>
        <v>天草市東浜町１２－１</v>
      </c>
      <c r="E596" t="str">
        <f>"R04.05.17"</f>
        <v>R04.05.17</v>
      </c>
      <c r="F596" t="str">
        <f>"R10.05.16"</f>
        <v>R10.05.16</v>
      </c>
    </row>
    <row r="597" spans="1:6" x14ac:dyDescent="0.2">
      <c r="A597" t="str">
        <f>"第1606号"</f>
        <v>第1606号</v>
      </c>
      <c r="B597" t="str">
        <f>"株式会社E-メディスン"</f>
        <v>株式会社E-メディスン</v>
      </c>
      <c r="C597" t="str">
        <f>"あすなろ薬局"</f>
        <v>あすなろ薬局</v>
      </c>
      <c r="D597" t="str">
        <f>"上天草市龍ケ岳町高戸２０９５－５２"</f>
        <v>上天草市龍ケ岳町高戸２０９５－５２</v>
      </c>
      <c r="E597" t="str">
        <f>"R04.04.01"</f>
        <v>R04.04.01</v>
      </c>
      <c r="F597" t="str">
        <f>"R10.03.31"</f>
        <v>R10.03.31</v>
      </c>
    </row>
    <row r="598" spans="1:6" x14ac:dyDescent="0.2">
      <c r="A598" t="str">
        <f>"第1601号"</f>
        <v>第1601号</v>
      </c>
      <c r="B598" t="str">
        <f>"株式会社SKY　CREATE"</f>
        <v>株式会社SKY　CREATE</v>
      </c>
      <c r="C598" t="str">
        <f>"海浜総合薬局　東町店"</f>
        <v>海浜総合薬局　東町店</v>
      </c>
      <c r="D598" t="str">
        <f>"天草市東町７－４５"</f>
        <v>天草市東町７－４５</v>
      </c>
      <c r="E598" t="str">
        <f>"R04.01.01"</f>
        <v>R04.01.01</v>
      </c>
      <c r="F598" t="str">
        <f>"R09.12.31"</f>
        <v>R09.12.31</v>
      </c>
    </row>
    <row r="599" spans="1:6" x14ac:dyDescent="0.2">
      <c r="A599" t="str">
        <f>"第1383号"</f>
        <v>第1383号</v>
      </c>
      <c r="B599" t="str">
        <f>"株式会社ココアーク"</f>
        <v>株式会社ココアーク</v>
      </c>
      <c r="C599" t="str">
        <f>"ココ薬局"</f>
        <v>ココ薬局</v>
      </c>
      <c r="D599" t="str">
        <f>"天草市八幡町７６－１"</f>
        <v>天草市八幡町７６－１</v>
      </c>
      <c r="E599" t="str">
        <f>"R04.01.01"</f>
        <v>R04.01.01</v>
      </c>
      <c r="F599" t="str">
        <f>"R09.12.31"</f>
        <v>R09.12.31</v>
      </c>
    </row>
    <row r="600" spans="1:6" x14ac:dyDescent="0.2">
      <c r="A600" t="str">
        <f>"第1380号"</f>
        <v>第1380号</v>
      </c>
      <c r="B600" t="str">
        <f>"株式会社ケミスト"</f>
        <v>株式会社ケミスト</v>
      </c>
      <c r="C600" t="str">
        <f>"あおぞら薬局"</f>
        <v>あおぞら薬局</v>
      </c>
      <c r="D600" t="str">
        <f>"天草市栄町１１番１０号"</f>
        <v>天草市栄町１１番１０号</v>
      </c>
      <c r="E600" t="str">
        <f>"R04.01.01"</f>
        <v>R04.01.01</v>
      </c>
      <c r="F600" t="str">
        <f>"R09.12.31"</f>
        <v>R09.12.31</v>
      </c>
    </row>
    <row r="601" spans="1:6" x14ac:dyDescent="0.2">
      <c r="A601" t="str">
        <f>"第1551号"</f>
        <v>第1551号</v>
      </c>
      <c r="B601" t="str">
        <f>"有限会社シー・エス商会"</f>
        <v>有限会社シー・エス商会</v>
      </c>
      <c r="C601" t="str">
        <f>"有限会社シー・エス商会"</f>
        <v>有限会社シー・エス商会</v>
      </c>
      <c r="D601" t="str">
        <f>"天草郡苓北町志岐７０２番地１"</f>
        <v>天草郡苓北町志岐７０２番地１</v>
      </c>
      <c r="E601" t="str">
        <f>"R03.01.29"</f>
        <v>R03.01.29</v>
      </c>
      <c r="F601" t="str">
        <f>"R08.12.31"</f>
        <v>R08.12.31</v>
      </c>
    </row>
    <row r="602" spans="1:6" x14ac:dyDescent="0.2">
      <c r="A602" t="str">
        <f>"第971号"</f>
        <v>第971号</v>
      </c>
      <c r="B602" t="str">
        <f>"木村医療器株式会社"</f>
        <v>木村医療器株式会社</v>
      </c>
      <c r="C602" t="str">
        <f>"木村医療器株式会社　天草営業所"</f>
        <v>木村医療器株式会社　天草営業所</v>
      </c>
      <c r="D602" t="str">
        <f>"天草市栄町１４番６号"</f>
        <v>天草市栄町１４番６号</v>
      </c>
      <c r="E602" t="str">
        <f>"R03.01.01"</f>
        <v>R03.01.01</v>
      </c>
      <c r="F602" t="str">
        <f>"R08.12.31"</f>
        <v>R08.12.31</v>
      </c>
    </row>
    <row r="603" spans="1:6" x14ac:dyDescent="0.2">
      <c r="A603" t="str">
        <f>"第952号"</f>
        <v>第952号</v>
      </c>
      <c r="B603" t="str">
        <f>"有限会社　興福堂"</f>
        <v>有限会社　興福堂</v>
      </c>
      <c r="C603" t="str">
        <f>"わかば薬局"</f>
        <v>わかば薬局</v>
      </c>
      <c r="D603" t="str">
        <f>"天草市北原町１番１１号"</f>
        <v>天草市北原町１番１１号</v>
      </c>
      <c r="E603" t="str">
        <f>"R03.01.01"</f>
        <v>R03.01.01</v>
      </c>
      <c r="F603" t="str">
        <f>"R08.12.31"</f>
        <v>R08.12.31</v>
      </c>
    </row>
    <row r="604" spans="1:6" x14ac:dyDescent="0.2">
      <c r="A604" t="str">
        <f>"第1543号"</f>
        <v>第1543号</v>
      </c>
      <c r="B604" t="str">
        <f>"有限会社天草医療高圧ガス"</f>
        <v>有限会社天草医療高圧ガス</v>
      </c>
      <c r="C604" t="str">
        <f>"有限会社天草医療高圧ガス"</f>
        <v>有限会社天草医療高圧ガス</v>
      </c>
      <c r="D604" t="str">
        <f>"天草市亀場町食場９０６番地"</f>
        <v>天草市亀場町食場９０６番地</v>
      </c>
      <c r="E604" t="str">
        <f>"R02.10.30"</f>
        <v>R02.10.30</v>
      </c>
      <c r="F604" t="str">
        <f>"R08.10.29"</f>
        <v>R08.10.29</v>
      </c>
    </row>
    <row r="605" spans="1:6" x14ac:dyDescent="0.2">
      <c r="A605" t="str">
        <f>"第1527号"</f>
        <v>第1527号</v>
      </c>
      <c r="B605" t="str">
        <f>"株式会社アタックスマート"</f>
        <v>株式会社アタックスマート</v>
      </c>
      <c r="C605" t="str">
        <f>"アタックス　シープル店"</f>
        <v>アタックス　シープル店</v>
      </c>
      <c r="D605" t="str">
        <f>"天草郡苓北町志岐２４６番地１"</f>
        <v>天草郡苓北町志岐２４６番地１</v>
      </c>
      <c r="E605" t="str">
        <f>"R02.03.31"</f>
        <v>R02.03.31</v>
      </c>
      <c r="F605" t="str">
        <f>"R07.12.31"</f>
        <v>R07.12.31</v>
      </c>
    </row>
    <row r="606" spans="1:6" x14ac:dyDescent="0.2">
      <c r="A606" t="str">
        <f>"第1270号"</f>
        <v>第1270号</v>
      </c>
      <c r="B606" t="str">
        <f>"本渡五和農業協同組合"</f>
        <v>本渡五和農業協同組合</v>
      </c>
      <c r="C606" t="str">
        <f>"本渡五和農業協同組合"</f>
        <v>本渡五和農業協同組合</v>
      </c>
      <c r="D606" t="str">
        <f>"天草市南新町９番地２２"</f>
        <v>天草市南新町９番地２２</v>
      </c>
      <c r="E606" t="str">
        <f>"R02.01.20"</f>
        <v>R02.01.20</v>
      </c>
      <c r="F606" t="str">
        <f>"R08.01.19"</f>
        <v>R08.01.19</v>
      </c>
    </row>
    <row r="607" spans="1:6" x14ac:dyDescent="0.2">
      <c r="A607" t="str">
        <f>"第900号"</f>
        <v>第900号</v>
      </c>
      <c r="B607" t="str">
        <f>"株式会社優愛らいふ・ケア"</f>
        <v>株式会社優愛らいふ・ケア</v>
      </c>
      <c r="C607" t="str">
        <f>"株式会社優愛らいふ・ケア"</f>
        <v>株式会社優愛らいふ・ケア</v>
      </c>
      <c r="D607" t="str">
        <f>"天草市亀場町亀川１４２－１０"</f>
        <v>天草市亀場町亀川１４２－１０</v>
      </c>
      <c r="E607" t="str">
        <f>"R02.01.01"</f>
        <v>R02.01.01</v>
      </c>
      <c r="F607" t="str">
        <f>"R07.12.31"</f>
        <v>R07.12.31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YDataSearch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1900886</dc:creator>
  <cp:lastModifiedBy>Windows ユーザー</cp:lastModifiedBy>
  <dcterms:created xsi:type="dcterms:W3CDTF">2025-07-01T06:56:18Z</dcterms:created>
  <dcterms:modified xsi:type="dcterms:W3CDTF">2025-07-06T22:51:11Z</dcterms:modified>
</cp:coreProperties>
</file>