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v\k080090\疾病対策班\●疾病対策班フォルダツリー\04_指定医・指定医療機関\【難病】指定医療機関・指定医関係\難病ホームページ更新作業用\R7年度\R7.10.1時点\"/>
    </mc:Choice>
  </mc:AlternateContent>
  <xr:revisionPtr revIDLastSave="0" documentId="13_ncr:1_{283BF728-F638-4BB1-BE73-97E64F6073E8}" xr6:coauthVersionLast="47" xr6:coauthVersionMax="47" xr10:uidLastSave="{00000000-0000-0000-0000-000000000000}"/>
  <bookViews>
    <workbookView xWindow="28680" yWindow="-120" windowWidth="29040" windowHeight="15720" activeTab="2" xr2:uid="{1FA1F0EB-D26E-45A1-9341-407D72B1C98F}"/>
  </bookViews>
  <sheets>
    <sheet name="病院・診療所" sheetId="1" r:id="rId1"/>
    <sheet name="薬局" sheetId="2" r:id="rId2"/>
    <sheet name="訪問看護ステーション" sheetId="3" r:id="rId3"/>
  </sheets>
  <definedNames>
    <definedName name="_xlnm._FilterDatabase" localSheetId="0" hidden="1">病院・診療所!$A$2:$D$1142</definedName>
    <definedName name="_xlnm._FilterDatabase" localSheetId="2" hidden="1">訪問看護ステーション!$A$2:$D$2</definedName>
    <definedName name="_xlnm._FilterDatabase" localSheetId="1" hidden="1">薬局!$A$2:$D$2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9" i="3" l="1"/>
  <c r="D260" i="3"/>
  <c r="D257" i="3"/>
  <c r="D259" i="3"/>
  <c r="C259" i="3"/>
  <c r="D258" i="3"/>
  <c r="D256" i="3"/>
  <c r="C256" i="3"/>
  <c r="D253" i="3"/>
  <c r="C253" i="3"/>
  <c r="D252" i="3"/>
  <c r="D248" i="3"/>
  <c r="D247" i="3"/>
  <c r="C247" i="3"/>
  <c r="D246" i="3"/>
  <c r="D245" i="3"/>
  <c r="D244" i="3"/>
  <c r="D243" i="3"/>
  <c r="C243" i="3"/>
  <c r="D241" i="3"/>
  <c r="C241" i="3"/>
  <c r="D240" i="3"/>
  <c r="C240" i="3"/>
  <c r="D235" i="3"/>
  <c r="D236" i="3"/>
  <c r="D239" i="3"/>
  <c r="D238" i="3"/>
  <c r="C238" i="3"/>
  <c r="D233" i="3"/>
  <c r="C233" i="3"/>
  <c r="D234" i="3"/>
  <c r="D237" i="3"/>
  <c r="D210" i="3"/>
  <c r="C210" i="3"/>
  <c r="D209" i="3"/>
  <c r="C209" i="3"/>
  <c r="D203" i="3"/>
  <c r="D208" i="3"/>
  <c r="C208" i="3"/>
  <c r="D207" i="3"/>
  <c r="C207" i="3"/>
  <c r="D206" i="3"/>
  <c r="D205" i="3"/>
  <c r="C205" i="3"/>
  <c r="D202" i="3"/>
  <c r="C202" i="3"/>
  <c r="D204" i="3"/>
  <c r="D212" i="3"/>
  <c r="C212" i="3"/>
  <c r="D211" i="3"/>
  <c r="C211" i="3"/>
  <c r="D32" i="3"/>
  <c r="D31" i="3"/>
  <c r="D30" i="3"/>
  <c r="D29" i="3"/>
  <c r="D28" i="3"/>
  <c r="C28" i="3"/>
  <c r="D27" i="3"/>
  <c r="C27" i="3"/>
  <c r="D26" i="3"/>
  <c r="D25" i="3"/>
  <c r="D24" i="3"/>
  <c r="D126" i="3"/>
  <c r="D125" i="3"/>
  <c r="C125" i="3"/>
  <c r="D124" i="3"/>
  <c r="D123" i="3"/>
  <c r="D122" i="3"/>
  <c r="D121" i="3"/>
  <c r="D120" i="3"/>
  <c r="D119" i="3"/>
  <c r="C119" i="3"/>
  <c r="D118" i="3"/>
  <c r="D117" i="3"/>
  <c r="C117" i="3"/>
  <c r="D116" i="3"/>
  <c r="D115" i="3"/>
  <c r="D138" i="3"/>
  <c r="D137" i="3"/>
  <c r="D136" i="3"/>
  <c r="D135" i="3"/>
  <c r="D134" i="3"/>
  <c r="D133" i="3"/>
  <c r="C133" i="3"/>
  <c r="D132" i="3"/>
  <c r="D131" i="3"/>
  <c r="D130" i="3"/>
  <c r="D129" i="3"/>
  <c r="D128" i="3"/>
  <c r="D127" i="3"/>
  <c r="D255" i="3"/>
  <c r="D254" i="3"/>
  <c r="D251" i="3"/>
  <c r="C251" i="3"/>
  <c r="D250" i="3"/>
  <c r="D249" i="3"/>
  <c r="D232" i="3"/>
  <c r="D231" i="3"/>
  <c r="C231" i="3"/>
  <c r="D230" i="3"/>
  <c r="C230" i="3"/>
  <c r="D229" i="3"/>
  <c r="C229" i="3"/>
  <c r="D228" i="3"/>
  <c r="C228" i="3"/>
  <c r="D227" i="3"/>
  <c r="C227" i="3"/>
  <c r="D226" i="3"/>
  <c r="C226" i="3"/>
  <c r="D225" i="3"/>
  <c r="C225" i="3"/>
  <c r="D224" i="3"/>
  <c r="C224" i="3"/>
  <c r="D223" i="3"/>
  <c r="C223" i="3"/>
  <c r="D222" i="3"/>
  <c r="C222" i="3"/>
  <c r="D221" i="3"/>
  <c r="C221" i="3"/>
  <c r="D220" i="3"/>
  <c r="D219" i="3"/>
  <c r="C219" i="3"/>
  <c r="D218" i="3"/>
  <c r="C218" i="3"/>
  <c r="D217" i="3"/>
  <c r="D216" i="3"/>
  <c r="D215" i="3"/>
  <c r="D214" i="3"/>
  <c r="D213" i="3"/>
  <c r="D201" i="3"/>
  <c r="C201" i="3"/>
  <c r="D200" i="3"/>
  <c r="C200" i="3"/>
  <c r="D199" i="3"/>
  <c r="C199" i="3"/>
  <c r="D198" i="3"/>
  <c r="D197" i="3"/>
  <c r="C197" i="3"/>
  <c r="D177" i="3"/>
  <c r="D196" i="3"/>
  <c r="C196" i="3"/>
  <c r="D195" i="3"/>
  <c r="D194" i="3"/>
  <c r="C194" i="3"/>
  <c r="D193" i="3"/>
  <c r="D192" i="3"/>
  <c r="C192" i="3"/>
  <c r="D191" i="3"/>
  <c r="C191" i="3"/>
  <c r="D190" i="3"/>
  <c r="C190" i="3"/>
  <c r="D189" i="3"/>
  <c r="C189" i="3"/>
  <c r="D188" i="3"/>
  <c r="C188" i="3"/>
  <c r="D187" i="3"/>
  <c r="C187" i="3"/>
  <c r="D186" i="3"/>
  <c r="D185" i="3"/>
  <c r="C185" i="3"/>
  <c r="D184" i="3"/>
  <c r="D183" i="3"/>
  <c r="D182" i="3"/>
  <c r="D181" i="3"/>
  <c r="C181" i="3"/>
  <c r="D180" i="3"/>
  <c r="C180" i="3"/>
  <c r="D179" i="3"/>
  <c r="C179" i="3"/>
  <c r="D178" i="3"/>
  <c r="D176" i="3"/>
  <c r="D175" i="3"/>
  <c r="C175" i="3"/>
  <c r="D174" i="3"/>
  <c r="D173" i="3"/>
  <c r="D172" i="3"/>
  <c r="D171" i="3"/>
  <c r="C171" i="3"/>
  <c r="D170" i="3"/>
  <c r="D169" i="3"/>
  <c r="D168" i="3"/>
  <c r="D167" i="3"/>
  <c r="D166" i="3"/>
  <c r="D165" i="3"/>
  <c r="C165" i="3"/>
  <c r="D164" i="3"/>
  <c r="C164" i="3"/>
  <c r="D163" i="3"/>
  <c r="C163" i="3"/>
  <c r="D162" i="3"/>
  <c r="D161" i="3"/>
  <c r="D160" i="3"/>
  <c r="C160" i="3"/>
  <c r="D159" i="3"/>
  <c r="C159" i="3"/>
  <c r="D158" i="3"/>
  <c r="D157" i="3"/>
  <c r="C157" i="3"/>
  <c r="D156" i="3"/>
  <c r="D155" i="3"/>
  <c r="C155" i="3"/>
  <c r="D154" i="3"/>
  <c r="C154" i="3"/>
  <c r="D153" i="3"/>
  <c r="D152" i="3"/>
  <c r="D151" i="3"/>
  <c r="D150" i="3"/>
  <c r="D149" i="3"/>
  <c r="C149" i="3"/>
  <c r="D148" i="3"/>
  <c r="D147" i="3"/>
  <c r="D146" i="3"/>
  <c r="C146" i="3"/>
  <c r="D145" i="3"/>
  <c r="D144" i="3"/>
  <c r="D143" i="3"/>
  <c r="D142" i="3"/>
  <c r="C142" i="3"/>
  <c r="D141" i="3"/>
  <c r="D140" i="3"/>
  <c r="D114" i="3"/>
  <c r="D113" i="3"/>
  <c r="D112" i="3"/>
  <c r="D242" i="3"/>
  <c r="C242" i="3"/>
  <c r="D111" i="3"/>
  <c r="D110" i="3"/>
  <c r="D109" i="3"/>
  <c r="D108" i="3"/>
  <c r="D107" i="3"/>
  <c r="D106" i="3"/>
  <c r="D105" i="3"/>
  <c r="C105" i="3"/>
  <c r="D104" i="3"/>
  <c r="C104" i="3"/>
  <c r="D103" i="3"/>
  <c r="D102" i="3"/>
  <c r="C102" i="3"/>
  <c r="D101" i="3"/>
  <c r="D100" i="3"/>
  <c r="D99" i="3"/>
  <c r="D98" i="3"/>
  <c r="C98" i="3"/>
  <c r="D97" i="3"/>
  <c r="C97" i="3"/>
  <c r="B97" i="3"/>
  <c r="D96" i="3"/>
  <c r="C96" i="3"/>
  <c r="D95" i="3"/>
  <c r="C95" i="3"/>
  <c r="D94" i="3"/>
  <c r="D93" i="3"/>
  <c r="D92" i="3"/>
  <c r="C92" i="3"/>
  <c r="D91" i="3"/>
  <c r="C91" i="3"/>
  <c r="D90" i="3"/>
  <c r="C90" i="3"/>
  <c r="D89" i="3"/>
  <c r="D88" i="3"/>
  <c r="D87" i="3"/>
  <c r="C87" i="3"/>
  <c r="D86" i="3"/>
  <c r="C86" i="3"/>
  <c r="D85" i="3"/>
  <c r="D84" i="3"/>
  <c r="D83" i="3"/>
  <c r="D82" i="3"/>
  <c r="C82" i="3"/>
  <c r="D81" i="3"/>
  <c r="C81" i="3"/>
  <c r="D80" i="3"/>
  <c r="C80" i="3"/>
  <c r="D79" i="3"/>
  <c r="C79" i="3"/>
  <c r="D78" i="3"/>
  <c r="D77" i="3"/>
  <c r="C77" i="3"/>
  <c r="D76" i="3"/>
  <c r="C76" i="3"/>
  <c r="D75" i="3"/>
  <c r="D74" i="3"/>
  <c r="C74" i="3"/>
  <c r="D73" i="3"/>
  <c r="C73" i="3"/>
  <c r="D72" i="3"/>
  <c r="C72" i="3"/>
  <c r="D71" i="3"/>
  <c r="D70" i="3"/>
  <c r="C70" i="3"/>
  <c r="D69" i="3"/>
  <c r="C69" i="3"/>
  <c r="D68" i="3"/>
  <c r="C68" i="3"/>
  <c r="D67" i="3"/>
  <c r="D66" i="3"/>
  <c r="D65" i="3"/>
  <c r="C65" i="3"/>
  <c r="D64" i="3"/>
  <c r="D63" i="3"/>
  <c r="D62" i="3"/>
  <c r="C62" i="3"/>
  <c r="D61" i="3"/>
  <c r="D60" i="3"/>
  <c r="C60" i="3"/>
  <c r="D59" i="3"/>
  <c r="C59" i="3"/>
  <c r="D58" i="3"/>
  <c r="C58" i="3"/>
  <c r="D57" i="3"/>
  <c r="D56" i="3"/>
  <c r="C56" i="3"/>
  <c r="D55" i="3"/>
  <c r="C55" i="3"/>
  <c r="D54" i="3"/>
  <c r="D53" i="3"/>
  <c r="C53" i="3"/>
  <c r="D52" i="3"/>
  <c r="C52" i="3"/>
  <c r="D51" i="3"/>
  <c r="C51" i="3"/>
  <c r="D50" i="3"/>
  <c r="C50" i="3"/>
  <c r="D49" i="3"/>
  <c r="C49" i="3"/>
  <c r="D48" i="3"/>
  <c r="C48" i="3"/>
  <c r="D47" i="3"/>
  <c r="C47" i="3"/>
  <c r="D46" i="3"/>
  <c r="C46" i="3"/>
  <c r="D45" i="3"/>
  <c r="D44" i="3"/>
  <c r="D43" i="3"/>
  <c r="D42" i="3"/>
  <c r="D41" i="3"/>
  <c r="C41" i="3"/>
  <c r="D40" i="3"/>
  <c r="C40" i="3"/>
  <c r="D39" i="3"/>
  <c r="C39" i="3"/>
  <c r="D38" i="3"/>
  <c r="C38" i="3"/>
  <c r="D37" i="3"/>
  <c r="D36" i="3"/>
  <c r="C36" i="3"/>
  <c r="D35" i="3"/>
  <c r="D34" i="3"/>
  <c r="D33" i="3"/>
  <c r="D23" i="3"/>
  <c r="D22" i="3"/>
  <c r="D21" i="3"/>
  <c r="D20" i="3"/>
  <c r="D19" i="3"/>
  <c r="D18" i="3"/>
  <c r="C18" i="3"/>
  <c r="D17" i="3"/>
  <c r="D16" i="3"/>
  <c r="C16" i="3"/>
  <c r="D15" i="3"/>
  <c r="D14" i="3"/>
  <c r="D13" i="3"/>
  <c r="D12" i="3"/>
  <c r="D11" i="3"/>
  <c r="C11" i="3"/>
  <c r="D10" i="3"/>
  <c r="D9" i="3"/>
  <c r="D8" i="3"/>
  <c r="C8" i="3"/>
  <c r="D7" i="3"/>
  <c r="C7" i="3"/>
  <c r="D6" i="3"/>
  <c r="D5" i="3"/>
  <c r="D4" i="3"/>
  <c r="D3" i="3"/>
  <c r="D874" i="2"/>
  <c r="C874" i="2"/>
  <c r="D871" i="2"/>
  <c r="C871" i="2"/>
  <c r="D870" i="2"/>
  <c r="D873" i="2"/>
  <c r="C873" i="2"/>
  <c r="D869" i="2"/>
  <c r="D872" i="2"/>
  <c r="C872" i="2"/>
  <c r="D868" i="2"/>
  <c r="D867" i="2"/>
  <c r="C867" i="2"/>
  <c r="D866" i="2"/>
  <c r="C866" i="2"/>
  <c r="D857" i="2"/>
  <c r="D856" i="2"/>
  <c r="D855" i="2"/>
  <c r="C855" i="2"/>
  <c r="D854" i="2"/>
  <c r="C854" i="2"/>
  <c r="D853" i="2"/>
  <c r="C853" i="2"/>
  <c r="D852" i="2"/>
  <c r="D839" i="2"/>
  <c r="C839" i="2"/>
  <c r="D838" i="2"/>
  <c r="C838" i="2"/>
  <c r="D837" i="2"/>
  <c r="D836" i="2"/>
  <c r="C836" i="2"/>
  <c r="D835" i="2"/>
  <c r="C835" i="2"/>
  <c r="D834" i="2"/>
  <c r="D833" i="2"/>
  <c r="C833" i="2"/>
  <c r="D832" i="2"/>
  <c r="C832" i="2"/>
  <c r="D831" i="2"/>
  <c r="D830" i="2"/>
  <c r="C830" i="2"/>
  <c r="D829" i="2"/>
  <c r="C829" i="2"/>
  <c r="D828" i="2"/>
  <c r="D827" i="2"/>
  <c r="C827" i="2"/>
  <c r="D826" i="2"/>
  <c r="C826" i="2"/>
  <c r="D825" i="2"/>
  <c r="D824" i="2"/>
  <c r="C824" i="2"/>
  <c r="D823" i="2"/>
  <c r="C823" i="2"/>
  <c r="D822" i="2"/>
  <c r="D821" i="2"/>
  <c r="C821" i="2"/>
  <c r="D820" i="2"/>
  <c r="C820" i="2"/>
  <c r="D819" i="2"/>
  <c r="D818" i="2"/>
  <c r="D817" i="2"/>
  <c r="C817" i="2"/>
  <c r="D816" i="2"/>
  <c r="C816" i="2"/>
  <c r="D815" i="2"/>
  <c r="C815" i="2"/>
  <c r="D814" i="2"/>
  <c r="D805" i="2"/>
  <c r="D811" i="2"/>
  <c r="C811" i="2"/>
  <c r="D803" i="2"/>
  <c r="C803" i="2"/>
  <c r="D810" i="2"/>
  <c r="D806" i="2"/>
  <c r="C806" i="2"/>
  <c r="D802" i="2"/>
  <c r="D804" i="2"/>
  <c r="D801" i="2"/>
  <c r="C801" i="2"/>
  <c r="D800" i="2"/>
  <c r="D799" i="2"/>
  <c r="D798" i="2"/>
  <c r="C798" i="2"/>
  <c r="D809" i="2"/>
  <c r="C809" i="2"/>
  <c r="D808" i="2"/>
  <c r="D807" i="2"/>
  <c r="D797" i="2"/>
  <c r="D717" i="2"/>
  <c r="C717" i="2"/>
  <c r="D711" i="2"/>
  <c r="D716" i="2"/>
  <c r="C716" i="2"/>
  <c r="D710" i="2"/>
  <c r="C710" i="2"/>
  <c r="D704" i="2"/>
  <c r="C704" i="2"/>
  <c r="D715" i="2"/>
  <c r="C715" i="2"/>
  <c r="D714" i="2"/>
  <c r="C714" i="2"/>
  <c r="D709" i="2"/>
  <c r="C709" i="2"/>
  <c r="D708" i="2"/>
  <c r="C708" i="2"/>
  <c r="D707" i="2"/>
  <c r="D706" i="2"/>
  <c r="C706" i="2"/>
  <c r="D705" i="2"/>
  <c r="C705" i="2"/>
  <c r="D713" i="2"/>
  <c r="D712" i="2"/>
  <c r="C712" i="2"/>
  <c r="D133" i="2"/>
  <c r="C133" i="2"/>
  <c r="D126" i="2"/>
  <c r="D125" i="2"/>
  <c r="D124" i="2"/>
  <c r="D123" i="2"/>
  <c r="D122" i="2"/>
  <c r="D132" i="2"/>
  <c r="C132" i="2"/>
  <c r="D131" i="2"/>
  <c r="C131" i="2"/>
  <c r="D121" i="2"/>
  <c r="D120" i="2"/>
  <c r="C120" i="2"/>
  <c r="D119" i="2"/>
  <c r="C119" i="2"/>
  <c r="D118" i="2"/>
  <c r="C118" i="2"/>
  <c r="D128" i="2"/>
  <c r="C128" i="2"/>
  <c r="D117" i="2"/>
  <c r="D116" i="2"/>
  <c r="C116" i="2"/>
  <c r="D115" i="2"/>
  <c r="D127" i="2"/>
  <c r="C127" i="2"/>
  <c r="D130" i="2"/>
  <c r="C130" i="2"/>
  <c r="D129" i="2"/>
  <c r="C129" i="2"/>
  <c r="D114" i="2"/>
  <c r="C114" i="2"/>
  <c r="D113" i="2"/>
  <c r="C113" i="2"/>
  <c r="D112" i="2"/>
  <c r="C112" i="2"/>
  <c r="D111" i="2"/>
  <c r="D110" i="2"/>
  <c r="D109" i="2"/>
  <c r="D108" i="2"/>
  <c r="D107" i="2"/>
  <c r="C107" i="2"/>
  <c r="D106" i="2"/>
  <c r="C106" i="2"/>
  <c r="D105" i="2"/>
  <c r="D104" i="2"/>
  <c r="C104" i="2"/>
  <c r="D103" i="2"/>
  <c r="C103" i="2"/>
  <c r="D102" i="2"/>
  <c r="D101" i="2"/>
  <c r="D100" i="2"/>
  <c r="D99" i="2"/>
  <c r="D98" i="2"/>
  <c r="D97" i="2"/>
  <c r="C97" i="2"/>
  <c r="D96" i="2"/>
  <c r="C96" i="2"/>
  <c r="D95" i="2"/>
  <c r="C95" i="2"/>
  <c r="D94" i="2"/>
  <c r="D93" i="2"/>
  <c r="C93" i="2"/>
  <c r="D92" i="2"/>
  <c r="C92" i="2"/>
  <c r="D91" i="2"/>
  <c r="C91" i="2"/>
  <c r="D90" i="2"/>
  <c r="D89" i="2"/>
  <c r="C89" i="2"/>
  <c r="D432" i="2"/>
  <c r="D431" i="2"/>
  <c r="D430" i="2"/>
  <c r="C430" i="2"/>
  <c r="D429" i="2"/>
  <c r="C429" i="2"/>
  <c r="D428" i="2"/>
  <c r="D427" i="2"/>
  <c r="C427" i="2"/>
  <c r="D426" i="2"/>
  <c r="D425" i="2"/>
  <c r="D424" i="2"/>
  <c r="C424" i="2"/>
  <c r="D423" i="2"/>
  <c r="C423" i="2"/>
  <c r="D422" i="2"/>
  <c r="C422" i="2"/>
  <c r="D421" i="2"/>
  <c r="C421" i="2"/>
  <c r="D420" i="2"/>
  <c r="C420" i="2"/>
  <c r="D419" i="2"/>
  <c r="D418" i="2"/>
  <c r="C418" i="2"/>
  <c r="D417" i="2"/>
  <c r="C417" i="2"/>
  <c r="D416" i="2"/>
  <c r="C416" i="2"/>
  <c r="D415" i="2"/>
  <c r="D414" i="2"/>
  <c r="C414" i="2"/>
  <c r="D413" i="2"/>
  <c r="D412" i="2"/>
  <c r="C412" i="2"/>
  <c r="D411" i="2"/>
  <c r="D410" i="2"/>
  <c r="D409" i="2"/>
  <c r="D408" i="2"/>
  <c r="C408" i="2"/>
  <c r="D407" i="2"/>
  <c r="D406" i="2"/>
  <c r="C406" i="2"/>
  <c r="D405" i="2"/>
  <c r="D404" i="2"/>
  <c r="D403" i="2"/>
  <c r="C403" i="2"/>
  <c r="D402" i="2"/>
  <c r="C402" i="2"/>
  <c r="D401" i="2"/>
  <c r="D400" i="2"/>
  <c r="D399" i="2"/>
  <c r="C399" i="2"/>
  <c r="D475" i="2"/>
  <c r="C475" i="2"/>
  <c r="D474" i="2"/>
  <c r="D473" i="2"/>
  <c r="D472" i="2"/>
  <c r="C472" i="2"/>
  <c r="D471" i="2"/>
  <c r="C471" i="2"/>
  <c r="D470" i="2"/>
  <c r="C470" i="2"/>
  <c r="D469" i="2"/>
  <c r="C469" i="2"/>
  <c r="D468" i="2"/>
  <c r="C468" i="2"/>
  <c r="D467" i="2"/>
  <c r="C467" i="2"/>
  <c r="D466" i="2"/>
  <c r="D465" i="2"/>
  <c r="D464" i="2"/>
  <c r="D463" i="2"/>
  <c r="D462" i="2"/>
  <c r="C462" i="2"/>
  <c r="D461" i="2"/>
  <c r="D460" i="2"/>
  <c r="C460" i="2"/>
  <c r="D459" i="2"/>
  <c r="C459" i="2"/>
  <c r="D458" i="2"/>
  <c r="D457" i="2"/>
  <c r="D456" i="2"/>
  <c r="D455" i="2"/>
  <c r="D454" i="2"/>
  <c r="C454" i="2"/>
  <c r="D453" i="2"/>
  <c r="D452" i="2"/>
  <c r="C452" i="2"/>
  <c r="D451" i="2"/>
  <c r="C451" i="2"/>
  <c r="D450" i="2"/>
  <c r="C450" i="2"/>
  <c r="D449" i="2"/>
  <c r="C449" i="2"/>
  <c r="D448" i="2"/>
  <c r="D447" i="2"/>
  <c r="D446" i="2"/>
  <c r="D445" i="2"/>
  <c r="C445" i="2"/>
  <c r="D444" i="2"/>
  <c r="D443" i="2"/>
  <c r="C443" i="2"/>
  <c r="D442" i="2"/>
  <c r="D441" i="2"/>
  <c r="D440" i="2"/>
  <c r="C440" i="2"/>
  <c r="D439" i="2"/>
  <c r="C439" i="2"/>
  <c r="D438" i="2"/>
  <c r="D437" i="2"/>
  <c r="D436" i="2"/>
  <c r="C436" i="2"/>
  <c r="D435" i="2"/>
  <c r="D434" i="2"/>
  <c r="C434" i="2"/>
  <c r="D433" i="2"/>
  <c r="D865" i="2"/>
  <c r="D864" i="2"/>
  <c r="C864" i="2"/>
  <c r="D863" i="2"/>
  <c r="C863" i="2"/>
  <c r="D862" i="2"/>
  <c r="C862" i="2"/>
  <c r="D861" i="2"/>
  <c r="C861" i="2"/>
  <c r="D860" i="2"/>
  <c r="C860" i="2"/>
  <c r="D859" i="2"/>
  <c r="C859" i="2"/>
  <c r="D858" i="2"/>
  <c r="C858" i="2"/>
  <c r="D851" i="2"/>
  <c r="C851" i="2"/>
  <c r="D850" i="2"/>
  <c r="C850" i="2"/>
  <c r="D849" i="2"/>
  <c r="C849" i="2"/>
  <c r="D848" i="2"/>
  <c r="D847" i="2"/>
  <c r="C847" i="2"/>
  <c r="D846" i="2"/>
  <c r="C846" i="2"/>
  <c r="D845" i="2"/>
  <c r="D844" i="2"/>
  <c r="C844" i="2"/>
  <c r="D843" i="2"/>
  <c r="D842" i="2"/>
  <c r="C842" i="2"/>
  <c r="D841" i="2"/>
  <c r="C841" i="2"/>
  <c r="D840" i="2"/>
  <c r="C840" i="2"/>
  <c r="D813" i="2"/>
  <c r="C813" i="2"/>
  <c r="D812" i="2"/>
  <c r="C812" i="2"/>
  <c r="D796" i="2"/>
  <c r="D795" i="2"/>
  <c r="C795" i="2"/>
  <c r="D794" i="2"/>
  <c r="D793" i="2"/>
  <c r="C793" i="2"/>
  <c r="D792" i="2"/>
  <c r="C792" i="2"/>
  <c r="D791" i="2"/>
  <c r="C791" i="2"/>
  <c r="D790" i="2"/>
  <c r="C790" i="2"/>
  <c r="D789" i="2"/>
  <c r="D788" i="2"/>
  <c r="D787" i="2"/>
  <c r="D786" i="2"/>
  <c r="C786" i="2"/>
  <c r="D785" i="2"/>
  <c r="D784" i="2"/>
  <c r="D783" i="2"/>
  <c r="D782" i="2"/>
  <c r="C782" i="2"/>
  <c r="D781" i="2"/>
  <c r="D780" i="2"/>
  <c r="C780" i="2"/>
  <c r="D779" i="2"/>
  <c r="D778" i="2"/>
  <c r="D777" i="2"/>
  <c r="D776" i="2"/>
  <c r="D775" i="2"/>
  <c r="C775" i="2"/>
  <c r="D774" i="2"/>
  <c r="C774" i="2"/>
  <c r="D773" i="2"/>
  <c r="C773" i="2"/>
  <c r="D772" i="2"/>
  <c r="C772" i="2"/>
  <c r="D771" i="2"/>
  <c r="D770" i="2"/>
  <c r="D769" i="2"/>
  <c r="C769" i="2"/>
  <c r="D768" i="2"/>
  <c r="C768" i="2"/>
  <c r="D767" i="2"/>
  <c r="C767" i="2"/>
  <c r="D766" i="2"/>
  <c r="C766" i="2"/>
  <c r="D765" i="2"/>
  <c r="C765" i="2"/>
  <c r="D764" i="2"/>
  <c r="D763" i="2"/>
  <c r="C763" i="2"/>
  <c r="D762" i="2"/>
  <c r="D761" i="2"/>
  <c r="C761" i="2"/>
  <c r="D760" i="2"/>
  <c r="C760" i="2"/>
  <c r="D759" i="2"/>
  <c r="C759" i="2"/>
  <c r="D758" i="2"/>
  <c r="C758" i="2"/>
  <c r="D757" i="2"/>
  <c r="D756" i="2"/>
  <c r="C756" i="2"/>
  <c r="D755" i="2"/>
  <c r="C755" i="2"/>
  <c r="D754" i="2"/>
  <c r="C754" i="2"/>
  <c r="D753" i="2"/>
  <c r="C753" i="2"/>
  <c r="D752" i="2"/>
  <c r="C752" i="2"/>
  <c r="D751" i="2"/>
  <c r="D750" i="2"/>
  <c r="C750" i="2"/>
  <c r="D749" i="2"/>
  <c r="D748" i="2"/>
  <c r="C748" i="2"/>
  <c r="D747" i="2"/>
  <c r="C747" i="2"/>
  <c r="D746" i="2"/>
  <c r="C746" i="2"/>
  <c r="D745" i="2"/>
  <c r="C745" i="2"/>
  <c r="D744" i="2"/>
  <c r="C744" i="2"/>
  <c r="D743" i="2"/>
  <c r="D742" i="2"/>
  <c r="C742" i="2"/>
  <c r="D741" i="2"/>
  <c r="C741" i="2"/>
  <c r="D740" i="2"/>
  <c r="C740" i="2"/>
  <c r="D739" i="2"/>
  <c r="D738" i="2"/>
  <c r="D737" i="2"/>
  <c r="D736" i="2"/>
  <c r="C736" i="2"/>
  <c r="D735" i="2"/>
  <c r="C735" i="2"/>
  <c r="D734" i="2"/>
  <c r="C734" i="2"/>
  <c r="D733" i="2"/>
  <c r="C733" i="2"/>
  <c r="D732" i="2"/>
  <c r="C732" i="2"/>
  <c r="D731" i="2"/>
  <c r="C731" i="2"/>
  <c r="D730" i="2"/>
  <c r="D729" i="2"/>
  <c r="D728" i="2"/>
  <c r="C728" i="2"/>
  <c r="D727" i="2"/>
  <c r="C727" i="2"/>
  <c r="D726" i="2"/>
  <c r="C726" i="2"/>
  <c r="D725" i="2"/>
  <c r="D724" i="2"/>
  <c r="D723" i="2"/>
  <c r="C723" i="2"/>
  <c r="D722" i="2"/>
  <c r="C722" i="2"/>
  <c r="D721" i="2"/>
  <c r="D720" i="2"/>
  <c r="C720" i="2"/>
  <c r="D719" i="2"/>
  <c r="C719" i="2"/>
  <c r="D718" i="2"/>
  <c r="C718" i="2"/>
  <c r="D703" i="2"/>
  <c r="D702" i="2"/>
  <c r="C702" i="2"/>
  <c r="D701" i="2"/>
  <c r="C701" i="2"/>
  <c r="D700" i="2"/>
  <c r="C700" i="2"/>
  <c r="D699" i="2"/>
  <c r="C699" i="2"/>
  <c r="D698" i="2"/>
  <c r="C698" i="2"/>
  <c r="D697" i="2"/>
  <c r="D696" i="2"/>
  <c r="C696" i="2"/>
  <c r="D695" i="2"/>
  <c r="D694" i="2"/>
  <c r="C694" i="2"/>
  <c r="D693" i="2"/>
  <c r="C693" i="2"/>
  <c r="D692" i="2"/>
  <c r="C692" i="2"/>
  <c r="D691" i="2"/>
  <c r="D690" i="2"/>
  <c r="C690" i="2"/>
  <c r="D689" i="2"/>
  <c r="C689" i="2"/>
  <c r="D688" i="2"/>
  <c r="C688" i="2"/>
  <c r="D687" i="2"/>
  <c r="C687" i="2"/>
  <c r="D686" i="2"/>
  <c r="D685" i="2"/>
  <c r="C685" i="2"/>
  <c r="D684" i="2"/>
  <c r="C684" i="2"/>
  <c r="D683" i="2"/>
  <c r="C683" i="2"/>
  <c r="D682" i="2"/>
  <c r="C682" i="2"/>
  <c r="D681" i="2"/>
  <c r="D680" i="2"/>
  <c r="D679" i="2"/>
  <c r="D678" i="2"/>
  <c r="C678" i="2"/>
  <c r="D677" i="2"/>
  <c r="C677" i="2"/>
  <c r="D676" i="2"/>
  <c r="D675" i="2"/>
  <c r="D674" i="2"/>
  <c r="D673" i="2"/>
  <c r="D672" i="2"/>
  <c r="C672" i="2"/>
  <c r="D671" i="2"/>
  <c r="C671" i="2"/>
  <c r="D670" i="2"/>
  <c r="D669" i="2"/>
  <c r="D668" i="2"/>
  <c r="C668" i="2"/>
  <c r="D667" i="2"/>
  <c r="C667" i="2"/>
  <c r="D666" i="2"/>
  <c r="D665" i="2"/>
  <c r="D664" i="2"/>
  <c r="C664" i="2"/>
  <c r="D663" i="2"/>
  <c r="D662" i="2"/>
  <c r="C662" i="2"/>
  <c r="D661" i="2"/>
  <c r="C661" i="2"/>
  <c r="D660" i="2"/>
  <c r="D659" i="2"/>
  <c r="D658" i="2"/>
  <c r="C658" i="2"/>
  <c r="D657" i="2"/>
  <c r="C657" i="2"/>
  <c r="D656" i="2"/>
  <c r="D655" i="2"/>
  <c r="C655" i="2"/>
  <c r="D654" i="2"/>
  <c r="C654" i="2"/>
  <c r="D653" i="2"/>
  <c r="D652" i="2"/>
  <c r="C652" i="2"/>
  <c r="D651" i="2"/>
  <c r="C651" i="2"/>
  <c r="D650" i="2"/>
  <c r="D649" i="2"/>
  <c r="D648" i="2"/>
  <c r="D647" i="2"/>
  <c r="C647" i="2"/>
  <c r="D646" i="2"/>
  <c r="D645" i="2"/>
  <c r="C645" i="2"/>
  <c r="D644" i="2"/>
  <c r="D643" i="2"/>
  <c r="D642" i="2"/>
  <c r="C642" i="2"/>
  <c r="D641" i="2"/>
  <c r="C641" i="2"/>
  <c r="D640" i="2"/>
  <c r="C640" i="2"/>
  <c r="D639" i="2"/>
  <c r="C639" i="2"/>
  <c r="D638" i="2"/>
  <c r="C638" i="2"/>
  <c r="D637" i="2"/>
  <c r="D636" i="2"/>
  <c r="D635" i="2"/>
  <c r="D634" i="2"/>
  <c r="D633" i="2"/>
  <c r="D632" i="2"/>
  <c r="C632" i="2"/>
  <c r="D631" i="2"/>
  <c r="D630" i="2"/>
  <c r="C630" i="2"/>
  <c r="D629" i="2"/>
  <c r="C629" i="2"/>
  <c r="D628" i="2"/>
  <c r="C628" i="2"/>
  <c r="D627" i="2"/>
  <c r="C627" i="2"/>
  <c r="D626" i="2"/>
  <c r="C626" i="2"/>
  <c r="D625" i="2"/>
  <c r="C625" i="2"/>
  <c r="D624" i="2"/>
  <c r="D623" i="2"/>
  <c r="D622" i="2"/>
  <c r="C622" i="2"/>
  <c r="D621" i="2"/>
  <c r="C621" i="2"/>
  <c r="D620" i="2"/>
  <c r="C620" i="2"/>
  <c r="D619" i="2"/>
  <c r="D618" i="2"/>
  <c r="D617" i="2"/>
  <c r="C617" i="2"/>
  <c r="D616" i="2"/>
  <c r="D615" i="2"/>
  <c r="C615" i="2"/>
  <c r="D614" i="2"/>
  <c r="D613" i="2"/>
  <c r="D612" i="2"/>
  <c r="D611" i="2"/>
  <c r="D610" i="2"/>
  <c r="D609" i="2"/>
  <c r="C609" i="2"/>
  <c r="D608" i="2"/>
  <c r="D607" i="2"/>
  <c r="C607" i="2"/>
  <c r="D606" i="2"/>
  <c r="C606" i="2"/>
  <c r="D605" i="2"/>
  <c r="C605" i="2"/>
  <c r="D604" i="2"/>
  <c r="C604" i="2"/>
  <c r="D603" i="2"/>
  <c r="D602" i="2"/>
  <c r="D601" i="2"/>
  <c r="D600" i="2"/>
  <c r="C600" i="2"/>
  <c r="D599" i="2"/>
  <c r="C599" i="2"/>
  <c r="D598" i="2"/>
  <c r="C598" i="2"/>
  <c r="D597" i="2"/>
  <c r="D596" i="2"/>
  <c r="C596" i="2"/>
  <c r="D595" i="2"/>
  <c r="D594" i="2"/>
  <c r="C594" i="2"/>
  <c r="D593" i="2"/>
  <c r="D592" i="2"/>
  <c r="D591" i="2"/>
  <c r="C591" i="2"/>
  <c r="D590" i="2"/>
  <c r="C590" i="2"/>
  <c r="D589" i="2"/>
  <c r="D588" i="2"/>
  <c r="D587" i="2"/>
  <c r="C587" i="2"/>
  <c r="D586" i="2"/>
  <c r="D585" i="2"/>
  <c r="C585" i="2"/>
  <c r="D584" i="2"/>
  <c r="D583" i="2"/>
  <c r="D582" i="2"/>
  <c r="C582" i="2"/>
  <c r="D581" i="2"/>
  <c r="C581" i="2"/>
  <c r="D580" i="2"/>
  <c r="D579" i="2"/>
  <c r="D578" i="2"/>
  <c r="D577" i="2"/>
  <c r="C577" i="2"/>
  <c r="D576" i="2"/>
  <c r="C576" i="2"/>
  <c r="D575" i="2"/>
  <c r="D574" i="2"/>
  <c r="D573" i="2"/>
  <c r="D572" i="2"/>
  <c r="C572" i="2"/>
  <c r="D571" i="2"/>
  <c r="D570" i="2"/>
  <c r="C570" i="2"/>
  <c r="D569" i="2"/>
  <c r="C569" i="2"/>
  <c r="D568" i="2"/>
  <c r="C568" i="2"/>
  <c r="D567" i="2"/>
  <c r="D566" i="2"/>
  <c r="D565" i="2"/>
  <c r="D564" i="2"/>
  <c r="D563" i="2"/>
  <c r="C563" i="2"/>
  <c r="D562" i="2"/>
  <c r="D561" i="2"/>
  <c r="D560" i="2"/>
  <c r="C560" i="2"/>
  <c r="D559" i="2"/>
  <c r="C559" i="2"/>
  <c r="D558" i="2"/>
  <c r="C558" i="2"/>
  <c r="D557" i="2"/>
  <c r="D556" i="2"/>
  <c r="C556" i="2"/>
  <c r="D555" i="2"/>
  <c r="D554" i="2"/>
  <c r="C554" i="2"/>
  <c r="D553" i="2"/>
  <c r="D552" i="2"/>
  <c r="C552" i="2"/>
  <c r="D551" i="2"/>
  <c r="C551" i="2"/>
  <c r="D550" i="2"/>
  <c r="C550" i="2"/>
  <c r="D549" i="2"/>
  <c r="C549" i="2"/>
  <c r="D548" i="2"/>
  <c r="C548" i="2"/>
  <c r="D547" i="2"/>
  <c r="C547" i="2"/>
  <c r="D546" i="2"/>
  <c r="C546" i="2"/>
  <c r="D545" i="2"/>
  <c r="C545" i="2"/>
  <c r="D544" i="2"/>
  <c r="C544" i="2"/>
  <c r="D543" i="2"/>
  <c r="C543" i="2"/>
  <c r="D542" i="2"/>
  <c r="D541" i="2"/>
  <c r="D540" i="2"/>
  <c r="C540" i="2"/>
  <c r="D539" i="2"/>
  <c r="C539" i="2"/>
  <c r="D538" i="2"/>
  <c r="C538" i="2"/>
  <c r="D537" i="2"/>
  <c r="C537" i="2"/>
  <c r="D536" i="2"/>
  <c r="D535" i="2"/>
  <c r="C535" i="2"/>
  <c r="D534" i="2"/>
  <c r="C534" i="2"/>
  <c r="D533" i="2"/>
  <c r="C533" i="2"/>
  <c r="D532" i="2"/>
  <c r="C532" i="2"/>
  <c r="D531" i="2"/>
  <c r="D530" i="2"/>
  <c r="C530" i="2"/>
  <c r="D529" i="2"/>
  <c r="C529" i="2"/>
  <c r="D528" i="2"/>
  <c r="D527" i="2"/>
  <c r="D526" i="2"/>
  <c r="D525" i="2"/>
  <c r="C525" i="2"/>
  <c r="D524" i="2"/>
  <c r="D523" i="2"/>
  <c r="C523" i="2"/>
  <c r="D522" i="2"/>
  <c r="D521" i="2"/>
  <c r="C521" i="2"/>
  <c r="D520" i="2"/>
  <c r="C520" i="2"/>
  <c r="D519" i="2"/>
  <c r="C519" i="2"/>
  <c r="D518" i="2"/>
  <c r="C518" i="2"/>
  <c r="D517" i="2"/>
  <c r="D516" i="2"/>
  <c r="C516" i="2"/>
  <c r="D515" i="2"/>
  <c r="D514" i="2"/>
  <c r="C514" i="2"/>
  <c r="D513" i="2"/>
  <c r="C513" i="2"/>
  <c r="D512" i="2"/>
  <c r="C512" i="2"/>
  <c r="D511" i="2"/>
  <c r="D510" i="2"/>
  <c r="D509" i="2"/>
  <c r="D508" i="2"/>
  <c r="C508" i="2"/>
  <c r="D507" i="2"/>
  <c r="D506" i="2"/>
  <c r="D505" i="2"/>
  <c r="D504" i="2"/>
  <c r="D503" i="2"/>
  <c r="D502" i="2"/>
  <c r="D501" i="2"/>
  <c r="C501" i="2"/>
  <c r="D500" i="2"/>
  <c r="C500" i="2"/>
  <c r="D499" i="2"/>
  <c r="D498" i="2"/>
  <c r="C498" i="2"/>
  <c r="D497" i="2"/>
  <c r="C497" i="2"/>
  <c r="D496" i="2"/>
  <c r="C496" i="2"/>
  <c r="D495" i="2"/>
  <c r="D494" i="2"/>
  <c r="C494" i="2"/>
  <c r="D493" i="2"/>
  <c r="C493" i="2"/>
  <c r="D492" i="2"/>
  <c r="C492" i="2"/>
  <c r="D491" i="2"/>
  <c r="C491" i="2"/>
  <c r="D490" i="2"/>
  <c r="D489" i="2"/>
  <c r="C489" i="2"/>
  <c r="D488" i="2"/>
  <c r="D487" i="2"/>
  <c r="D486" i="2"/>
  <c r="D485" i="2"/>
  <c r="C485" i="2"/>
  <c r="D484" i="2"/>
  <c r="C484" i="2"/>
  <c r="D483" i="2"/>
  <c r="D482" i="2"/>
  <c r="C482" i="2"/>
  <c r="D481" i="2"/>
  <c r="C481" i="2"/>
  <c r="D480" i="2"/>
  <c r="C480" i="2"/>
  <c r="D479" i="2"/>
  <c r="C479" i="2"/>
  <c r="D478" i="2"/>
  <c r="C478" i="2"/>
  <c r="D477" i="2"/>
  <c r="C477" i="2"/>
  <c r="D476" i="2"/>
  <c r="D398" i="2"/>
  <c r="C398" i="2"/>
  <c r="D397" i="2"/>
  <c r="C397" i="2"/>
  <c r="D396" i="2"/>
  <c r="C396" i="2"/>
  <c r="D395" i="2"/>
  <c r="D394" i="2"/>
  <c r="D393" i="2"/>
  <c r="D392" i="2"/>
  <c r="C392" i="2"/>
  <c r="D391" i="2"/>
  <c r="D390" i="2"/>
  <c r="C390" i="2"/>
  <c r="D389" i="2"/>
  <c r="D388" i="2"/>
  <c r="C388" i="2"/>
  <c r="D387" i="2"/>
  <c r="C387" i="2"/>
  <c r="D386" i="2"/>
  <c r="C386" i="2"/>
  <c r="D385" i="2"/>
  <c r="C385" i="2"/>
  <c r="D384" i="2"/>
  <c r="C384" i="2"/>
  <c r="D383" i="2"/>
  <c r="C383" i="2"/>
  <c r="D382" i="2"/>
  <c r="D381" i="2"/>
  <c r="D380" i="2"/>
  <c r="C380" i="2"/>
  <c r="D379" i="2"/>
  <c r="D378" i="2"/>
  <c r="C378" i="2"/>
  <c r="D377" i="2"/>
  <c r="C377" i="2"/>
  <c r="D376" i="2"/>
  <c r="D375" i="2"/>
  <c r="D374" i="2"/>
  <c r="C374" i="2"/>
  <c r="D373" i="2"/>
  <c r="D372" i="2"/>
  <c r="D371" i="2"/>
  <c r="C371" i="2"/>
  <c r="D370" i="2"/>
  <c r="C370" i="2"/>
  <c r="D369" i="2"/>
  <c r="D368" i="2"/>
  <c r="C368" i="2"/>
  <c r="D367" i="2"/>
  <c r="C367" i="2"/>
  <c r="D366" i="2"/>
  <c r="D365" i="2"/>
  <c r="D364" i="2"/>
  <c r="C364" i="2"/>
  <c r="D363" i="2"/>
  <c r="C363" i="2"/>
  <c r="D362" i="2"/>
  <c r="C362" i="2"/>
  <c r="D361" i="2"/>
  <c r="D360" i="2"/>
  <c r="D359" i="2"/>
  <c r="C359" i="2"/>
  <c r="D358" i="2"/>
  <c r="C358" i="2"/>
  <c r="D357" i="2"/>
  <c r="C357" i="2"/>
  <c r="D356" i="2"/>
  <c r="C356" i="2"/>
  <c r="D355" i="2"/>
  <c r="C355" i="2"/>
  <c r="D354" i="2"/>
  <c r="D353" i="2"/>
  <c r="D352" i="2"/>
  <c r="C352" i="2"/>
  <c r="D351" i="2"/>
  <c r="D350" i="2"/>
  <c r="C350" i="2"/>
  <c r="D349" i="2"/>
  <c r="C349" i="2"/>
  <c r="D348" i="2"/>
  <c r="C348" i="2"/>
  <c r="D347" i="2"/>
  <c r="D346" i="2"/>
  <c r="C346" i="2"/>
  <c r="D345" i="2"/>
  <c r="C345" i="2"/>
  <c r="D344" i="2"/>
  <c r="D343" i="2"/>
  <c r="C343" i="2"/>
  <c r="D342" i="2"/>
  <c r="D341" i="2"/>
  <c r="C341" i="2"/>
  <c r="D340" i="2"/>
  <c r="D339" i="2"/>
  <c r="C339" i="2"/>
  <c r="D338" i="2"/>
  <c r="C338" i="2"/>
  <c r="D337" i="2"/>
  <c r="C337" i="2"/>
  <c r="D336" i="2"/>
  <c r="D335" i="2"/>
  <c r="C335" i="2"/>
  <c r="D334" i="2"/>
  <c r="D333" i="2"/>
  <c r="C333" i="2"/>
  <c r="D332" i="2"/>
  <c r="C332" i="2"/>
  <c r="D331" i="2"/>
  <c r="C331" i="2"/>
  <c r="D330" i="2"/>
  <c r="C330" i="2"/>
  <c r="D329" i="2"/>
  <c r="C329" i="2"/>
  <c r="D328" i="2"/>
  <c r="C328" i="2"/>
  <c r="D327" i="2"/>
  <c r="D326" i="2"/>
  <c r="C326" i="2"/>
  <c r="D325" i="2"/>
  <c r="C325" i="2"/>
  <c r="D324" i="2"/>
  <c r="D323" i="2"/>
  <c r="C323" i="2"/>
  <c r="D322" i="2"/>
  <c r="C322" i="2"/>
  <c r="D321" i="2"/>
  <c r="D320" i="2"/>
  <c r="D319" i="2"/>
  <c r="D318" i="2"/>
  <c r="D317" i="2"/>
  <c r="C317" i="2"/>
  <c r="D316" i="2"/>
  <c r="C316" i="2"/>
  <c r="D315" i="2"/>
  <c r="C315" i="2"/>
  <c r="D314" i="2"/>
  <c r="D313" i="2"/>
  <c r="C313" i="2"/>
  <c r="D312" i="2"/>
  <c r="C312" i="2"/>
  <c r="D311" i="2"/>
  <c r="C311" i="2"/>
  <c r="D310" i="2"/>
  <c r="C310" i="2"/>
  <c r="D309" i="2"/>
  <c r="C309" i="2"/>
  <c r="D308" i="2"/>
  <c r="C308" i="2"/>
  <c r="D307" i="2"/>
  <c r="D306" i="2"/>
  <c r="C306" i="2"/>
  <c r="D305" i="2"/>
  <c r="C305" i="2"/>
  <c r="D304" i="2"/>
  <c r="C304" i="2"/>
  <c r="D303" i="2"/>
  <c r="C303" i="2"/>
  <c r="D302" i="2"/>
  <c r="D301" i="2"/>
  <c r="C301" i="2"/>
  <c r="D300" i="2"/>
  <c r="C300" i="2"/>
  <c r="D299" i="2"/>
  <c r="C299" i="2"/>
  <c r="D298" i="2"/>
  <c r="D297" i="2"/>
  <c r="C297" i="2"/>
  <c r="D296" i="2"/>
  <c r="C296" i="2"/>
  <c r="D295" i="2"/>
  <c r="C295" i="2"/>
  <c r="D294" i="2"/>
  <c r="D293" i="2"/>
  <c r="C293" i="2"/>
  <c r="D292" i="2"/>
  <c r="C292" i="2"/>
  <c r="D291" i="2"/>
  <c r="C291" i="2"/>
  <c r="D290" i="2"/>
  <c r="C290" i="2"/>
  <c r="D289" i="2"/>
  <c r="C289" i="2"/>
  <c r="D288" i="2"/>
  <c r="C288" i="2"/>
  <c r="D287" i="2"/>
  <c r="D286" i="2"/>
  <c r="D285" i="2"/>
  <c r="C285" i="2"/>
  <c r="D284" i="2"/>
  <c r="C284" i="2"/>
  <c r="D283" i="2"/>
  <c r="C283" i="2"/>
  <c r="D282" i="2"/>
  <c r="C282" i="2"/>
  <c r="D281" i="2"/>
  <c r="D280" i="2"/>
  <c r="D279" i="2"/>
  <c r="D278" i="2"/>
  <c r="C278" i="2"/>
  <c r="D277" i="2"/>
  <c r="C277" i="2"/>
  <c r="D276" i="2"/>
  <c r="D275" i="2"/>
  <c r="C275" i="2"/>
  <c r="D274" i="2"/>
  <c r="D273" i="2"/>
  <c r="D272" i="2"/>
  <c r="C272" i="2"/>
  <c r="D271" i="2"/>
  <c r="C271" i="2"/>
  <c r="D270" i="2"/>
  <c r="C270" i="2"/>
  <c r="D269" i="2"/>
  <c r="C269" i="2"/>
  <c r="D268" i="2"/>
  <c r="D267" i="2"/>
  <c r="C267" i="2"/>
  <c r="D266" i="2"/>
  <c r="D265" i="2"/>
  <c r="D264" i="2"/>
  <c r="C264" i="2"/>
  <c r="D263" i="2"/>
  <c r="D262" i="2"/>
  <c r="C262" i="2"/>
  <c r="D261" i="2"/>
  <c r="C261" i="2"/>
  <c r="D260" i="2"/>
  <c r="D259" i="2"/>
  <c r="D258" i="2"/>
  <c r="C258" i="2"/>
  <c r="D257" i="2"/>
  <c r="D256" i="2"/>
  <c r="C256" i="2"/>
  <c r="D255" i="2"/>
  <c r="C255" i="2"/>
  <c r="D254" i="2"/>
  <c r="C254" i="2"/>
  <c r="D253" i="2"/>
  <c r="C253" i="2"/>
  <c r="D252" i="2"/>
  <c r="C252" i="2"/>
  <c r="D251" i="2"/>
  <c r="D250" i="2"/>
  <c r="C250" i="2"/>
  <c r="D249" i="2"/>
  <c r="C249" i="2"/>
  <c r="D248" i="2"/>
  <c r="C248" i="2"/>
  <c r="D247" i="2"/>
  <c r="C247" i="2"/>
  <c r="D246" i="2"/>
  <c r="C246" i="2"/>
  <c r="D245" i="2"/>
  <c r="C245" i="2"/>
  <c r="D244" i="2"/>
  <c r="C244" i="2"/>
  <c r="D243" i="2"/>
  <c r="D242" i="2"/>
  <c r="C242" i="2"/>
  <c r="D241" i="2"/>
  <c r="C241" i="2"/>
  <c r="D240" i="2"/>
  <c r="D239" i="2"/>
  <c r="C239" i="2"/>
  <c r="D238" i="2"/>
  <c r="C238" i="2"/>
  <c r="D237" i="2"/>
  <c r="C237" i="2"/>
  <c r="D236" i="2"/>
  <c r="C236" i="2"/>
  <c r="D235" i="2"/>
  <c r="C235" i="2"/>
  <c r="D234" i="2"/>
  <c r="C234" i="2"/>
  <c r="D233" i="2"/>
  <c r="C233" i="2"/>
  <c r="D232" i="2"/>
  <c r="C232" i="2"/>
  <c r="D231" i="2"/>
  <c r="C231" i="2"/>
  <c r="D230" i="2"/>
  <c r="C230" i="2"/>
  <c r="D229" i="2"/>
  <c r="D228" i="2"/>
  <c r="C228" i="2"/>
  <c r="D227" i="2"/>
  <c r="C227" i="2"/>
  <c r="D226" i="2"/>
  <c r="C226" i="2"/>
  <c r="D225" i="2"/>
  <c r="C225" i="2"/>
  <c r="D224" i="2"/>
  <c r="C224" i="2"/>
  <c r="D223" i="2"/>
  <c r="C223" i="2"/>
  <c r="D222" i="2"/>
  <c r="C222" i="2"/>
  <c r="D221" i="2"/>
  <c r="D220" i="2"/>
  <c r="C220" i="2"/>
  <c r="D219" i="2"/>
  <c r="C219" i="2"/>
  <c r="D218" i="2"/>
  <c r="C218" i="2"/>
  <c r="D217" i="2"/>
  <c r="C217" i="2"/>
  <c r="D216" i="2"/>
  <c r="D215" i="2"/>
  <c r="C215" i="2"/>
  <c r="D214" i="2"/>
  <c r="D213" i="2"/>
  <c r="C213" i="2"/>
  <c r="D212" i="2"/>
  <c r="C212" i="2"/>
  <c r="D211" i="2"/>
  <c r="C211" i="2"/>
  <c r="D210" i="2"/>
  <c r="C210" i="2"/>
  <c r="D209" i="2"/>
  <c r="D208" i="2"/>
  <c r="C208" i="2"/>
  <c r="D207" i="2"/>
  <c r="C207" i="2"/>
  <c r="D206" i="2"/>
  <c r="C206" i="2"/>
  <c r="D205" i="2"/>
  <c r="C205" i="2"/>
  <c r="D204" i="2"/>
  <c r="C204" i="2"/>
  <c r="D203" i="2"/>
  <c r="C203" i="2"/>
  <c r="D202" i="2"/>
  <c r="C202" i="2"/>
  <c r="D201" i="2"/>
  <c r="C201" i="2"/>
  <c r="D200" i="2"/>
  <c r="D199" i="2"/>
  <c r="C199" i="2"/>
  <c r="D198" i="2"/>
  <c r="C198" i="2"/>
  <c r="D197" i="2"/>
  <c r="C197" i="2"/>
  <c r="D196" i="2"/>
  <c r="C196" i="2"/>
  <c r="D195" i="2"/>
  <c r="C195" i="2"/>
  <c r="D194" i="2"/>
  <c r="C194" i="2"/>
  <c r="D193" i="2"/>
  <c r="C193" i="2"/>
  <c r="D192" i="2"/>
  <c r="C192" i="2"/>
  <c r="D191" i="2"/>
  <c r="D190" i="2"/>
  <c r="D189" i="2"/>
  <c r="C189" i="2"/>
  <c r="D188" i="2"/>
  <c r="D187" i="2"/>
  <c r="D186" i="2"/>
  <c r="C186" i="2"/>
  <c r="D185" i="2"/>
  <c r="C185" i="2"/>
  <c r="D184" i="2"/>
  <c r="C184" i="2"/>
  <c r="D183" i="2"/>
  <c r="C183" i="2"/>
  <c r="D182" i="2"/>
  <c r="D181" i="2"/>
  <c r="C181" i="2"/>
  <c r="D180" i="2"/>
  <c r="C180" i="2"/>
  <c r="D179" i="2"/>
  <c r="D178" i="2"/>
  <c r="D177" i="2"/>
  <c r="C177" i="2"/>
  <c r="D176" i="2"/>
  <c r="C176" i="2"/>
  <c r="D175" i="2"/>
  <c r="D174" i="2"/>
  <c r="C174" i="2"/>
  <c r="D173" i="2"/>
  <c r="C173" i="2"/>
  <c r="D172" i="2"/>
  <c r="C172" i="2"/>
  <c r="D171" i="2"/>
  <c r="C171" i="2"/>
  <c r="D170" i="2"/>
  <c r="C170" i="2"/>
  <c r="D169" i="2"/>
  <c r="C169" i="2"/>
  <c r="D168" i="2"/>
  <c r="C168" i="2"/>
  <c r="D167" i="2"/>
  <c r="C167" i="2"/>
  <c r="D166" i="2"/>
  <c r="D165" i="2"/>
  <c r="D164" i="2"/>
  <c r="C164" i="2"/>
  <c r="D163" i="2"/>
  <c r="D162" i="2"/>
  <c r="C162" i="2"/>
  <c r="D161" i="2"/>
  <c r="D160" i="2"/>
  <c r="D159" i="2"/>
  <c r="C159" i="2"/>
  <c r="D158" i="2"/>
  <c r="C158" i="2"/>
  <c r="D157" i="2"/>
  <c r="C157" i="2"/>
  <c r="D156" i="2"/>
  <c r="C156" i="2"/>
  <c r="D155" i="2"/>
  <c r="C155" i="2"/>
  <c r="D154" i="2"/>
  <c r="C154" i="2"/>
  <c r="D153" i="2"/>
  <c r="C153" i="2"/>
  <c r="D152" i="2"/>
  <c r="D151" i="2"/>
  <c r="C151" i="2"/>
  <c r="D150" i="2"/>
  <c r="C150" i="2"/>
  <c r="D149" i="2"/>
  <c r="C149" i="2"/>
  <c r="D148" i="2"/>
  <c r="C148" i="2"/>
  <c r="D147" i="2"/>
  <c r="C147" i="2"/>
  <c r="D146" i="2"/>
  <c r="C146" i="2"/>
  <c r="D145" i="2"/>
  <c r="C145" i="2"/>
  <c r="D144" i="2"/>
  <c r="C144" i="2"/>
  <c r="D143" i="2"/>
  <c r="C143" i="2"/>
  <c r="D142" i="2"/>
  <c r="C142" i="2"/>
  <c r="D141" i="2"/>
  <c r="C141" i="2"/>
  <c r="D140" i="2"/>
  <c r="C140" i="2"/>
  <c r="D139" i="2"/>
  <c r="C139" i="2"/>
  <c r="D138" i="2"/>
  <c r="C138" i="2"/>
  <c r="D137" i="2"/>
  <c r="C137" i="2"/>
  <c r="D136" i="2"/>
  <c r="C136" i="2"/>
  <c r="D135" i="2"/>
  <c r="C135" i="2"/>
  <c r="D134" i="2"/>
  <c r="C134" i="2"/>
  <c r="D88" i="2"/>
  <c r="C88" i="2"/>
  <c r="D87" i="2"/>
  <c r="C87" i="2"/>
  <c r="D86" i="2"/>
  <c r="C86" i="2"/>
  <c r="D85" i="2"/>
  <c r="C85" i="2"/>
  <c r="D84" i="2"/>
  <c r="D83" i="2"/>
  <c r="C83" i="2"/>
  <c r="D82" i="2"/>
  <c r="C82" i="2"/>
  <c r="D81" i="2"/>
  <c r="C81" i="2"/>
  <c r="D80" i="2"/>
  <c r="D79" i="2"/>
  <c r="D78" i="2"/>
  <c r="D77" i="2"/>
  <c r="D76" i="2"/>
  <c r="D75" i="2"/>
  <c r="D74" i="2"/>
  <c r="C74" i="2"/>
  <c r="D73" i="2"/>
  <c r="C73" i="2"/>
  <c r="D72" i="2"/>
  <c r="C72" i="2"/>
  <c r="D71" i="2"/>
  <c r="D70" i="2"/>
  <c r="C70" i="2"/>
  <c r="D69" i="2"/>
  <c r="C69" i="2"/>
  <c r="D68" i="2"/>
  <c r="D67" i="2"/>
  <c r="C67" i="2"/>
  <c r="D66" i="2"/>
  <c r="D65" i="2"/>
  <c r="C65" i="2"/>
  <c r="D64" i="2"/>
  <c r="C64" i="2"/>
  <c r="D63" i="2"/>
  <c r="C63" i="2"/>
  <c r="D62" i="2"/>
  <c r="C62" i="2"/>
  <c r="D61" i="2"/>
  <c r="C61" i="2"/>
  <c r="D60" i="2"/>
  <c r="C60" i="2"/>
  <c r="D59" i="2"/>
  <c r="C59" i="2"/>
  <c r="D58" i="2"/>
  <c r="C58" i="2"/>
  <c r="D57" i="2"/>
  <c r="C57" i="2"/>
  <c r="D56" i="2"/>
  <c r="C56" i="2"/>
  <c r="D55" i="2"/>
  <c r="D54" i="2"/>
  <c r="C54" i="2"/>
  <c r="D53" i="2"/>
  <c r="D52" i="2"/>
  <c r="D51" i="2"/>
  <c r="C51" i="2"/>
  <c r="D50" i="2"/>
  <c r="C50" i="2"/>
  <c r="D49" i="2"/>
  <c r="C49" i="2"/>
  <c r="D48" i="2"/>
  <c r="D47" i="2"/>
  <c r="C47" i="2"/>
  <c r="D46" i="2"/>
  <c r="C46" i="2"/>
  <c r="D45" i="2"/>
  <c r="C45" i="2"/>
  <c r="D44" i="2"/>
  <c r="C44" i="2"/>
  <c r="D43" i="2"/>
  <c r="C43" i="2"/>
  <c r="D42" i="2"/>
  <c r="D41" i="2"/>
  <c r="C41" i="2"/>
  <c r="D40" i="2"/>
  <c r="C40" i="2"/>
  <c r="D39" i="2"/>
  <c r="D38" i="2"/>
  <c r="D37" i="2"/>
  <c r="C37" i="2"/>
  <c r="D36" i="2"/>
  <c r="C36" i="2"/>
  <c r="D35" i="2"/>
  <c r="D34" i="2"/>
  <c r="C34" i="2"/>
  <c r="D33" i="2"/>
  <c r="D32" i="2"/>
  <c r="D31" i="2"/>
  <c r="D30" i="2"/>
  <c r="C30" i="2"/>
  <c r="D29" i="2"/>
  <c r="C29" i="2"/>
  <c r="D28" i="2"/>
  <c r="C28" i="2"/>
  <c r="D27" i="2"/>
  <c r="C27" i="2"/>
  <c r="D26" i="2"/>
  <c r="D25" i="2"/>
  <c r="D24" i="2"/>
  <c r="C24" i="2"/>
  <c r="D23" i="2"/>
  <c r="D22" i="2"/>
  <c r="C22" i="2"/>
  <c r="D21" i="2"/>
  <c r="C21" i="2"/>
  <c r="D20" i="2"/>
  <c r="D19" i="2"/>
  <c r="C19" i="2"/>
  <c r="D18" i="2"/>
  <c r="C18" i="2"/>
  <c r="D17" i="2"/>
  <c r="D16" i="2"/>
  <c r="D15" i="2"/>
  <c r="D14" i="2"/>
  <c r="D13" i="2"/>
  <c r="D12" i="2"/>
  <c r="C12" i="2"/>
  <c r="D11" i="2"/>
  <c r="D10" i="2"/>
  <c r="C10" i="2"/>
  <c r="D9" i="2"/>
  <c r="D8" i="2"/>
  <c r="D7" i="2"/>
  <c r="C7" i="2"/>
  <c r="D6" i="2"/>
  <c r="D5" i="2"/>
  <c r="C5" i="2"/>
  <c r="D4" i="2"/>
  <c r="D3" i="2"/>
  <c r="C1024" i="1"/>
  <c r="C902" i="1"/>
  <c r="C144" i="1"/>
  <c r="C513" i="1"/>
  <c r="C511" i="1"/>
  <c r="C510" i="1"/>
  <c r="C1049" i="1"/>
  <c r="C1013" i="1"/>
  <c r="C1011" i="1"/>
  <c r="C1009" i="1"/>
  <c r="C1008" i="1"/>
  <c r="C1005" i="1"/>
  <c r="C1004" i="1"/>
  <c r="C1002" i="1"/>
  <c r="C884" i="1"/>
  <c r="C882" i="1"/>
  <c r="C879" i="1"/>
  <c r="C771" i="1"/>
  <c r="C761" i="1"/>
  <c r="C760" i="1"/>
  <c r="C758" i="1"/>
  <c r="C756" i="1"/>
  <c r="C755" i="1"/>
  <c r="C754" i="1"/>
  <c r="C753" i="1"/>
  <c r="C752" i="1"/>
  <c r="C324" i="1"/>
  <c r="C319" i="1"/>
  <c r="C318" i="1"/>
  <c r="C316" i="1"/>
  <c r="C313" i="1"/>
  <c r="C312" i="1"/>
  <c r="C311" i="1"/>
  <c r="C310" i="1"/>
  <c r="C308" i="1"/>
  <c r="C77" i="1"/>
  <c r="C76" i="1"/>
  <c r="C74" i="1"/>
  <c r="C1136" i="1"/>
  <c r="C1140" i="1"/>
  <c r="C1134" i="1"/>
  <c r="C1138" i="1"/>
  <c r="C1139" i="1"/>
  <c r="C1113" i="1"/>
  <c r="C1111" i="1"/>
  <c r="C1110" i="1"/>
  <c r="C1105" i="1"/>
  <c r="C1104" i="1"/>
  <c r="C1103" i="1"/>
  <c r="C1083" i="1"/>
  <c r="C1080" i="1"/>
  <c r="C1079" i="1"/>
  <c r="C1075" i="1"/>
  <c r="C1074" i="1"/>
  <c r="C1072" i="1"/>
  <c r="C1067" i="1"/>
  <c r="C1065" i="1"/>
  <c r="C1064" i="1"/>
  <c r="C1063" i="1"/>
  <c r="C1062" i="1"/>
  <c r="C1060" i="1"/>
  <c r="C1059" i="1"/>
  <c r="C1057" i="1"/>
  <c r="C1054" i="1"/>
  <c r="C1050" i="1"/>
  <c r="C1022" i="1"/>
  <c r="C1021" i="1"/>
  <c r="C1019" i="1"/>
  <c r="C1027" i="1"/>
  <c r="C1016" i="1"/>
  <c r="C1015" i="1"/>
  <c r="C1025" i="1"/>
  <c r="C1023" i="1"/>
  <c r="C1029" i="1"/>
  <c r="C901" i="1"/>
  <c r="C908" i="1"/>
  <c r="C900" i="1"/>
  <c r="C907" i="1"/>
  <c r="C906" i="1"/>
  <c r="C905" i="1"/>
  <c r="C887" i="1"/>
  <c r="C894" i="1"/>
  <c r="C893" i="1"/>
  <c r="C886" i="1"/>
  <c r="C892" i="1"/>
  <c r="C891" i="1"/>
  <c r="C890" i="1"/>
  <c r="C130" i="1"/>
  <c r="C126" i="1"/>
  <c r="C136" i="1"/>
  <c r="C125" i="1"/>
  <c r="C124" i="1"/>
  <c r="C134" i="1"/>
  <c r="C119" i="1"/>
  <c r="C118" i="1"/>
  <c r="C113" i="1"/>
  <c r="C109" i="1"/>
  <c r="C108" i="1"/>
  <c r="C105" i="1"/>
  <c r="C104" i="1"/>
  <c r="C102" i="1"/>
  <c r="C93" i="1"/>
  <c r="C88" i="1"/>
  <c r="C87" i="1"/>
  <c r="C86" i="1"/>
  <c r="C85" i="1"/>
  <c r="C84" i="1"/>
  <c r="C492" i="1"/>
  <c r="C491" i="1"/>
  <c r="C486" i="1"/>
  <c r="C483" i="1"/>
  <c r="C481" i="1"/>
  <c r="C480" i="1"/>
  <c r="C476" i="1"/>
  <c r="C473" i="1"/>
  <c r="C471" i="1"/>
  <c r="C469" i="1"/>
  <c r="C468" i="1"/>
  <c r="C553" i="1"/>
  <c r="C551" i="1"/>
  <c r="C549" i="1"/>
  <c r="C548" i="1"/>
  <c r="C542" i="1"/>
  <c r="C539" i="1"/>
  <c r="C533" i="1"/>
  <c r="C529" i="1"/>
  <c r="C522" i="1"/>
  <c r="C518" i="1"/>
  <c r="C517" i="1"/>
  <c r="C516" i="1"/>
  <c r="C515" i="1"/>
  <c r="C1130" i="1"/>
  <c r="C1129" i="1"/>
  <c r="C1127" i="1"/>
  <c r="C1119" i="1"/>
  <c r="C1116" i="1"/>
  <c r="C1101" i="1"/>
  <c r="C1100" i="1"/>
  <c r="C1099" i="1"/>
  <c r="C1098" i="1"/>
  <c r="C1097" i="1"/>
  <c r="C1096" i="1"/>
  <c r="C1094" i="1"/>
  <c r="C1093" i="1"/>
  <c r="C1092" i="1"/>
  <c r="C1090" i="1"/>
  <c r="C1089" i="1"/>
  <c r="C1088" i="1"/>
  <c r="C1048" i="1"/>
  <c r="C1047" i="1"/>
  <c r="C1046" i="1"/>
  <c r="C1045" i="1"/>
  <c r="C1044" i="1"/>
  <c r="C1043" i="1"/>
  <c r="C1040" i="1"/>
  <c r="C1039" i="1"/>
  <c r="C1038" i="1"/>
  <c r="C1036" i="1"/>
  <c r="C996" i="1"/>
  <c r="C992" i="1"/>
  <c r="C990" i="1"/>
  <c r="C986" i="1"/>
  <c r="C985" i="1"/>
  <c r="C984" i="1"/>
  <c r="C980" i="1"/>
  <c r="C979" i="1"/>
  <c r="C972" i="1"/>
  <c r="C970" i="1"/>
  <c r="C965" i="1"/>
  <c r="C963" i="1"/>
  <c r="C962" i="1"/>
  <c r="C961" i="1"/>
  <c r="C960" i="1"/>
  <c r="C958" i="1"/>
  <c r="C956" i="1"/>
  <c r="C955" i="1"/>
  <c r="C945" i="1"/>
  <c r="C941" i="1"/>
  <c r="C938" i="1"/>
  <c r="C936" i="1"/>
  <c r="C935" i="1"/>
  <c r="C933" i="1"/>
  <c r="C932" i="1"/>
  <c r="C930" i="1"/>
  <c r="C929" i="1"/>
  <c r="C927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868" i="1"/>
  <c r="C864" i="1"/>
  <c r="C863" i="1"/>
  <c r="C861" i="1"/>
  <c r="C856" i="1"/>
  <c r="C852" i="1"/>
  <c r="C850" i="1"/>
  <c r="C849" i="1"/>
  <c r="C847" i="1"/>
  <c r="C842" i="1"/>
  <c r="C839" i="1"/>
  <c r="C838" i="1"/>
  <c r="C835" i="1"/>
  <c r="C833" i="1"/>
  <c r="C829" i="1"/>
  <c r="C827" i="1"/>
  <c r="C825" i="1"/>
  <c r="C823" i="1"/>
  <c r="C815" i="1"/>
  <c r="C814" i="1"/>
  <c r="C811" i="1"/>
  <c r="C809" i="1"/>
  <c r="C803" i="1"/>
  <c r="C801" i="1"/>
  <c r="C799" i="1"/>
  <c r="C798" i="1"/>
  <c r="C797" i="1"/>
  <c r="C796" i="1"/>
  <c r="C795" i="1"/>
  <c r="C794" i="1"/>
  <c r="C793" i="1"/>
  <c r="C791" i="1"/>
  <c r="C790" i="1"/>
  <c r="C788" i="1"/>
  <c r="C787" i="1"/>
  <c r="C785" i="1"/>
  <c r="C782" i="1"/>
  <c r="C781" i="1"/>
  <c r="C778" i="1"/>
  <c r="C776" i="1"/>
  <c r="C774" i="1"/>
  <c r="C773" i="1"/>
  <c r="C735" i="1"/>
  <c r="C733" i="1"/>
  <c r="C729" i="1"/>
  <c r="C727" i="1"/>
  <c r="C723" i="1"/>
  <c r="C720" i="1"/>
  <c r="C719" i="1"/>
  <c r="C718" i="1"/>
  <c r="C717" i="1"/>
  <c r="C715" i="1"/>
  <c r="C713" i="1"/>
  <c r="C711" i="1"/>
  <c r="C709" i="1"/>
  <c r="C704" i="1"/>
  <c r="C703" i="1"/>
  <c r="C701" i="1"/>
  <c r="C700" i="1"/>
  <c r="C696" i="1"/>
  <c r="C694" i="1"/>
  <c r="C683" i="1"/>
  <c r="C679" i="1"/>
  <c r="C678" i="1"/>
  <c r="C677" i="1"/>
  <c r="C676" i="1"/>
  <c r="C675" i="1"/>
  <c r="C672" i="1"/>
  <c r="C671" i="1"/>
  <c r="C670" i="1"/>
  <c r="C667" i="1"/>
  <c r="C665" i="1"/>
  <c r="C664" i="1"/>
  <c r="C663" i="1"/>
  <c r="C662" i="1"/>
  <c r="C660" i="1"/>
  <c r="C656" i="1"/>
  <c r="C654" i="1"/>
  <c r="C652" i="1"/>
  <c r="C649" i="1"/>
  <c r="C648" i="1"/>
  <c r="C634" i="1"/>
  <c r="C630" i="1"/>
  <c r="C629" i="1"/>
  <c r="C628" i="1"/>
  <c r="C627" i="1"/>
  <c r="C626" i="1"/>
  <c r="C624" i="1"/>
  <c r="C623" i="1"/>
  <c r="C622" i="1"/>
  <c r="C619" i="1"/>
  <c r="C616" i="1"/>
  <c r="C615" i="1"/>
  <c r="C614" i="1"/>
  <c r="C610" i="1"/>
  <c r="C608" i="1"/>
  <c r="C607" i="1"/>
  <c r="C603" i="1"/>
  <c r="C602" i="1"/>
  <c r="C600" i="1"/>
  <c r="C599" i="1"/>
  <c r="C598" i="1"/>
  <c r="C596" i="1"/>
  <c r="C595" i="1"/>
  <c r="C594" i="1"/>
  <c r="C593" i="1"/>
  <c r="C592" i="1"/>
  <c r="C591" i="1"/>
  <c r="C590" i="1"/>
  <c r="C588" i="1"/>
  <c r="C587" i="1"/>
  <c r="C586" i="1"/>
  <c r="C582" i="1"/>
  <c r="C580" i="1"/>
  <c r="C579" i="1"/>
  <c r="C578" i="1"/>
  <c r="C577" i="1"/>
  <c r="C576" i="1"/>
  <c r="C572" i="1"/>
  <c r="C571" i="1"/>
  <c r="C569" i="1"/>
  <c r="C567" i="1"/>
  <c r="C566" i="1"/>
  <c r="C565" i="1"/>
  <c r="C564" i="1"/>
  <c r="C562" i="1"/>
  <c r="C559" i="1"/>
  <c r="C464" i="1"/>
  <c r="C461" i="1"/>
  <c r="C457" i="1"/>
  <c r="C455" i="1"/>
  <c r="C453" i="1"/>
  <c r="C452" i="1"/>
  <c r="C451" i="1"/>
  <c r="C450" i="1"/>
  <c r="C449" i="1"/>
  <c r="C448" i="1"/>
  <c r="C447" i="1"/>
  <c r="C446" i="1"/>
  <c r="C444" i="1"/>
  <c r="C443" i="1"/>
  <c r="C441" i="1"/>
  <c r="C428" i="1"/>
  <c r="C427" i="1"/>
  <c r="C425" i="1"/>
  <c r="C423" i="1"/>
  <c r="C421" i="1"/>
  <c r="C419" i="1"/>
  <c r="C418" i="1"/>
  <c r="C417" i="1"/>
  <c r="C415" i="1"/>
  <c r="C413" i="1"/>
  <c r="C408" i="1"/>
  <c r="C407" i="1"/>
  <c r="C405" i="1"/>
  <c r="C404" i="1"/>
  <c r="C403" i="1"/>
  <c r="C401" i="1"/>
  <c r="C399" i="1"/>
  <c r="C398" i="1"/>
  <c r="C396" i="1"/>
  <c r="C395" i="1"/>
  <c r="C393" i="1"/>
  <c r="C392" i="1"/>
  <c r="C391" i="1"/>
  <c r="C389" i="1"/>
  <c r="C388" i="1"/>
  <c r="C386" i="1"/>
  <c r="C385" i="1"/>
  <c r="C384" i="1"/>
  <c r="C383" i="1"/>
  <c r="C377" i="1"/>
  <c r="C368" i="1"/>
  <c r="C365" i="1"/>
  <c r="C362" i="1"/>
  <c r="C360" i="1"/>
  <c r="C359" i="1"/>
  <c r="C358" i="1"/>
  <c r="C357" i="1"/>
  <c r="C356" i="1"/>
  <c r="C354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5" i="1"/>
  <c r="C331" i="1"/>
  <c r="C330" i="1"/>
  <c r="C328" i="1"/>
  <c r="C326" i="1"/>
  <c r="C305" i="1"/>
  <c r="C298" i="1"/>
  <c r="C296" i="1"/>
  <c r="C291" i="1"/>
  <c r="C288" i="1"/>
  <c r="C286" i="1"/>
  <c r="C282" i="1"/>
  <c r="C279" i="1"/>
  <c r="C277" i="1"/>
  <c r="C276" i="1"/>
  <c r="C275" i="1"/>
  <c r="C274" i="1"/>
  <c r="C271" i="1"/>
  <c r="C270" i="1"/>
  <c r="C269" i="1"/>
  <c r="C268" i="1"/>
  <c r="C267" i="1"/>
  <c r="C266" i="1"/>
  <c r="C264" i="1"/>
  <c r="C263" i="1"/>
  <c r="C262" i="1"/>
  <c r="C254" i="1"/>
  <c r="C253" i="1"/>
  <c r="C250" i="1"/>
  <c r="C249" i="1"/>
  <c r="C246" i="1"/>
  <c r="C245" i="1"/>
  <c r="C236" i="1"/>
  <c r="C233" i="1"/>
  <c r="C231" i="1"/>
  <c r="C229" i="1"/>
  <c r="C228" i="1"/>
  <c r="C227" i="1"/>
  <c r="C226" i="1"/>
  <c r="C224" i="1"/>
  <c r="C222" i="1"/>
  <c r="C221" i="1"/>
  <c r="C219" i="1"/>
  <c r="C217" i="1"/>
  <c r="C215" i="1"/>
  <c r="C214" i="1"/>
  <c r="C213" i="1"/>
  <c r="C212" i="1"/>
  <c r="C210" i="1"/>
  <c r="C209" i="1"/>
  <c r="C208" i="1"/>
  <c r="C206" i="1"/>
  <c r="C204" i="1"/>
  <c r="C199" i="1"/>
  <c r="C198" i="1"/>
  <c r="C197" i="1"/>
  <c r="C193" i="1"/>
  <c r="C192" i="1"/>
  <c r="C191" i="1"/>
  <c r="C189" i="1"/>
  <c r="C188" i="1"/>
  <c r="C186" i="1"/>
  <c r="C185" i="1"/>
  <c r="C182" i="1"/>
  <c r="C181" i="1"/>
  <c r="C180" i="1"/>
  <c r="C178" i="1"/>
  <c r="C177" i="1"/>
  <c r="C175" i="1"/>
  <c r="C169" i="1"/>
  <c r="C167" i="1"/>
  <c r="C166" i="1"/>
  <c r="C165" i="1"/>
  <c r="C164" i="1"/>
  <c r="C162" i="1"/>
  <c r="C161" i="1"/>
  <c r="C160" i="1"/>
  <c r="C159" i="1"/>
  <c r="C158" i="1"/>
  <c r="C155" i="1"/>
  <c r="C154" i="1"/>
  <c r="C153" i="1"/>
  <c r="C152" i="1"/>
  <c r="C151" i="1"/>
  <c r="C149" i="1"/>
  <c r="C146" i="1"/>
  <c r="C145" i="1"/>
  <c r="C69" i="1"/>
  <c r="C59" i="1"/>
  <c r="C54" i="1"/>
  <c r="C48" i="1"/>
  <c r="C45" i="1"/>
  <c r="C43" i="1"/>
  <c r="C39" i="1"/>
  <c r="C34" i="1"/>
  <c r="C30" i="1"/>
  <c r="C24" i="1"/>
  <c r="C22" i="1"/>
  <c r="C15" i="1"/>
  <c r="C11" i="1"/>
  <c r="C10" i="1"/>
  <c r="C7" i="1"/>
  <c r="C6" i="1"/>
  <c r="C5" i="1"/>
  <c r="D3" i="1"/>
  <c r="D4" i="1"/>
  <c r="D5" i="1"/>
  <c r="D6" i="1"/>
  <c r="D7" i="1"/>
  <c r="D8" i="1"/>
  <c r="D9" i="1"/>
  <c r="D10" i="1"/>
  <c r="D11" i="1"/>
  <c r="D12" i="1"/>
  <c r="D13" i="1"/>
  <c r="C14" i="1"/>
  <c r="D14" i="1"/>
  <c r="D15" i="1"/>
  <c r="C16" i="1"/>
  <c r="D16" i="1"/>
  <c r="C17" i="1"/>
  <c r="D17" i="1"/>
  <c r="D18" i="1"/>
  <c r="C19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C44" i="1"/>
  <c r="D44" i="1"/>
  <c r="D45" i="1"/>
  <c r="C46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C66" i="1"/>
  <c r="D66" i="1"/>
  <c r="C67" i="1"/>
  <c r="D67" i="1"/>
  <c r="D68" i="1"/>
  <c r="D69" i="1"/>
  <c r="D70" i="1"/>
  <c r="D71" i="1"/>
  <c r="D72" i="1"/>
  <c r="D145" i="1"/>
  <c r="D146" i="1"/>
  <c r="C147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C183" i="1"/>
  <c r="D183" i="1"/>
  <c r="D184" i="1"/>
  <c r="D185" i="1"/>
  <c r="D186" i="1"/>
  <c r="D187" i="1"/>
  <c r="D188" i="1"/>
  <c r="D189" i="1"/>
  <c r="D190" i="1"/>
  <c r="D191" i="1"/>
  <c r="D192" i="1"/>
  <c r="D193" i="1"/>
  <c r="C194" i="1"/>
  <c r="D194" i="1"/>
  <c r="C195" i="1"/>
  <c r="D195" i="1"/>
  <c r="C196" i="1"/>
  <c r="D196" i="1"/>
  <c r="D197" i="1"/>
  <c r="D198" i="1"/>
  <c r="D199" i="1"/>
  <c r="D200" i="1"/>
  <c r="D201" i="1"/>
  <c r="D202" i="1"/>
  <c r="C203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C223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C235" i="1"/>
  <c r="D235" i="1"/>
  <c r="D236" i="1"/>
  <c r="D237" i="1"/>
  <c r="C238" i="1"/>
  <c r="D238" i="1"/>
  <c r="C239" i="1"/>
  <c r="D239" i="1"/>
  <c r="D240" i="1"/>
  <c r="D241" i="1"/>
  <c r="D242" i="1"/>
  <c r="C243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C260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C292" i="1"/>
  <c r="D292" i="1"/>
  <c r="D293" i="1"/>
  <c r="C294" i="1"/>
  <c r="D294" i="1"/>
  <c r="D295" i="1"/>
  <c r="D296" i="1"/>
  <c r="C297" i="1"/>
  <c r="D297" i="1"/>
  <c r="D298" i="1"/>
  <c r="C299" i="1"/>
  <c r="D299" i="1"/>
  <c r="C300" i="1"/>
  <c r="D300" i="1"/>
  <c r="D301" i="1"/>
  <c r="D302" i="1"/>
  <c r="D303" i="1"/>
  <c r="D304" i="1"/>
  <c r="D305" i="1"/>
  <c r="D306" i="1"/>
  <c r="D307" i="1"/>
  <c r="D326" i="1"/>
  <c r="D327" i="1"/>
  <c r="D328" i="1"/>
  <c r="D329" i="1"/>
  <c r="D330" i="1"/>
  <c r="D331" i="1"/>
  <c r="D332" i="1"/>
  <c r="C333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C363" i="1"/>
  <c r="D363" i="1"/>
  <c r="D364" i="1"/>
  <c r="D365" i="1"/>
  <c r="C366" i="1"/>
  <c r="D366" i="1"/>
  <c r="D367" i="1"/>
  <c r="D368" i="1"/>
  <c r="D369" i="1"/>
  <c r="C370" i="1"/>
  <c r="D370" i="1"/>
  <c r="C371" i="1"/>
  <c r="D371" i="1"/>
  <c r="D372" i="1"/>
  <c r="C373" i="1"/>
  <c r="D373" i="1"/>
  <c r="C374" i="1"/>
  <c r="D374" i="1"/>
  <c r="C375" i="1"/>
  <c r="D375" i="1"/>
  <c r="C376" i="1"/>
  <c r="D376" i="1"/>
  <c r="D377" i="1"/>
  <c r="C378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C411" i="1"/>
  <c r="D411" i="1"/>
  <c r="C412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C429" i="1"/>
  <c r="D429" i="1"/>
  <c r="D430" i="1"/>
  <c r="D431" i="1"/>
  <c r="C432" i="1"/>
  <c r="D432" i="1"/>
  <c r="D433" i="1"/>
  <c r="C434" i="1"/>
  <c r="D434" i="1"/>
  <c r="D435" i="1"/>
  <c r="D436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C454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559" i="1"/>
  <c r="D560" i="1"/>
  <c r="D561" i="1"/>
  <c r="D562" i="1"/>
  <c r="D563" i="1"/>
  <c r="D564" i="1"/>
  <c r="D565" i="1"/>
  <c r="D566" i="1"/>
  <c r="D567" i="1"/>
  <c r="D568" i="1"/>
  <c r="D569" i="1"/>
  <c r="C570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C584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C631" i="1"/>
  <c r="D631" i="1"/>
  <c r="D632" i="1"/>
  <c r="C633" i="1"/>
  <c r="D633" i="1"/>
  <c r="D634" i="1"/>
  <c r="C635" i="1"/>
  <c r="D635" i="1"/>
  <c r="C636" i="1"/>
  <c r="D636" i="1"/>
  <c r="C637" i="1"/>
  <c r="D637" i="1"/>
  <c r="C638" i="1"/>
  <c r="D638" i="1"/>
  <c r="D639" i="1"/>
  <c r="C640" i="1"/>
  <c r="D640" i="1"/>
  <c r="D641" i="1"/>
  <c r="C642" i="1"/>
  <c r="D642" i="1"/>
  <c r="C643" i="1"/>
  <c r="D643" i="1"/>
  <c r="C644" i="1"/>
  <c r="D644" i="1"/>
  <c r="C645" i="1"/>
  <c r="D645" i="1"/>
  <c r="C646" i="1"/>
  <c r="D646" i="1"/>
  <c r="D647" i="1"/>
  <c r="D648" i="1"/>
  <c r="D649" i="1"/>
  <c r="C650" i="1"/>
  <c r="D650" i="1"/>
  <c r="D651" i="1"/>
  <c r="D652" i="1"/>
  <c r="C653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C684" i="1"/>
  <c r="D684" i="1"/>
  <c r="D685" i="1"/>
  <c r="D686" i="1"/>
  <c r="D687" i="1"/>
  <c r="D688" i="1"/>
  <c r="C689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C716" i="1"/>
  <c r="D716" i="1"/>
  <c r="D717" i="1"/>
  <c r="D718" i="1"/>
  <c r="D719" i="1"/>
  <c r="D720" i="1"/>
  <c r="D721" i="1"/>
  <c r="C722" i="1"/>
  <c r="D722" i="1"/>
  <c r="D723" i="1"/>
  <c r="D724" i="1"/>
  <c r="C725" i="1"/>
  <c r="D725" i="1"/>
  <c r="D726" i="1"/>
  <c r="D727" i="1"/>
  <c r="D728" i="1"/>
  <c r="D729" i="1"/>
  <c r="D730" i="1"/>
  <c r="D731" i="1"/>
  <c r="C732" i="1"/>
  <c r="D732" i="1"/>
  <c r="D733" i="1"/>
  <c r="C734" i="1"/>
  <c r="D734" i="1"/>
  <c r="D735" i="1"/>
  <c r="D736" i="1"/>
  <c r="C737" i="1"/>
  <c r="D737" i="1"/>
  <c r="D738" i="1"/>
  <c r="D739" i="1"/>
  <c r="C740" i="1"/>
  <c r="D740" i="1"/>
  <c r="D741" i="1"/>
  <c r="D742" i="1"/>
  <c r="D743" i="1"/>
  <c r="D744" i="1"/>
  <c r="C745" i="1"/>
  <c r="D745" i="1"/>
  <c r="D746" i="1"/>
  <c r="D773" i="1"/>
  <c r="D774" i="1"/>
  <c r="D775" i="1"/>
  <c r="D776" i="1"/>
  <c r="C777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C810" i="1"/>
  <c r="D810" i="1"/>
  <c r="D811" i="1"/>
  <c r="D812" i="1"/>
  <c r="D813" i="1"/>
  <c r="D814" i="1"/>
  <c r="D815" i="1"/>
  <c r="D816" i="1"/>
  <c r="C817" i="1"/>
  <c r="D817" i="1"/>
  <c r="D818" i="1"/>
  <c r="C819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C832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C865" i="1"/>
  <c r="D865" i="1"/>
  <c r="D866" i="1"/>
  <c r="D867" i="1"/>
  <c r="D868" i="1"/>
  <c r="C869" i="1"/>
  <c r="D869" i="1"/>
  <c r="D870" i="1"/>
  <c r="D871" i="1"/>
  <c r="C872" i="1"/>
  <c r="D872" i="1"/>
  <c r="C873" i="1"/>
  <c r="D873" i="1"/>
  <c r="C874" i="1"/>
  <c r="D874" i="1"/>
  <c r="C875" i="1"/>
  <c r="D875" i="1"/>
  <c r="D876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C937" i="1"/>
  <c r="D937" i="1"/>
  <c r="D938" i="1"/>
  <c r="D939" i="1"/>
  <c r="D940" i="1"/>
  <c r="D941" i="1"/>
  <c r="D942" i="1"/>
  <c r="C943" i="1"/>
  <c r="D943" i="1"/>
  <c r="C944" i="1"/>
  <c r="D944" i="1"/>
  <c r="D945" i="1"/>
  <c r="D946" i="1"/>
  <c r="C947" i="1"/>
  <c r="D947" i="1"/>
  <c r="D948" i="1"/>
  <c r="D949" i="1"/>
  <c r="D950" i="1"/>
  <c r="D951" i="1"/>
  <c r="D952" i="1"/>
  <c r="C953" i="1"/>
  <c r="D953" i="1"/>
  <c r="D954" i="1"/>
  <c r="D955" i="1"/>
  <c r="D956" i="1"/>
  <c r="D957" i="1"/>
  <c r="D958" i="1"/>
  <c r="C959" i="1"/>
  <c r="D959" i="1"/>
  <c r="D960" i="1"/>
  <c r="D961" i="1"/>
  <c r="D962" i="1"/>
  <c r="D963" i="1"/>
  <c r="D964" i="1"/>
  <c r="D965" i="1"/>
  <c r="C966" i="1"/>
  <c r="D966" i="1"/>
  <c r="D967" i="1"/>
  <c r="D968" i="1"/>
  <c r="C969" i="1"/>
  <c r="D969" i="1"/>
  <c r="D970" i="1"/>
  <c r="D971" i="1"/>
  <c r="D972" i="1"/>
  <c r="D973" i="1"/>
  <c r="D974" i="1"/>
  <c r="C975" i="1"/>
  <c r="D975" i="1"/>
  <c r="C976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C988" i="1"/>
  <c r="D988" i="1"/>
  <c r="D989" i="1"/>
  <c r="D990" i="1"/>
  <c r="D991" i="1"/>
  <c r="D992" i="1"/>
  <c r="C993" i="1"/>
  <c r="D993" i="1"/>
  <c r="D994" i="1"/>
  <c r="D995" i="1"/>
  <c r="D996" i="1"/>
  <c r="D997" i="1"/>
  <c r="D998" i="1"/>
  <c r="C999" i="1"/>
  <c r="D999" i="1"/>
  <c r="D1000" i="1"/>
  <c r="D1001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88" i="1"/>
  <c r="D1089" i="1"/>
  <c r="D1090" i="1"/>
  <c r="D1091" i="1"/>
  <c r="D1092" i="1"/>
  <c r="D1093" i="1"/>
  <c r="D1094" i="1"/>
  <c r="C1095" i="1"/>
  <c r="D1095" i="1"/>
  <c r="D1096" i="1"/>
  <c r="D1097" i="1"/>
  <c r="D1098" i="1"/>
  <c r="D1099" i="1"/>
  <c r="D1100" i="1"/>
  <c r="D1101" i="1"/>
  <c r="C1115" i="1"/>
  <c r="D1115" i="1"/>
  <c r="D1116" i="1"/>
  <c r="D1117" i="1"/>
  <c r="D1118" i="1"/>
  <c r="D1119" i="1"/>
  <c r="D1120" i="1"/>
  <c r="D1121" i="1"/>
  <c r="D1122" i="1"/>
  <c r="C1123" i="1"/>
  <c r="D1123" i="1"/>
  <c r="D1124" i="1"/>
  <c r="D1125" i="1"/>
  <c r="D1126" i="1"/>
  <c r="D1127" i="1"/>
  <c r="D1128" i="1"/>
  <c r="D1129" i="1"/>
  <c r="D1130" i="1"/>
  <c r="D1131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C527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468" i="1"/>
  <c r="D469" i="1"/>
  <c r="D470" i="1"/>
  <c r="D471" i="1"/>
  <c r="D472" i="1"/>
  <c r="D473" i="1"/>
  <c r="D474" i="1"/>
  <c r="C475" i="1"/>
  <c r="D475" i="1"/>
  <c r="D476" i="1"/>
  <c r="D477" i="1"/>
  <c r="D478" i="1"/>
  <c r="D479" i="1"/>
  <c r="D480" i="1"/>
  <c r="D481" i="1"/>
  <c r="D482" i="1"/>
  <c r="D483" i="1"/>
  <c r="C484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C508" i="1"/>
  <c r="D508" i="1"/>
  <c r="D509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38" i="1"/>
  <c r="D119" i="1"/>
  <c r="D134" i="1"/>
  <c r="D120" i="1"/>
  <c r="C139" i="1"/>
  <c r="D139" i="1"/>
  <c r="D140" i="1"/>
  <c r="C121" i="1"/>
  <c r="D121" i="1"/>
  <c r="C122" i="1"/>
  <c r="D122" i="1"/>
  <c r="D135" i="1"/>
  <c r="D141" i="1"/>
  <c r="D123" i="1"/>
  <c r="D124" i="1"/>
  <c r="D125" i="1"/>
  <c r="C142" i="1"/>
  <c r="D142" i="1"/>
  <c r="D136" i="1"/>
  <c r="D126" i="1"/>
  <c r="D127" i="1"/>
  <c r="D128" i="1"/>
  <c r="D129" i="1"/>
  <c r="D130" i="1"/>
  <c r="D143" i="1"/>
  <c r="D131" i="1"/>
  <c r="D137" i="1"/>
  <c r="D885" i="1"/>
  <c r="D890" i="1"/>
  <c r="D891" i="1"/>
  <c r="D892" i="1"/>
  <c r="D886" i="1"/>
  <c r="D893" i="1"/>
  <c r="D894" i="1"/>
  <c r="C895" i="1"/>
  <c r="D895" i="1"/>
  <c r="C904" i="1"/>
  <c r="D904" i="1"/>
  <c r="C896" i="1"/>
  <c r="D896" i="1"/>
  <c r="D897" i="1"/>
  <c r="D887" i="1"/>
  <c r="D905" i="1"/>
  <c r="D906" i="1"/>
  <c r="D898" i="1"/>
  <c r="D907" i="1"/>
  <c r="D899" i="1"/>
  <c r="D900" i="1"/>
  <c r="D908" i="1"/>
  <c r="D901" i="1"/>
  <c r="D909" i="1"/>
  <c r="D1029" i="1"/>
  <c r="D1023" i="1"/>
  <c r="D1025" i="1"/>
  <c r="D1030" i="1"/>
  <c r="D1015" i="1"/>
  <c r="C1026" i="1"/>
  <c r="D1026" i="1"/>
  <c r="D1016" i="1"/>
  <c r="C1017" i="1"/>
  <c r="D1017" i="1"/>
  <c r="D1027" i="1"/>
  <c r="D1018" i="1"/>
  <c r="D1031" i="1"/>
  <c r="C1032" i="1"/>
  <c r="D1032" i="1"/>
  <c r="D1033" i="1"/>
  <c r="D1019" i="1"/>
  <c r="D1020" i="1"/>
  <c r="D1021" i="1"/>
  <c r="D1028" i="1"/>
  <c r="D1034" i="1"/>
  <c r="D1022" i="1"/>
  <c r="D1035" i="1"/>
  <c r="D1050" i="1"/>
  <c r="D1051" i="1"/>
  <c r="C1052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C1066" i="1"/>
  <c r="D1066" i="1"/>
  <c r="D1067" i="1"/>
  <c r="C1068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103" i="1"/>
  <c r="D1104" i="1"/>
  <c r="D1105" i="1"/>
  <c r="D1106" i="1"/>
  <c r="D1107" i="1"/>
  <c r="D1108" i="1"/>
  <c r="D1109" i="1"/>
  <c r="D1110" i="1"/>
  <c r="D1111" i="1"/>
  <c r="D1112" i="1"/>
  <c r="D1113" i="1"/>
  <c r="C1114" i="1"/>
  <c r="D1114" i="1"/>
  <c r="D1133" i="1"/>
  <c r="D1139" i="1"/>
  <c r="D1138" i="1"/>
  <c r="D1134" i="1"/>
  <c r="D1140" i="1"/>
  <c r="D1135" i="1"/>
  <c r="D1136" i="1"/>
  <c r="D1141" i="1"/>
  <c r="D1142" i="1"/>
  <c r="D1137" i="1"/>
  <c r="D747" i="1"/>
  <c r="D748" i="1"/>
  <c r="D437" i="1"/>
  <c r="D749" i="1"/>
  <c r="D750" i="1"/>
  <c r="D73" i="1"/>
  <c r="D74" i="1"/>
  <c r="D75" i="1"/>
  <c r="D76" i="1"/>
  <c r="D77" i="1"/>
  <c r="D78" i="1"/>
  <c r="D79" i="1"/>
  <c r="D80" i="1"/>
  <c r="D308" i="1"/>
  <c r="D309" i="1"/>
  <c r="D310" i="1"/>
  <c r="D311" i="1"/>
  <c r="D312" i="1"/>
  <c r="D313" i="1"/>
  <c r="D314" i="1"/>
  <c r="C315" i="1"/>
  <c r="D315" i="1"/>
  <c r="D316" i="1"/>
  <c r="C317" i="1"/>
  <c r="D317" i="1"/>
  <c r="D318" i="1"/>
  <c r="D319" i="1"/>
  <c r="C320" i="1"/>
  <c r="D320" i="1"/>
  <c r="D321" i="1"/>
  <c r="D322" i="1"/>
  <c r="C323" i="1"/>
  <c r="D323" i="1"/>
  <c r="D324" i="1"/>
  <c r="C325" i="1"/>
  <c r="D325" i="1"/>
  <c r="C438" i="1"/>
  <c r="D438" i="1"/>
  <c r="C439" i="1"/>
  <c r="D439" i="1"/>
  <c r="C751" i="1"/>
  <c r="D751" i="1"/>
  <c r="D752" i="1"/>
  <c r="D753" i="1"/>
  <c r="D754" i="1"/>
  <c r="D755" i="1"/>
  <c r="D756" i="1"/>
  <c r="C757" i="1"/>
  <c r="D757" i="1"/>
  <c r="D758" i="1"/>
  <c r="C759" i="1"/>
  <c r="D759" i="1"/>
  <c r="D760" i="1"/>
  <c r="D761" i="1"/>
  <c r="C762" i="1"/>
  <c r="D762" i="1"/>
  <c r="C763" i="1"/>
  <c r="D763" i="1"/>
  <c r="C764" i="1"/>
  <c r="D764" i="1"/>
  <c r="D765" i="1"/>
  <c r="D766" i="1"/>
  <c r="D767" i="1"/>
  <c r="D768" i="1"/>
  <c r="D769" i="1"/>
  <c r="D770" i="1"/>
  <c r="D771" i="1"/>
  <c r="C772" i="1"/>
  <c r="D772" i="1"/>
  <c r="C877" i="1"/>
  <c r="D877" i="1"/>
  <c r="C878" i="1"/>
  <c r="D878" i="1"/>
  <c r="D879" i="1"/>
  <c r="C880" i="1"/>
  <c r="D880" i="1"/>
  <c r="C881" i="1"/>
  <c r="D881" i="1"/>
  <c r="D882" i="1"/>
  <c r="C883" i="1"/>
  <c r="D883" i="1"/>
  <c r="D884" i="1"/>
  <c r="D1002" i="1"/>
  <c r="D1003" i="1"/>
  <c r="D1004" i="1"/>
  <c r="D1005" i="1"/>
  <c r="C1006" i="1"/>
  <c r="D1006" i="1"/>
  <c r="C1007" i="1"/>
  <c r="D1007" i="1"/>
  <c r="D1008" i="1"/>
  <c r="D1009" i="1"/>
  <c r="C1010" i="1"/>
  <c r="D1010" i="1"/>
  <c r="D1011" i="1"/>
  <c r="D1012" i="1"/>
  <c r="D1013" i="1"/>
  <c r="D1049" i="1"/>
  <c r="C1102" i="1"/>
  <c r="D1102" i="1"/>
  <c r="C1132" i="1"/>
  <c r="D1132" i="1"/>
  <c r="D556" i="1"/>
  <c r="D557" i="1"/>
  <c r="D558" i="1"/>
  <c r="D510" i="1"/>
  <c r="D511" i="1"/>
  <c r="D512" i="1"/>
  <c r="D513" i="1"/>
  <c r="C97" i="1"/>
  <c r="D97" i="1"/>
  <c r="C98" i="1"/>
  <c r="D98" i="1"/>
  <c r="D99" i="1"/>
  <c r="D100" i="1"/>
  <c r="D132" i="1"/>
  <c r="C133" i="1"/>
  <c r="D133" i="1"/>
  <c r="D144" i="1"/>
  <c r="D902" i="1"/>
  <c r="C903" i="1"/>
  <c r="D903" i="1"/>
  <c r="C888" i="1"/>
  <c r="D888" i="1"/>
  <c r="C889" i="1"/>
  <c r="D889" i="1"/>
  <c r="D1024" i="1"/>
  <c r="D1085" i="1"/>
  <c r="D1086" i="1"/>
  <c r="C1087" i="1"/>
  <c r="D1087" i="1"/>
  <c r="D101" i="1"/>
  <c r="D81" i="1"/>
  <c r="C1014" i="1"/>
  <c r="D1014" i="1"/>
  <c r="D514" i="1"/>
</calcChain>
</file>

<file path=xl/sharedStrings.xml><?xml version="1.0" encoding="utf-8"?>
<sst xmlns="http://schemas.openxmlformats.org/spreadsheetml/2006/main" count="3254" uniqueCount="3201">
  <si>
    <t>医療機関コード</t>
  </si>
  <si>
    <t>名称</t>
  </si>
  <si>
    <t>住所</t>
  </si>
  <si>
    <t>電話番号</t>
  </si>
  <si>
    <t>はべ泌尿器科</t>
  </si>
  <si>
    <t>丹羽眼科</t>
  </si>
  <si>
    <t>ナナワ整形外科</t>
  </si>
  <si>
    <t>南皮フ科</t>
  </si>
  <si>
    <t>玉井医院</t>
  </si>
  <si>
    <t>ひだまり眼科</t>
  </si>
  <si>
    <t>ゆあさ皮フ科</t>
  </si>
  <si>
    <t>桑名市陽だまりの丘7丁目1604番地</t>
  </si>
  <si>
    <t>辻クリニック</t>
  </si>
  <si>
    <t>おざわ整形外科</t>
  </si>
  <si>
    <t>たかしま医院</t>
  </si>
  <si>
    <t>佐藤内科</t>
  </si>
  <si>
    <t>そうえい皮膚科</t>
  </si>
  <si>
    <t>えば内科・循環器内科</t>
  </si>
  <si>
    <t>くろだファミリークリニック</t>
  </si>
  <si>
    <t>ペルソナクリニック</t>
  </si>
  <si>
    <t>陽だまりの丘なかむら内科</t>
  </si>
  <si>
    <t>桑名市陽だまりの丘7丁目1510番地</t>
  </si>
  <si>
    <t>もろおか内科クリニック</t>
  </si>
  <si>
    <t>桑名耳鼻咽喉科</t>
  </si>
  <si>
    <t>桑名市大字桑名字北浜628番8</t>
  </si>
  <si>
    <t>にいみ整形外科</t>
  </si>
  <si>
    <t>桑名市大字赤尾2029</t>
  </si>
  <si>
    <t>トータルサポートクリニック長島</t>
  </si>
  <si>
    <t>はば内科ハートクリニック</t>
  </si>
  <si>
    <t>はなみずき皮ふ科</t>
  </si>
  <si>
    <t>きせ腎泌尿器科・かんぽうクリニック</t>
  </si>
  <si>
    <t>泉内科・消化器内科</t>
  </si>
  <si>
    <t>桑名市大字北別所416番地1</t>
  </si>
  <si>
    <t>せんが内科・循環器クリニック</t>
  </si>
  <si>
    <t>桑名市中央町1丁目32番地2</t>
  </si>
  <si>
    <t>医療法人誠会　山崎病院</t>
  </si>
  <si>
    <t>医療法人桑名病院</t>
  </si>
  <si>
    <t>坂井橋クリニック</t>
  </si>
  <si>
    <t>ヨナハ丘の上病院</t>
  </si>
  <si>
    <t>桑名市さくらの丘1番地</t>
  </si>
  <si>
    <t>青木記念病院</t>
  </si>
  <si>
    <t>医療法人　岡島眼科</t>
  </si>
  <si>
    <t>落合内科</t>
  </si>
  <si>
    <t>青木内科</t>
  </si>
  <si>
    <t>医療法人社団桑久会　久瀬クリニック</t>
  </si>
  <si>
    <t>医療法人温知会いとう医院</t>
  </si>
  <si>
    <t>すがいクリニック</t>
  </si>
  <si>
    <t>医療法人星山会山田眼科</t>
  </si>
  <si>
    <t>田渕眼科</t>
  </si>
  <si>
    <t>ウエルネス医療クリニック</t>
  </si>
  <si>
    <t>まつだ小児科クリニック</t>
  </si>
  <si>
    <t>医療法人友愛会　慶友整形外科</t>
  </si>
  <si>
    <t>医療法人社団藤原会　桑名メディカルクリニック</t>
  </si>
  <si>
    <t>医療法人大仲会大仲ファミリークリニック</t>
  </si>
  <si>
    <t>近藤小児科医院</t>
  </si>
  <si>
    <t>もりえい病院</t>
  </si>
  <si>
    <t>ひがし胃腸科外科</t>
  </si>
  <si>
    <t>宮口内科循環器科</t>
  </si>
  <si>
    <t>木村耳鼻いんこう科</t>
  </si>
  <si>
    <t>桑名市星見ヶ丘9丁目202</t>
  </si>
  <si>
    <t>医療法人（社団）佐藤病院　長島中央病院</t>
  </si>
  <si>
    <t>山室内科</t>
  </si>
  <si>
    <t>森山クリニック</t>
  </si>
  <si>
    <t>さとう糖尿病・訪問診療クリニック</t>
  </si>
  <si>
    <t>医療法人たけうちレディースケアクリニック</t>
  </si>
  <si>
    <t>のだ内科・リウマチ膠原病・訪問診療クリニック</t>
  </si>
  <si>
    <t>大石内科クリニック</t>
  </si>
  <si>
    <t>一般財団法人　三重県産業衛生協会　くわな健康クリニック</t>
  </si>
  <si>
    <t>桑名市中央町三丁目23番地</t>
  </si>
  <si>
    <t>みえ医療福祉生活協同組合　伊賀町診療所</t>
  </si>
  <si>
    <t>桑名クリニック</t>
  </si>
  <si>
    <t>地方独立行政法人　桑名市総合医療センター</t>
  </si>
  <si>
    <t>桑名市寿町三丁目11番地</t>
  </si>
  <si>
    <t>すずき胃腸肛門クリニック</t>
  </si>
  <si>
    <t>田中クリニック</t>
  </si>
  <si>
    <t>桑名市梅園通35番地1</t>
  </si>
  <si>
    <t>大桑クリニック</t>
  </si>
  <si>
    <t>中部眼科</t>
  </si>
  <si>
    <t>桑名市大字東方福島前768番地1</t>
  </si>
  <si>
    <t>こまち内科クリニック</t>
  </si>
  <si>
    <t>医療法人　なかがわ整形外科リハビリクリニック</t>
  </si>
  <si>
    <t>医療法人　桑名もり内科</t>
  </si>
  <si>
    <t>桑名市大字西方499番地</t>
  </si>
  <si>
    <t>医療法人　おもと皮フ科</t>
  </si>
  <si>
    <t>ヨナハレディースクリニック</t>
  </si>
  <si>
    <t>桑名市大字和泉イノ割219番地</t>
  </si>
  <si>
    <t>むねゆき内科クリニック</t>
  </si>
  <si>
    <t>桑名市大字赤尾2032ー1</t>
  </si>
  <si>
    <t>医療法人　相生　ほしみ脳神経外科</t>
  </si>
  <si>
    <t>桑名市星見ケ丘7丁目305番地</t>
  </si>
  <si>
    <t>小谷眼科</t>
  </si>
  <si>
    <t>水谷医院</t>
  </si>
  <si>
    <t>川村小児科クリニック</t>
  </si>
  <si>
    <t>藤原医院</t>
  </si>
  <si>
    <t>村田医院</t>
  </si>
  <si>
    <t>矢田クリニック</t>
  </si>
  <si>
    <t>皮フ科サンクリニック</t>
  </si>
  <si>
    <t>東海内科クリニック</t>
  </si>
  <si>
    <t>あさけが丘診療所</t>
  </si>
  <si>
    <t>ときわ胃腸科</t>
  </si>
  <si>
    <t>いとう整形外科クリニック</t>
  </si>
  <si>
    <t>センター眼科</t>
  </si>
  <si>
    <t>古田医院</t>
  </si>
  <si>
    <t>山中内科小児科</t>
  </si>
  <si>
    <t>高士医院</t>
  </si>
  <si>
    <t>おかだ眼科</t>
  </si>
  <si>
    <t>玉垣医院</t>
  </si>
  <si>
    <t>林医院</t>
  </si>
  <si>
    <t>広田クリニック</t>
  </si>
  <si>
    <t>越山クリニック</t>
  </si>
  <si>
    <t>浜田整形外科</t>
  </si>
  <si>
    <t>羽津内科クリニック</t>
  </si>
  <si>
    <t>やまもり内科クリニック</t>
  </si>
  <si>
    <t>品川医院</t>
  </si>
  <si>
    <t>さかい内科クリニック</t>
  </si>
  <si>
    <t>斉藤クリニック</t>
  </si>
  <si>
    <t>やまもと胃腸科内科</t>
  </si>
  <si>
    <t>内科・消化器科　つかもとクリニック</t>
  </si>
  <si>
    <t>寺嶋内科小児科</t>
  </si>
  <si>
    <t>石川記念いとうクリニック</t>
  </si>
  <si>
    <t>いいだクリニック</t>
  </si>
  <si>
    <t>なべしま消化器内科クリニック</t>
  </si>
  <si>
    <t>四日市整形外科</t>
  </si>
  <si>
    <t>大川眼科</t>
  </si>
  <si>
    <t>まきた内科クリニック</t>
  </si>
  <si>
    <t>ときめ皮膚科クリニック</t>
  </si>
  <si>
    <t>ありまクリニック</t>
  </si>
  <si>
    <t>杉本眼科クリニック</t>
  </si>
  <si>
    <t>おかもと耳鼻咽喉科</t>
  </si>
  <si>
    <t>羽津眼科</t>
  </si>
  <si>
    <t>長谷川脳神経外科クリニック</t>
  </si>
  <si>
    <t>青山循環器内科クリニック</t>
  </si>
  <si>
    <t>むらせシニアメンタルくりにっく</t>
  </si>
  <si>
    <t>八木皮フ科クリニック</t>
  </si>
  <si>
    <t>田中医院</t>
  </si>
  <si>
    <t>鳥井医院</t>
  </si>
  <si>
    <t>杉浦医院</t>
  </si>
  <si>
    <t>四日市やまだ眼科</t>
  </si>
  <si>
    <t>諏訪メンタルクリニック</t>
  </si>
  <si>
    <t>井村整形外科</t>
  </si>
  <si>
    <t>にのみやクリニック内科外科</t>
  </si>
  <si>
    <t>四日市ヒフ科クリニック</t>
  </si>
  <si>
    <t>四日市泊駅西整形外科腰痛頭痛クリニック</t>
  </si>
  <si>
    <t>松本街道クリニック</t>
  </si>
  <si>
    <t>宇治眼科</t>
  </si>
  <si>
    <t>四日市あおば内科・消化器内科クリニック</t>
  </si>
  <si>
    <t>やなもと内科・内視鏡内科</t>
  </si>
  <si>
    <t>四日市市萱生町581</t>
  </si>
  <si>
    <t>独立行政法人　地域医療機能推進機構　四日市羽津医療センター</t>
  </si>
  <si>
    <t>市立四日市病院（医科）</t>
  </si>
  <si>
    <t>医療法人　富田浜病院</t>
  </si>
  <si>
    <t>社会医療法人居仁会　総合心療センターひなが</t>
  </si>
  <si>
    <t>医療法人社団　山中胃腸科病院</t>
  </si>
  <si>
    <t>医療法人社団主体会　主体会病院</t>
  </si>
  <si>
    <t>小山田記念温泉病院</t>
  </si>
  <si>
    <t>医療法人　石田胃腸科病院</t>
  </si>
  <si>
    <t>医療法人清風会あがたクリニック</t>
  </si>
  <si>
    <t>みえロコモリウマチクリニック</t>
  </si>
  <si>
    <t>医療法人　安仁会　水沢病院</t>
  </si>
  <si>
    <t>医療法人塚本医院</t>
  </si>
  <si>
    <t>医療法人社団三原クリニック</t>
  </si>
  <si>
    <t>医療法人向陽会中村内科循環器科クリニック</t>
  </si>
  <si>
    <t>医療法人　悟りの会　貝沼内科</t>
  </si>
  <si>
    <t>医療法人　健侑会　四日市インタークリニック</t>
  </si>
  <si>
    <t>医療法人山脇会　とと内科診療所</t>
  </si>
  <si>
    <t>医療法人社団厚仁会　小林内科胃腸科</t>
  </si>
  <si>
    <t>医療法人 前田医院</t>
  </si>
  <si>
    <t>医療法人中嶋循環器科内科</t>
  </si>
  <si>
    <t>医療法人山田内科外科</t>
  </si>
  <si>
    <t>医療法人　森医院</t>
  </si>
  <si>
    <t>医療法人　稲垣耳鼻咽喉科</t>
  </si>
  <si>
    <t>医療法人小野外科　小野外科内科</t>
  </si>
  <si>
    <t>医療法人 佐藤クリニック</t>
  </si>
  <si>
    <t>医療法人崇尚会　よしみね内科胃腸科</t>
  </si>
  <si>
    <t>医療法人みやこクリニック</t>
  </si>
  <si>
    <t>さくらクリニック</t>
  </si>
  <si>
    <t>医療法人　田中内科クリニック</t>
  </si>
  <si>
    <t>医療法人　西浦クリニック</t>
  </si>
  <si>
    <t>医療法人宗玄会ふじい内科クリニック</t>
  </si>
  <si>
    <t>医療法人　仁こどもクリニック</t>
  </si>
  <si>
    <t>医療法人　柳田内科胃腸科</t>
  </si>
  <si>
    <t>みたき総合病院</t>
  </si>
  <si>
    <t>医療法人西村内科小児科</t>
  </si>
  <si>
    <t>小野医院</t>
  </si>
  <si>
    <t>四日市市川原町34番7号</t>
  </si>
  <si>
    <t>ひだまり内科クリニック</t>
  </si>
  <si>
    <t>とみだ眼科四日市</t>
  </si>
  <si>
    <t>つだ皮膚科クリニック</t>
  </si>
  <si>
    <t>四日市市市場町字北裏3117番8</t>
  </si>
  <si>
    <t>三重呼吸器アレルギー・内科クリニック</t>
  </si>
  <si>
    <t>四日市市高角町1563番地4</t>
  </si>
  <si>
    <t>すぎもと内科クリニック</t>
  </si>
  <si>
    <t>四日市市久保田２丁目１４番地２６号</t>
  </si>
  <si>
    <t>四日市おなかのクリニック</t>
  </si>
  <si>
    <t>四日市かすみクリニック</t>
  </si>
  <si>
    <t>四日市市八田一丁目1859番地</t>
  </si>
  <si>
    <t>医療法人みき会渡辺医院</t>
  </si>
  <si>
    <t>医療法人高見台クリニック</t>
  </si>
  <si>
    <t>よこずみ整形外科</t>
  </si>
  <si>
    <t>医療法人社団　森医院</t>
  </si>
  <si>
    <t>とよだ会　鈴村耳鼻咽喉科</t>
  </si>
  <si>
    <t>医療法人　位田内科循環器科</t>
  </si>
  <si>
    <t>三滝クリニック</t>
  </si>
  <si>
    <t>医療法人　山田クリニック</t>
  </si>
  <si>
    <t>医療法人山下会　かすみがうらクリニック</t>
  </si>
  <si>
    <t>たけしま胃腸科内科</t>
  </si>
  <si>
    <t>重盛外科内科</t>
  </si>
  <si>
    <t>医療法人　ふかつ眼科</t>
  </si>
  <si>
    <t>医療法人　加藤整形外科</t>
  </si>
  <si>
    <t>笹川内科胃腸科クリニック</t>
  </si>
  <si>
    <t>医療法人　内田皮膚科</t>
  </si>
  <si>
    <t>医療法人　飯田医院</t>
  </si>
  <si>
    <t>とまり整形外科</t>
  </si>
  <si>
    <t>あこず内科循環器科クリニック</t>
  </si>
  <si>
    <t>羽津整形外科</t>
  </si>
  <si>
    <t>伊藤クリニック</t>
  </si>
  <si>
    <t>しもの診療所</t>
  </si>
  <si>
    <t>ひがし胃腸科内科クリニック</t>
  </si>
  <si>
    <t>医療法人真鈴川整形外科</t>
  </si>
  <si>
    <t>寺島クリニック</t>
  </si>
  <si>
    <t>中嶋内科</t>
  </si>
  <si>
    <t>いとう内科消化器科</t>
  </si>
  <si>
    <t>ひなが耳鼻咽喉科</t>
  </si>
  <si>
    <t>四日市セントラルクリニック</t>
  </si>
  <si>
    <t>医療法人 佐々木整形外科</t>
  </si>
  <si>
    <t>うえのクリニック</t>
  </si>
  <si>
    <t>医療法人大雅会　竹尾内科クリニック</t>
  </si>
  <si>
    <t>らんクリニック</t>
  </si>
  <si>
    <t>医療法人正和会　正和クリニック</t>
  </si>
  <si>
    <t>四日市腎クリニック</t>
  </si>
  <si>
    <t>すこやかこどもクリニック</t>
  </si>
  <si>
    <t>みえ医療福祉生協　いくわ診療所</t>
  </si>
  <si>
    <t>いしが在宅ケアクリニック</t>
  </si>
  <si>
    <t>川野眼科</t>
  </si>
  <si>
    <t>医療法人 ひなが胃腸内科・乳腺外科</t>
  </si>
  <si>
    <t>地方独立行政法人　三重県立総合医療センター</t>
  </si>
  <si>
    <t>医療法人　すが内科</t>
  </si>
  <si>
    <t>とみだ皮膚科</t>
  </si>
  <si>
    <t>すずらん診療所</t>
  </si>
  <si>
    <t>すえながばしクリニック</t>
  </si>
  <si>
    <t>四日市糖尿病クリニック</t>
  </si>
  <si>
    <t>四日市ヘルスプラス診療所</t>
  </si>
  <si>
    <t>MIE眼科四日市</t>
  </si>
  <si>
    <t>医療法人徳新会　四日市徳新会病院</t>
  </si>
  <si>
    <t>医療法人社団プログレス　四日市消化器病センター</t>
  </si>
  <si>
    <t>四日市眼科クリニック</t>
  </si>
  <si>
    <t>二宮メディカルクリニック</t>
  </si>
  <si>
    <t>ひなが西眼科</t>
  </si>
  <si>
    <t>医療法人いくわ眼科</t>
  </si>
  <si>
    <t>医療法人　いいだ整形外科</t>
  </si>
  <si>
    <t>医療法人　心響会　四日市内科ハートクリニック</t>
  </si>
  <si>
    <t>たけお耳鼻咽喉科</t>
  </si>
  <si>
    <t>いのうえ整形外科</t>
  </si>
  <si>
    <t>四日市市高角町1566</t>
  </si>
  <si>
    <t>高芝眼科クリニック</t>
  </si>
  <si>
    <t>みやび眼科</t>
  </si>
  <si>
    <t>医療法人もりした整形外科</t>
  </si>
  <si>
    <t>四日市市山之一色町2414番地1</t>
  </si>
  <si>
    <t>たるさかこどもクリニック</t>
  </si>
  <si>
    <t>医療法人　聡修会　おきがみクリニック</t>
  </si>
  <si>
    <t>三重おびら眼科</t>
  </si>
  <si>
    <t>四日市市曽井町字東門78番地</t>
  </si>
  <si>
    <t>朝日皮膚科</t>
  </si>
  <si>
    <t>湯浅整形外科</t>
  </si>
  <si>
    <t>スズカ調剤薬局白子店</t>
  </si>
  <si>
    <t>伊東眼科</t>
  </si>
  <si>
    <t>中野整形外科</t>
  </si>
  <si>
    <t>留奥内科</t>
  </si>
  <si>
    <t>森耳鼻咽喉科</t>
  </si>
  <si>
    <t>鈴鹿市飯野寺家町830</t>
  </si>
  <si>
    <t>服部医院</t>
  </si>
  <si>
    <t>松本クリニック</t>
  </si>
  <si>
    <t>滝川眼科</t>
  </si>
  <si>
    <t>森本メンタルクリニック</t>
  </si>
  <si>
    <t>黒田クリニック</t>
  </si>
  <si>
    <t>ひまわり皮フ科</t>
  </si>
  <si>
    <t>むらしま整形外科・リハビリテーション科</t>
  </si>
  <si>
    <t>岡田耳鼻咽喉科</t>
  </si>
  <si>
    <t>竹島医院</t>
  </si>
  <si>
    <t>中沢内科</t>
  </si>
  <si>
    <t>さわ内科胃腸科クリニック</t>
  </si>
  <si>
    <t>野町どい眼科</t>
  </si>
  <si>
    <t>ますずがわ神経内科クリニック</t>
  </si>
  <si>
    <t>ひらぬま内科クリニック</t>
  </si>
  <si>
    <t>ハートフルクリニック北井内科</t>
  </si>
  <si>
    <t>小西内科クリニック</t>
  </si>
  <si>
    <t>みえスマイル眼科</t>
  </si>
  <si>
    <t>しもむら内科</t>
  </si>
  <si>
    <t>ひらいファミリークリニック</t>
  </si>
  <si>
    <t>みその内科クリニック</t>
  </si>
  <si>
    <t>くまざわクリニック</t>
  </si>
  <si>
    <t>きのしたクリニック</t>
  </si>
  <si>
    <t>加藤内科</t>
  </si>
  <si>
    <t>水口内科クリニック</t>
  </si>
  <si>
    <t>しまむら外科内科</t>
  </si>
  <si>
    <t>小林眼科</t>
  </si>
  <si>
    <t>別府内科クリニック</t>
  </si>
  <si>
    <t>さの眼科クリニック</t>
  </si>
  <si>
    <t>おの内科クリニック</t>
  </si>
  <si>
    <t>鈴鹿市江島町4037</t>
  </si>
  <si>
    <t>浜口整形外科</t>
  </si>
  <si>
    <t>かわばた皮フ科</t>
  </si>
  <si>
    <t>医療法人　かわぐち脳神経クリニック</t>
  </si>
  <si>
    <t>ひだまりメンタルクリニック</t>
  </si>
  <si>
    <t>どうでんクリニック</t>
  </si>
  <si>
    <t>ふくしま整形外科クリニック</t>
  </si>
  <si>
    <t>鈴鹿市三日市町1964</t>
  </si>
  <si>
    <t>みやむら耳鼻咽喉科</t>
  </si>
  <si>
    <t>ゆめ在宅訪問クリニック</t>
  </si>
  <si>
    <t>鈴鹿市中江島町17番15号パレスピュアⅡ　102号</t>
  </si>
  <si>
    <t>サンクリニック太陽の街</t>
  </si>
  <si>
    <t>鈴鹿内科・呼吸器内科</t>
  </si>
  <si>
    <t>岩間眼科</t>
  </si>
  <si>
    <t>鈴鹿市白子駅前2番20号</t>
  </si>
  <si>
    <t>ベルケアクリニック</t>
  </si>
  <si>
    <t>山口眼科</t>
  </si>
  <si>
    <t>はるひ野総合診療クリニック</t>
  </si>
  <si>
    <t>三重県厚生農業協同組合連合会　鈴鹿中央総合病院</t>
  </si>
  <si>
    <t>医療法人博仁会　村瀬病院</t>
  </si>
  <si>
    <t>三重県厚生農業協同組合連合会　鈴鹿厚生病院</t>
  </si>
  <si>
    <t>高木病院</t>
  </si>
  <si>
    <t>鈴鹿回生病院</t>
  </si>
  <si>
    <t>鈴鹿市国府町112番地1</t>
  </si>
  <si>
    <t>塩川病院</t>
  </si>
  <si>
    <t>樋口胃腸科・内科クリニック</t>
  </si>
  <si>
    <t>医療法人　冨田内科</t>
  </si>
  <si>
    <t>医療法人　重幹会　川村外科内科</t>
  </si>
  <si>
    <t>萩原内科胃腸科</t>
  </si>
  <si>
    <t>医療法人　あかね小児科クリニック</t>
  </si>
  <si>
    <t>医療法人　市川皮膚科</t>
  </si>
  <si>
    <t>医療法人育児会　北村記念　しばた小児科医院</t>
  </si>
  <si>
    <t>医療法人　浜口耳鼻咽喉科</t>
  </si>
  <si>
    <t>医療法人　羽山クリニック</t>
  </si>
  <si>
    <t>山本胃腸科</t>
  </si>
  <si>
    <t>医療法人坂倉ペインクリニック</t>
  </si>
  <si>
    <t>医療法人小寺内科循環器科</t>
  </si>
  <si>
    <t>医療法人　楊柳会　嶋内科</t>
  </si>
  <si>
    <t>鈴鹿市柳町637</t>
  </si>
  <si>
    <t>医療法人 尾池整形外科</t>
  </si>
  <si>
    <t>旭が丘ファミリークリニック</t>
  </si>
  <si>
    <t>八木医院</t>
  </si>
  <si>
    <t>市場内科医院</t>
  </si>
  <si>
    <t>医療法人　おかべ泌尿器科・皮フ科</t>
  </si>
  <si>
    <t>鈴鹿回生病院附属クリニック</t>
  </si>
  <si>
    <t>医療法人こどもの城　すずかこどもクリニック</t>
  </si>
  <si>
    <t>白子クリニック小児科</t>
  </si>
  <si>
    <t>朝川クリニック</t>
  </si>
  <si>
    <t>家田クリニック</t>
  </si>
  <si>
    <t>浦田内科クリニック</t>
  </si>
  <si>
    <t>あなざわクリニック</t>
  </si>
  <si>
    <t>とうかい整形外科すずか</t>
  </si>
  <si>
    <t>医療法人　しまむらクリニック</t>
  </si>
  <si>
    <t>医療法人祐康会　駒田医院</t>
  </si>
  <si>
    <t>上田内科クリニック</t>
  </si>
  <si>
    <t>医療法人博仁会　村瀬病院附属クリニック</t>
  </si>
  <si>
    <t>医療法人　おざき内科クリニック</t>
  </si>
  <si>
    <t>医療法人博将会　山下内科外科</t>
  </si>
  <si>
    <t>白鳳クリニック</t>
  </si>
  <si>
    <t>坂倉ペインクリニック在宅診療所</t>
  </si>
  <si>
    <t>鈴鹿腎クリニック</t>
  </si>
  <si>
    <t>せと整形外科</t>
  </si>
  <si>
    <t>浦川内科クリニック</t>
  </si>
  <si>
    <t>沖中内科循環器科</t>
  </si>
  <si>
    <t>医療法人　鈴桜会　鈴鹿さくら病院</t>
  </si>
  <si>
    <t>医療法人　鈴鹿クリニック</t>
  </si>
  <si>
    <t>三重膠原病リウマチ痛風クリニック</t>
  </si>
  <si>
    <t>はる整形外科クリニック</t>
  </si>
  <si>
    <t>白子ウィメンズホスピタル</t>
  </si>
  <si>
    <t>医療法人　鈴鹿いとう眼科</t>
  </si>
  <si>
    <t>玉田クリニック</t>
  </si>
  <si>
    <t>医療法人CoCoLo玉田内科循環器内科</t>
  </si>
  <si>
    <t>すずかいとう皮膚科クリニック</t>
  </si>
  <si>
    <t>医療法人糖クリ　すずか糖尿病クリニック</t>
  </si>
  <si>
    <t>医療法人社団奉心会ひまわりクリニック鈴鹿</t>
  </si>
  <si>
    <t>鈴鹿医療科学大学附属桜の森病院</t>
  </si>
  <si>
    <t>ばんクリニック</t>
  </si>
  <si>
    <t>西城外科内科</t>
  </si>
  <si>
    <t>鈴鹿市長太旭町四丁目23番23号</t>
  </si>
  <si>
    <t>すずか泌尿器科・腎クリニック</t>
  </si>
  <si>
    <t>いしが在宅ケアクリニック鈴鹿</t>
  </si>
  <si>
    <t>鈴鹿市高岡町644番地2</t>
  </si>
  <si>
    <t>四日市市山城町749番地37</t>
  </si>
  <si>
    <t>医療法人　桜森会　さくらの森眼科</t>
  </si>
  <si>
    <t>鈴鹿市岸岡町3390番地</t>
  </si>
  <si>
    <t>亀山医院</t>
  </si>
  <si>
    <t>谷口内科</t>
  </si>
  <si>
    <t>川口整形外科</t>
  </si>
  <si>
    <t>後藤眼科クリニック</t>
  </si>
  <si>
    <t>高橋内科クリニック</t>
  </si>
  <si>
    <t>せきクリニック</t>
  </si>
  <si>
    <t>田中内科医院</t>
  </si>
  <si>
    <t>とら整形クリニック</t>
  </si>
  <si>
    <t>ハッピー胃腸クリニック</t>
  </si>
  <si>
    <t>豊田クリニック</t>
  </si>
  <si>
    <t>さかえ整形外科</t>
  </si>
  <si>
    <t>みえ呼吸嚥下リハビリクリニック</t>
  </si>
  <si>
    <t>三井耳鼻咽喉科</t>
  </si>
  <si>
    <t>亀山腎・泌尿器科クリニック</t>
  </si>
  <si>
    <t>みずほ台クリニック</t>
  </si>
  <si>
    <t>医療法人　彰仁会　落合小児科医院</t>
  </si>
  <si>
    <t>亀山市立医療センター</t>
  </si>
  <si>
    <t>医療法人天神眼科医院</t>
  </si>
  <si>
    <t>みえ在宅・内科クリニック</t>
  </si>
  <si>
    <t>医療法人　松葉耳鼻咽喉科</t>
  </si>
  <si>
    <t>医療法人亀山皮フ科</t>
  </si>
  <si>
    <t>こばやし内科・呼吸器内科クリニック</t>
  </si>
  <si>
    <t>亀山回生病院</t>
  </si>
  <si>
    <t>のぼのクリニック</t>
  </si>
  <si>
    <t>亀山市能褒野町79番地22</t>
  </si>
  <si>
    <t>皮ふ科　野内クリニック</t>
  </si>
  <si>
    <t>医療法人かつき内科</t>
  </si>
  <si>
    <t>田中病院</t>
  </si>
  <si>
    <t>亀山市西丸町539番地</t>
  </si>
  <si>
    <t>亀山透析クリニック</t>
  </si>
  <si>
    <t>亀山市羽若町833番地5</t>
  </si>
  <si>
    <t>三木眼科</t>
  </si>
  <si>
    <t>増井内科</t>
  </si>
  <si>
    <t>三重耳鼻咽喉科</t>
  </si>
  <si>
    <t>森心身医学クリニック</t>
  </si>
  <si>
    <t>今野眼科</t>
  </si>
  <si>
    <t>金子医院</t>
  </si>
  <si>
    <t>竹内眼科</t>
  </si>
  <si>
    <t>奥田医院</t>
  </si>
  <si>
    <t>中森内科</t>
  </si>
  <si>
    <t>渡部クリニック</t>
  </si>
  <si>
    <t>森眼科医院</t>
  </si>
  <si>
    <t>むらい耳鼻咽喉科</t>
  </si>
  <si>
    <t>小林眼科クリニック</t>
  </si>
  <si>
    <t>川口耳鼻咽喉科</t>
  </si>
  <si>
    <t>草川医院</t>
  </si>
  <si>
    <t>ベタニヤ内科・神経内科クリニック</t>
  </si>
  <si>
    <t>ふじおかクリニック</t>
  </si>
  <si>
    <t>小西ヒフ科医院</t>
  </si>
  <si>
    <t>いたみ眼科</t>
  </si>
  <si>
    <t>たかはし内科</t>
  </si>
  <si>
    <t>まつおか整形外科</t>
  </si>
  <si>
    <t>大橋クリニック</t>
  </si>
  <si>
    <t>やましろ小児科</t>
  </si>
  <si>
    <t>大北内科</t>
  </si>
  <si>
    <t>天野医院</t>
  </si>
  <si>
    <t>前沢整形外科</t>
  </si>
  <si>
    <t>西出医院</t>
  </si>
  <si>
    <t>こやま内科消化器科</t>
  </si>
  <si>
    <t>津市久居新町3006ポルタひさい2F</t>
  </si>
  <si>
    <t>北出皮フ科</t>
  </si>
  <si>
    <t>海野整形外科</t>
  </si>
  <si>
    <t>まきのクリニック</t>
  </si>
  <si>
    <t>よしだ眼科</t>
  </si>
  <si>
    <t>駒田医院</t>
  </si>
  <si>
    <t>日高クリニック</t>
  </si>
  <si>
    <t>飯田医院</t>
  </si>
  <si>
    <t>津市一志町八太992</t>
  </si>
  <si>
    <t>山本クリニック</t>
  </si>
  <si>
    <t>寺西胃腸科内科クリニック</t>
  </si>
  <si>
    <t>つおき高橋クリニック</t>
  </si>
  <si>
    <t>伊勢谷医院</t>
  </si>
  <si>
    <t>コスモスクリニック</t>
  </si>
  <si>
    <t>澤田眼科</t>
  </si>
  <si>
    <t>みえ消化器内科</t>
  </si>
  <si>
    <t>伊藤メンタルクリニック</t>
  </si>
  <si>
    <t>ゆうあいクリニック</t>
  </si>
  <si>
    <t>緑の街医院</t>
  </si>
  <si>
    <t>やまかみ内科クリニック</t>
  </si>
  <si>
    <t>一志眼科</t>
  </si>
  <si>
    <t>大西内科ハートクリニック</t>
  </si>
  <si>
    <t>ひぐち整形外科クリニック</t>
  </si>
  <si>
    <t>おくだ内科クリニック</t>
  </si>
  <si>
    <t>坂倉眼科クリニック</t>
  </si>
  <si>
    <t>たにクリニック</t>
  </si>
  <si>
    <t>豊里クリニック</t>
  </si>
  <si>
    <t>寺田医院</t>
  </si>
  <si>
    <t>植村整形外科</t>
  </si>
  <si>
    <t>やまかみクリニック</t>
  </si>
  <si>
    <t>服部眼科</t>
  </si>
  <si>
    <t>津在宅ケア診療所</t>
  </si>
  <si>
    <t>丸の内　まつなが眼科</t>
  </si>
  <si>
    <t>金森皮フ科</t>
  </si>
  <si>
    <t>みえひふ科クリニック</t>
  </si>
  <si>
    <t>坂倉内科医院</t>
  </si>
  <si>
    <t>津市幸町4番6号</t>
  </si>
  <si>
    <t>ひさい脳神経外科クリニック</t>
  </si>
  <si>
    <t>津市久居明神町2336</t>
  </si>
  <si>
    <t>きない心のクリニック</t>
  </si>
  <si>
    <t>あらき内科クリニック</t>
  </si>
  <si>
    <t>さの整形外科クリニック</t>
  </si>
  <si>
    <t>医療法人　福喜多眼科</t>
  </si>
  <si>
    <t>やまもと総合診療クリニック</t>
  </si>
  <si>
    <t>いぐち内科・消化器内科クリニック</t>
  </si>
  <si>
    <t>たけうち内科クリニック</t>
  </si>
  <si>
    <t>花の道こてら整形外科クリニック</t>
  </si>
  <si>
    <t>なかむら耳鼻咽喉科</t>
  </si>
  <si>
    <t>一志ささべクリニック</t>
  </si>
  <si>
    <t>つだメンタルクリニック</t>
  </si>
  <si>
    <t>津市広明町358大橋ビル２階</t>
  </si>
  <si>
    <t>津ごとう整形外科クリニック</t>
  </si>
  <si>
    <t>とうかい整形外科かわげ</t>
  </si>
  <si>
    <t>丸の内在宅クリニック</t>
  </si>
  <si>
    <t>なかい皮フ科クリニック</t>
  </si>
  <si>
    <t>つじい整形外科・手の外科クリニック</t>
  </si>
  <si>
    <t>みえキッズ＆ファミリーホームケアクリニック</t>
  </si>
  <si>
    <t>三重津駅前つじうら胃腸肛門内視鏡クリニック</t>
  </si>
  <si>
    <t>津市羽所町345番地　第一ビル2階</t>
  </si>
  <si>
    <t>津城山さとうクリニック</t>
  </si>
  <si>
    <t>いこか内科</t>
  </si>
  <si>
    <t>津市城山1丁目17番17号</t>
  </si>
  <si>
    <t>みやた眼科</t>
  </si>
  <si>
    <t>まつお内科クリニック</t>
  </si>
  <si>
    <t>津　痛みのクリニック</t>
  </si>
  <si>
    <t>くまがい内科・循環器クリニック</t>
  </si>
  <si>
    <t>くらた整形外科リハビリクリニック</t>
  </si>
  <si>
    <t>三重県立こころの医療センター(医科)</t>
  </si>
  <si>
    <t>特定医療法人同心会　遠山病院</t>
  </si>
  <si>
    <t>医療法人　永井病院</t>
  </si>
  <si>
    <t>特定医療法人　暲純会　武内病院</t>
  </si>
  <si>
    <t>第二岩崎病院</t>
  </si>
  <si>
    <t>みえ医療福祉生活協同組合　高茶屋診療所</t>
  </si>
  <si>
    <t>津生協病院</t>
  </si>
  <si>
    <t>医療法人吉田クリニック</t>
  </si>
  <si>
    <t>倉本内科病院</t>
  </si>
  <si>
    <t>みえ医療福祉生活協同組合　白塚診療所</t>
  </si>
  <si>
    <t>三重県立子ども心身発達医療センター</t>
  </si>
  <si>
    <t>津市大里窪田町340番5</t>
  </si>
  <si>
    <t>三重県身体障害者総合福祉センター</t>
  </si>
  <si>
    <t>岩崎病院</t>
  </si>
  <si>
    <t>医療法人社団医流会　別所ヒフ科</t>
  </si>
  <si>
    <t>医療法人双樹会　林耳鼻いんこう科クリニック</t>
  </si>
  <si>
    <t>医療法人　山本皮フ科</t>
  </si>
  <si>
    <t>加藤医院</t>
  </si>
  <si>
    <t>三井整形外科</t>
  </si>
  <si>
    <t>医療法人　川浪内科</t>
  </si>
  <si>
    <t>津生協病院附属診療所</t>
  </si>
  <si>
    <t>上津台小児科クリニック</t>
  </si>
  <si>
    <t>ヤナセクリニック</t>
  </si>
  <si>
    <t>津市乙部5番3号</t>
  </si>
  <si>
    <t>医療法人　東海眼科</t>
  </si>
  <si>
    <t>医療法人社団津北整形外科</t>
  </si>
  <si>
    <t>医療法人 うめだ皮膚科クリニック</t>
  </si>
  <si>
    <t>医療法人 高野尾クリニック</t>
  </si>
  <si>
    <t>医療法人 世古口消化器内科なぎさまち診療所</t>
  </si>
  <si>
    <t>洗心福祉会　高茶屋クリニック</t>
  </si>
  <si>
    <t>医療法人 むらしま整形外科</t>
  </si>
  <si>
    <t>社会福祉法人　高田福祉事業協会附属診療所</t>
  </si>
  <si>
    <t>医療法人　金丸産婦人科</t>
  </si>
  <si>
    <t>医療法人　いとう眼科</t>
  </si>
  <si>
    <t>二神クリニック</t>
  </si>
  <si>
    <t>医療法人久居病院</t>
  </si>
  <si>
    <t>榊原温泉病院</t>
  </si>
  <si>
    <t>藤田医科大学七栗記念病院</t>
  </si>
  <si>
    <t>医療法人社団　奥田医院</t>
  </si>
  <si>
    <t>医療法人　近藤眼科</t>
  </si>
  <si>
    <t>医療法人　井上内科病院</t>
  </si>
  <si>
    <t>津市久居井戸山町759</t>
  </si>
  <si>
    <t>医療法人　白山内科</t>
  </si>
  <si>
    <t>医療法人凰林会　榊原白鳳病院</t>
  </si>
  <si>
    <t>津田クリニック</t>
  </si>
  <si>
    <t>さや内科・糖尿病クリニック</t>
  </si>
  <si>
    <t>ねいろ心クリニック</t>
  </si>
  <si>
    <t>津市河芸町中瀬56　コーポフォーチュンC棟1階102号室</t>
  </si>
  <si>
    <t>上野内科</t>
  </si>
  <si>
    <t>みどりクリニック</t>
  </si>
  <si>
    <t>医療法人赤塚クリニック</t>
  </si>
  <si>
    <t>千里クリニック</t>
  </si>
  <si>
    <t>医療法人　安濃中央クリニック</t>
  </si>
  <si>
    <t>医療法人大樹会明合クリニック</t>
  </si>
  <si>
    <t>中本耳鼻咽喉科</t>
  </si>
  <si>
    <t>三重県立一志病院</t>
  </si>
  <si>
    <t>医療法人高岡医院</t>
  </si>
  <si>
    <t>医療法人大樹会　はくさんクリニック</t>
  </si>
  <si>
    <t>医療法人愛誠会　若葉病院</t>
  </si>
  <si>
    <t>しおりの里クリニック</t>
  </si>
  <si>
    <t>医療法人桂会　いのうえ心身クリニック</t>
  </si>
  <si>
    <t>医療法人　白塚いけだクリニック</t>
  </si>
  <si>
    <t>医療法人社団　たかはし耳鼻咽喉科</t>
  </si>
  <si>
    <t>医療法人社団　たかはし皮フ科</t>
  </si>
  <si>
    <t>飛鳥メディカルクリニック</t>
  </si>
  <si>
    <t>ゆり形成内科整形</t>
  </si>
  <si>
    <t>医療法人あいいく会　おくのクリニック</t>
  </si>
  <si>
    <t>整形外科たかしクリニック</t>
  </si>
  <si>
    <t>医療法人　坂の上クリニック</t>
  </si>
  <si>
    <t>医療法人 藤田内科</t>
  </si>
  <si>
    <t>医療法人 もみの木整形外科</t>
  </si>
  <si>
    <t>大門病院</t>
  </si>
  <si>
    <t>医療法人社団　Ｍ．Ｃ．Ｄ．おがわ脳神経外科クリニック</t>
  </si>
  <si>
    <t>新町整形外科診療所</t>
  </si>
  <si>
    <t>なかせ内科胃腸科</t>
  </si>
  <si>
    <t>医療法人　山の手内科クリニック</t>
  </si>
  <si>
    <t>稻上耳鼻咽喉科・気管食道科</t>
  </si>
  <si>
    <t>中浜胃腸科・外科</t>
  </si>
  <si>
    <t>津眼科</t>
  </si>
  <si>
    <t>ゆたクリニック</t>
  </si>
  <si>
    <t>岩尾こどもクリニック</t>
  </si>
  <si>
    <t>カサデマドレクリニック</t>
  </si>
  <si>
    <t>津市安濃町戸島569番8</t>
  </si>
  <si>
    <t>洗心福祉会美杉クリニック</t>
  </si>
  <si>
    <t>医療法人社団　孝友会　ながくら整形外科</t>
  </si>
  <si>
    <t>刀根クリニック</t>
  </si>
  <si>
    <t>あのつクリニック</t>
  </si>
  <si>
    <t>津市一身田上津部田1817</t>
  </si>
  <si>
    <t>医療法人　貴英会　英クリニック</t>
  </si>
  <si>
    <t>まつばら整形外科クリニック</t>
  </si>
  <si>
    <t>医療法人　かわいクリニック</t>
  </si>
  <si>
    <t>きのここどもクリニック</t>
  </si>
  <si>
    <t>医療法人久藤内科　津泌尿器科皮フ科診療所</t>
  </si>
  <si>
    <t>医療法人 MinaTo おおにし呼吸器・糖尿病内科　呼春の森診療所</t>
  </si>
  <si>
    <t>津みなみクリニック</t>
  </si>
  <si>
    <t>津腎クリニック</t>
  </si>
  <si>
    <t>トータルサポートクリニック津</t>
  </si>
  <si>
    <t>水谷皮フ科内科クリニック</t>
  </si>
  <si>
    <t>津市安東町396番地4</t>
  </si>
  <si>
    <t>医療法人　前川内科</t>
  </si>
  <si>
    <t>アザレアクリニック</t>
  </si>
  <si>
    <t>津西眼科クリニック</t>
  </si>
  <si>
    <t>津市野田33番地9</t>
  </si>
  <si>
    <t>松阪市垣鼻町1638番地21</t>
  </si>
  <si>
    <t>三重NKTクリニック</t>
  </si>
  <si>
    <t>津市栗真中山町202番地</t>
  </si>
  <si>
    <t>ますだクリニック</t>
  </si>
  <si>
    <t>津市河芸町東千里259番地１</t>
  </si>
  <si>
    <t>津かじわらクリニック</t>
  </si>
  <si>
    <t>津市鳥居町278番地6</t>
  </si>
  <si>
    <t>中村整形外科皮フ科</t>
  </si>
  <si>
    <t>医療法人三美会　セントローズクリニック</t>
  </si>
  <si>
    <t>津市新町一丁目5番16号</t>
  </si>
  <si>
    <t>高橋整形外科　ちさと眼科</t>
  </si>
  <si>
    <t>串整形外科</t>
  </si>
  <si>
    <t>近藤クリニック</t>
  </si>
  <si>
    <t>松阪市船江町532</t>
  </si>
  <si>
    <t>松阪厚生病院</t>
  </si>
  <si>
    <t>ふなだ外科内科クリニック</t>
  </si>
  <si>
    <t>中村内科循環器科</t>
  </si>
  <si>
    <t>おおたクリニック</t>
  </si>
  <si>
    <t>松阪市下村町993</t>
  </si>
  <si>
    <t>大谷医院</t>
  </si>
  <si>
    <t>岩崎耳鼻咽喉科医院</t>
  </si>
  <si>
    <t>岩田内科</t>
  </si>
  <si>
    <t>はせがわこどもクリニック</t>
  </si>
  <si>
    <t>増田眼科</t>
  </si>
  <si>
    <t>原田耳鼻咽喉科</t>
  </si>
  <si>
    <t>駒田医院泌尿器科・皮膚科</t>
  </si>
  <si>
    <t>横山内科クリニック</t>
  </si>
  <si>
    <t>耳鼻咽喉科ののやまクリニック</t>
  </si>
  <si>
    <t>大井循環器科内科</t>
  </si>
  <si>
    <t>松阪市湊町198番地</t>
  </si>
  <si>
    <t>いなち皮フ科</t>
  </si>
  <si>
    <t>くしもと整形外科</t>
  </si>
  <si>
    <t>森本医院</t>
  </si>
  <si>
    <t>在宅医療クリニックゆめ</t>
  </si>
  <si>
    <t>大辻整形外科</t>
  </si>
  <si>
    <t>松山神経内科</t>
  </si>
  <si>
    <t>にじがおか整形外科クリニック</t>
  </si>
  <si>
    <t>宮村医院</t>
  </si>
  <si>
    <t>西井一浩クリニック</t>
  </si>
  <si>
    <t>まんのう整形外科</t>
  </si>
  <si>
    <t>松阪宮村眼科</t>
  </si>
  <si>
    <t>中川医院</t>
  </si>
  <si>
    <t>なかむら内科クリニック</t>
  </si>
  <si>
    <t>小林医院</t>
  </si>
  <si>
    <t>よしむら医院</t>
  </si>
  <si>
    <t>垂見内科クリニック</t>
  </si>
  <si>
    <t>あらおと整形クリニック</t>
  </si>
  <si>
    <t>中西医院</t>
  </si>
  <si>
    <t>おひさま在宅クリニック</t>
  </si>
  <si>
    <t>南勢病院</t>
  </si>
  <si>
    <t>まつおか内科　循環器内科</t>
  </si>
  <si>
    <t>むとうクリニック</t>
  </si>
  <si>
    <t>薬王堂医院</t>
  </si>
  <si>
    <t>松阪市嬉野薬王寺町786</t>
  </si>
  <si>
    <t>やまなか脳神経クリニック</t>
  </si>
  <si>
    <t>松阪にしむら整形外科</t>
  </si>
  <si>
    <t>中島医院</t>
  </si>
  <si>
    <t>津松阪ホームクリニック</t>
  </si>
  <si>
    <t>松阪市嬉野中川新町2丁目71パークサイドM</t>
  </si>
  <si>
    <t>整形外科もりもとクリニック</t>
  </si>
  <si>
    <t>うれしの太田クリニック</t>
  </si>
  <si>
    <t>松阪市嬉野津屋城831</t>
  </si>
  <si>
    <t>にしかわファミリークリニック</t>
  </si>
  <si>
    <t>松阪市民病院</t>
  </si>
  <si>
    <t>社会福祉法人恩賜財団済生会松阪総合病院</t>
  </si>
  <si>
    <t>松阪市朝日町一区15番地6</t>
  </si>
  <si>
    <t>三重県厚生農業協同組合連合会　松阪中央総合病院</t>
  </si>
  <si>
    <t>松阪市川井町字小望102</t>
  </si>
  <si>
    <t>医療法人　桜木記念病院</t>
  </si>
  <si>
    <t>堀江クリニック</t>
  </si>
  <si>
    <t>医療法人社団中田会　中田整形外科</t>
  </si>
  <si>
    <t>林内科</t>
  </si>
  <si>
    <t>医療法人平岡内科循環器科</t>
  </si>
  <si>
    <t>医療法人社団大西内科</t>
  </si>
  <si>
    <t>医療法人隆新会はかまだ皮膚泌尿器科医院</t>
  </si>
  <si>
    <t>医療法人　増山医院</t>
  </si>
  <si>
    <t>松阪市魚町1693番地</t>
  </si>
  <si>
    <t>医療法人大成会　こむら胃腸内科</t>
  </si>
  <si>
    <t>松阪市船江町471番地の10</t>
  </si>
  <si>
    <t>本町内科クリニック</t>
  </si>
  <si>
    <t>医療法人矢津内科</t>
  </si>
  <si>
    <t>医療法人社団　中村クリニック</t>
  </si>
  <si>
    <t>医療法人　東山内科</t>
  </si>
  <si>
    <t>医療法人　藤井整形外科胃腸科</t>
  </si>
  <si>
    <t>医療法人　松徳会　松本クリニック</t>
  </si>
  <si>
    <t>松阪市駅部田町1619番地の45</t>
  </si>
  <si>
    <t>たるみ内科胃腸科</t>
  </si>
  <si>
    <t>医療法人　清隆会　小西皮ふ科</t>
  </si>
  <si>
    <t>医療法人　 イワサ小児科</t>
  </si>
  <si>
    <t>医療法人社団　浜田内科胃腸科</t>
  </si>
  <si>
    <t>大久保クリニック</t>
  </si>
  <si>
    <t>医療法人　とみやま外科内科医院</t>
  </si>
  <si>
    <t>医療法人エムアンドエム会　野呂医院</t>
  </si>
  <si>
    <t>花の丘病院</t>
  </si>
  <si>
    <t>松阪市山室町字西ノ谷707番地3</t>
  </si>
  <si>
    <t>医療法人　隅本整形外科</t>
  </si>
  <si>
    <t>医療法人妙光会安田小児科内科</t>
  </si>
  <si>
    <t>カイバナ眼科クリニック</t>
  </si>
  <si>
    <t>医療法人がまの穂会　清水医院</t>
  </si>
  <si>
    <t>医療法人　おかの医院</t>
  </si>
  <si>
    <t>医療法人　小坂クリニック</t>
  </si>
  <si>
    <t>医療法人昭仁会　青木医院</t>
  </si>
  <si>
    <t>波瀬診療所</t>
  </si>
  <si>
    <t>森診療所</t>
  </si>
  <si>
    <t>宮前診療所</t>
  </si>
  <si>
    <t>松阪市飯南眼科クリニック</t>
  </si>
  <si>
    <t>医療法人福和会福??眼科</t>
  </si>
  <si>
    <t>医療法人恵生会　嬉野医院</t>
  </si>
  <si>
    <t>とみだ整形外科</t>
  </si>
  <si>
    <t>医療法人　井口小児科</t>
  </si>
  <si>
    <t>医療法人みやはら耳鼻咽喉科</t>
  </si>
  <si>
    <t>医療法人石田クリニック</t>
  </si>
  <si>
    <t>宇野胃腸内科・脳神経内科</t>
  </si>
  <si>
    <t>わきたに眼科</t>
  </si>
  <si>
    <t>まえのへた脳神経クリニック</t>
  </si>
  <si>
    <t>医療法人 みやむらクリニック</t>
  </si>
  <si>
    <t>医療法人まとかた　まとかた大西クリニック</t>
  </si>
  <si>
    <t>医療法人西井医院</t>
  </si>
  <si>
    <t>医療法人KMC　かいばな内科クリニック</t>
  </si>
  <si>
    <t>いおうじ応急クリニック</t>
  </si>
  <si>
    <t>松阪市立野町200</t>
  </si>
  <si>
    <t>山中胃腸科クリニック</t>
  </si>
  <si>
    <t>医療法人KMC　虹が丘クリニック</t>
  </si>
  <si>
    <t>北大路眼科</t>
  </si>
  <si>
    <t>医療法人　井上内科病院　さくらクリニック松阪</t>
  </si>
  <si>
    <t>野々山耳鼻咽喉科</t>
  </si>
  <si>
    <t>なかせ在宅診療所</t>
  </si>
  <si>
    <t>松阪市大黒田町字西出1238番地3</t>
  </si>
  <si>
    <t>畠中医院</t>
  </si>
  <si>
    <t>ふじわらクリニック</t>
  </si>
  <si>
    <t>伊勢市常磐1丁目15番10号</t>
  </si>
  <si>
    <t>森眼科</t>
  </si>
  <si>
    <t>岩田医院</t>
  </si>
  <si>
    <t>山添整形外科</t>
  </si>
  <si>
    <t>亀谷内科胃腸科</t>
  </si>
  <si>
    <t>橋上内科皮フ泌尿器科医院</t>
  </si>
  <si>
    <t>たけうち眼科医院</t>
  </si>
  <si>
    <t>西山医院</t>
  </si>
  <si>
    <t>寺田外科医院</t>
  </si>
  <si>
    <t>林耳鼻咽喉科クリニック</t>
  </si>
  <si>
    <t>藤井整形外科クリニック</t>
  </si>
  <si>
    <t>池田耳鼻咽喉科</t>
  </si>
  <si>
    <t>いせはまごう　くらた内科</t>
  </si>
  <si>
    <t>越智医院</t>
  </si>
  <si>
    <t>小野循環器科・内科</t>
  </si>
  <si>
    <t>東山胃腸科内科</t>
  </si>
  <si>
    <t>伊勢市小俣町元町1159</t>
  </si>
  <si>
    <t>すぎもと眼科</t>
  </si>
  <si>
    <t>でぐち内科クリニック</t>
  </si>
  <si>
    <t>はまぐち内科クリニック</t>
  </si>
  <si>
    <t>西山クリニック</t>
  </si>
  <si>
    <t>中條眼科</t>
  </si>
  <si>
    <t>かとうクリニック</t>
  </si>
  <si>
    <t>いど胃腸科クリニック</t>
  </si>
  <si>
    <t>畑肛門医院</t>
  </si>
  <si>
    <t>江﨑眼科クリニック</t>
  </si>
  <si>
    <t>金子眼科</t>
  </si>
  <si>
    <t>ながや内科クリニック</t>
  </si>
  <si>
    <t>うめだクリニック</t>
  </si>
  <si>
    <t>清水内科</t>
  </si>
  <si>
    <t>伊勢かめや眼科</t>
  </si>
  <si>
    <t>伊勢リウマチハンドクリニック</t>
  </si>
  <si>
    <t>和気ペインクリニック</t>
  </si>
  <si>
    <t>山本医院</t>
  </si>
  <si>
    <t>伊勢市神久六丁目8番48号</t>
  </si>
  <si>
    <t>やまむら内科内視鏡クリニック</t>
  </si>
  <si>
    <t>よこやま皮ふ科クリニック</t>
  </si>
  <si>
    <t>なかにし整形外科</t>
  </si>
  <si>
    <t>たいしん堂医院</t>
  </si>
  <si>
    <t>宅間内科</t>
  </si>
  <si>
    <t>MG糖尿病・内分泌・甲状腺クリニック</t>
  </si>
  <si>
    <t>外宮の杜クリニック</t>
  </si>
  <si>
    <t>伊勢市岡本3丁目14番17号</t>
  </si>
  <si>
    <t>なかむらクリニック</t>
  </si>
  <si>
    <t>伊勢市一之木4丁目1番41号</t>
  </si>
  <si>
    <t>ほりぐち内科ハートクリニック</t>
  </si>
  <si>
    <t>伊勢市小俣町元町496</t>
  </si>
  <si>
    <t>あけの脳神経内科クリニック</t>
  </si>
  <si>
    <t>伊勢市小俣町明野1102番地6</t>
  </si>
  <si>
    <t>おおやまだクリニック</t>
  </si>
  <si>
    <t>市立伊勢総合病院</t>
  </si>
  <si>
    <t>医療法人社団　整形外科網谷医院</t>
  </si>
  <si>
    <t>石橋外科内科</t>
  </si>
  <si>
    <t>髙見内科</t>
  </si>
  <si>
    <t>伊勢市岡本1丁目4番25号</t>
  </si>
  <si>
    <t>由井医院</t>
  </si>
  <si>
    <t>河崎クリニック</t>
  </si>
  <si>
    <t>医療法人　角前胃腸科医院</t>
  </si>
  <si>
    <t>医療法人 菊川産婦人科</t>
  </si>
  <si>
    <t>医療法人社団久保内科診療所</t>
  </si>
  <si>
    <t>医療法人　蘭会　堀胃腸科医院</t>
  </si>
  <si>
    <t>医療法人田中病院　伊勢田中病院</t>
  </si>
  <si>
    <t>医療法人　海野内科</t>
  </si>
  <si>
    <t>医療法人森本内科・循環器科</t>
  </si>
  <si>
    <t>德田ファミリークリニック</t>
  </si>
  <si>
    <t>医療法人堤内科クリニック</t>
  </si>
  <si>
    <t>医療法人　東谷医院</t>
  </si>
  <si>
    <t>医療法人　松葉内科</t>
  </si>
  <si>
    <t>医療法人和泉会　小林胃腸科内科</t>
  </si>
  <si>
    <t>医療法人　河口外科</t>
  </si>
  <si>
    <t>医療法人あんず会　松本医院</t>
  </si>
  <si>
    <t>まつもとクリニック</t>
  </si>
  <si>
    <t>医療法人　全心会　伊勢ひかり病院</t>
  </si>
  <si>
    <t>医療法人　西井耳鼻咽喉科</t>
  </si>
  <si>
    <t>伊勢赤十字病院</t>
  </si>
  <si>
    <t>伊勢市船江一丁目471番2</t>
  </si>
  <si>
    <t>医療法人社団　やのはらクリニック</t>
  </si>
  <si>
    <t>医療法人ハートクリニック福井</t>
  </si>
  <si>
    <t>医療法人つばさ　ふじさとこどもクリニック</t>
  </si>
  <si>
    <t>医療法人　かとう耳鼻咽喉科</t>
  </si>
  <si>
    <t>伊勢市小木町183番地1</t>
  </si>
  <si>
    <t>医療法人荒木内科循環器科</t>
  </si>
  <si>
    <t>医療法人社団愛敬会　山崎外科内科</t>
  </si>
  <si>
    <t>医療法人社団　山本医院</t>
  </si>
  <si>
    <t>医療法人　寺村内科クリニック</t>
  </si>
  <si>
    <t>おざき内科クリニック</t>
  </si>
  <si>
    <t>いせ在宅医療クリニック</t>
  </si>
  <si>
    <t>山本内科クリニック</t>
  </si>
  <si>
    <t>伊勢志摩クリニック</t>
  </si>
  <si>
    <t>寺田クリニック</t>
  </si>
  <si>
    <t>医療法人　いせ山川クリニック</t>
  </si>
  <si>
    <t>木村クリニック</t>
  </si>
  <si>
    <t>ときわまちかどクリニック</t>
  </si>
  <si>
    <t>医療法人ＭＳＣ　さいとう内科呼吸器科　三重スリープクリニック</t>
  </si>
  <si>
    <t>まつだこどもクリニック</t>
  </si>
  <si>
    <t>医療法人　いせ眼科クリニック</t>
  </si>
  <si>
    <t>森田整形外科</t>
  </si>
  <si>
    <t>医療法人全心会　ひかりの橋クリニック</t>
  </si>
  <si>
    <t>かんだ小児科</t>
  </si>
  <si>
    <t>伊勢市宮後3丁目2番10号</t>
  </si>
  <si>
    <t>しんたに整形外科クリニック</t>
  </si>
  <si>
    <t>伊勢市一之木4丁目5番1号</t>
  </si>
  <si>
    <t>鳥羽市立神島診療所</t>
  </si>
  <si>
    <t>鳥羽市立桃取診療所</t>
  </si>
  <si>
    <t>公益社団法人地域医療振興協会　鳥羽市立長岡診療所</t>
  </si>
  <si>
    <t>鳥羽市立鏡浦診療所</t>
  </si>
  <si>
    <t>鳥羽市立鏡浦診療所　石鏡分室</t>
  </si>
  <si>
    <t>鳥羽市立菅島診療所</t>
  </si>
  <si>
    <t>鳥羽市立坂手診療所</t>
  </si>
  <si>
    <t>医療法人社団　中世古眼科</t>
  </si>
  <si>
    <t>医療法人　童心会　はね小児科医院</t>
  </si>
  <si>
    <t>医療法人菊栄会　中村クリニック</t>
  </si>
  <si>
    <t>医療法人清潮会　赤坂クリニック</t>
  </si>
  <si>
    <t>鳥羽市立鏡浦診療所　今浦分室</t>
  </si>
  <si>
    <t>医療法人夕凪会 小林内科クリニック</t>
  </si>
  <si>
    <t>長谷川内科</t>
  </si>
  <si>
    <t>きば内科クリニック</t>
  </si>
  <si>
    <t>長野内科小児科</t>
  </si>
  <si>
    <t>澤田医院</t>
  </si>
  <si>
    <t>九鬼脳神経クリニック</t>
  </si>
  <si>
    <t>青木クリニック</t>
  </si>
  <si>
    <t>西井外科胃腸科</t>
  </si>
  <si>
    <t>さわだ内科外科クリニック</t>
  </si>
  <si>
    <t>尾鷲総合病院</t>
  </si>
  <si>
    <t>医療法人　西村整形外科</t>
  </si>
  <si>
    <t>玉置眼科</t>
  </si>
  <si>
    <t>特養あさひ診療所</t>
  </si>
  <si>
    <t>和田眼科クリニック</t>
  </si>
  <si>
    <t>医療法人はしづめクリニック</t>
  </si>
  <si>
    <t>島﨑整形外科</t>
  </si>
  <si>
    <t>尾辻内科クリニック</t>
  </si>
  <si>
    <t>大石医院</t>
  </si>
  <si>
    <t>大石産婦人科医院</t>
  </si>
  <si>
    <t>あい眼科リハビリクリニック</t>
  </si>
  <si>
    <t>和田医院</t>
  </si>
  <si>
    <t>協立内科外科医院</t>
  </si>
  <si>
    <t>原田医院</t>
  </si>
  <si>
    <t>熊野市木本町123</t>
  </si>
  <si>
    <t>島崎整形外科医院</t>
  </si>
  <si>
    <t>熊野市立育生へき地出張診療所</t>
  </si>
  <si>
    <t>熊野市立神川へき地出張診療所</t>
  </si>
  <si>
    <t>熊野市立荒坂診療所</t>
  </si>
  <si>
    <t>熊野市立五郷診療所</t>
  </si>
  <si>
    <t>医療法人社団　小山医院</t>
  </si>
  <si>
    <t>医療法人　井本医院</t>
  </si>
  <si>
    <t>医療法人優医会 あすか診療所</t>
  </si>
  <si>
    <t>熊野市立紀和診療所</t>
  </si>
  <si>
    <t>ひらい小児科クリニック</t>
  </si>
  <si>
    <t>しみずハートクリニック</t>
  </si>
  <si>
    <t>滝井医院</t>
  </si>
  <si>
    <t>城医院</t>
  </si>
  <si>
    <t>青木整形外科</t>
  </si>
  <si>
    <t>ひねの整形外科</t>
  </si>
  <si>
    <t>あずまクリニック</t>
  </si>
  <si>
    <t>嶋地医院</t>
  </si>
  <si>
    <t>あきやま腎泌尿器科</t>
  </si>
  <si>
    <t>竹沢医院</t>
  </si>
  <si>
    <t>伊賀市島ケ原5879</t>
  </si>
  <si>
    <t>佐々木内科</t>
  </si>
  <si>
    <t>森田クリニック</t>
  </si>
  <si>
    <t>ぬのめ眼科</t>
  </si>
  <si>
    <t>社会医療法人畿内会　岡波総合病院</t>
  </si>
  <si>
    <t>伊賀市上之庄2711番地1</t>
  </si>
  <si>
    <t>医療法人森川病院</t>
  </si>
  <si>
    <t>伊賀市立上野総合市民病院</t>
  </si>
  <si>
    <t>伊賀市四十九町831番地</t>
  </si>
  <si>
    <t>医療法人　浅野整形外科内科</t>
  </si>
  <si>
    <t>医療法人　友和会　たけざわクリニック</t>
  </si>
  <si>
    <t>伊賀市小田町749番地の1</t>
  </si>
  <si>
    <t>医療法人　竹代クリニック</t>
  </si>
  <si>
    <t>しもむら整形外科</t>
  </si>
  <si>
    <t>医療法人　清水眼科</t>
  </si>
  <si>
    <t>医療法人アクアクリニック伊賀</t>
  </si>
  <si>
    <t>坂元皮フ科</t>
  </si>
  <si>
    <t>にしうら眼科</t>
  </si>
  <si>
    <t>医療法人　紀平医院</t>
  </si>
  <si>
    <t>まちしクリニック</t>
  </si>
  <si>
    <t>医療法人阿山共生会　河合診療所</t>
  </si>
  <si>
    <t>伊賀市馬場1128番地</t>
  </si>
  <si>
    <t>医療法人　川原田内科</t>
  </si>
  <si>
    <t>伊賀市国民健康保険阿波診療所</t>
  </si>
  <si>
    <t>医療法人佐那具医院</t>
  </si>
  <si>
    <t>医療法人　吉村クリニック</t>
  </si>
  <si>
    <t>梨ノ木診療所</t>
  </si>
  <si>
    <t>医療法人優進会　いまむら整形外科</t>
  </si>
  <si>
    <t>たにぐち皮フ科</t>
  </si>
  <si>
    <t>松本胃腸内科</t>
  </si>
  <si>
    <t>医療法人　はくほうクリニック</t>
  </si>
  <si>
    <t>伊賀市平野西町66</t>
  </si>
  <si>
    <t>医療法人泉澄会　亀田クリニック</t>
  </si>
  <si>
    <t>医療法人　敬人会　金丸脳脊椎外科クリニック</t>
  </si>
  <si>
    <t>おおのクリニック</t>
  </si>
  <si>
    <t>伊賀市服部町二丁目97番地</t>
  </si>
  <si>
    <t>伊賀おおえ耳鼻咽喉科</t>
  </si>
  <si>
    <t>伊賀市上野農人町533番地</t>
  </si>
  <si>
    <t>名張市希央台四番町2番地</t>
  </si>
  <si>
    <t>矢倉医院</t>
  </si>
  <si>
    <t>わたなべ整形外科医院</t>
  </si>
  <si>
    <t>百合が丘クリニック</t>
  </si>
  <si>
    <t>岡田皮膚科</t>
  </si>
  <si>
    <t>こもりクリニック</t>
  </si>
  <si>
    <t>名張よこやま眼科</t>
  </si>
  <si>
    <t>田合医院</t>
  </si>
  <si>
    <t>信岡医院</t>
  </si>
  <si>
    <t>桔梗往診クリニック２４</t>
  </si>
  <si>
    <t>たなかファミリークリニック</t>
  </si>
  <si>
    <t>名張市つつじが丘北5番町30</t>
  </si>
  <si>
    <t>医療法人上久保整形外科クリニック</t>
  </si>
  <si>
    <t>医療法人　寺田病院</t>
  </si>
  <si>
    <t>医療法人　東整形外科</t>
  </si>
  <si>
    <t>医療法人　福慈会　夢眠クリニック名張</t>
  </si>
  <si>
    <t>医療法人釜本医院</t>
  </si>
  <si>
    <t>堀井内科</t>
  </si>
  <si>
    <t>医療法人康成会　ほりいクリニック</t>
  </si>
  <si>
    <t>森岡内科クリニック</t>
  </si>
  <si>
    <t>久保耳鼻咽喉科クリニック</t>
  </si>
  <si>
    <t>医療法人　喜多医院</t>
  </si>
  <si>
    <t>医療法人　桔梗皮フ・内科</t>
  </si>
  <si>
    <t>はしもと総合診療クリニック</t>
  </si>
  <si>
    <t>やすだクリニック</t>
  </si>
  <si>
    <t>医療法人　福喜多眼科医院</t>
  </si>
  <si>
    <t>医療法人　上坂内科</t>
  </si>
  <si>
    <t>浜口眼科</t>
  </si>
  <si>
    <t>医療法人　武田産婦人科</t>
  </si>
  <si>
    <t>湯村内科</t>
  </si>
  <si>
    <t>医療法人藤本産婦人科</t>
  </si>
  <si>
    <t>医療法人すぎのクリニック</t>
  </si>
  <si>
    <t>名張市鴻之台2番町113の2</t>
  </si>
  <si>
    <t>おおふち医院</t>
  </si>
  <si>
    <t>やまがみ眼科</t>
  </si>
  <si>
    <t>医療法人　木野整形外科</t>
  </si>
  <si>
    <t>医療法人康成会　ほりいクリニック希央台</t>
  </si>
  <si>
    <t>名張市希央台5番町35番地</t>
  </si>
  <si>
    <t>医療法人グリーンスウォードかも内科消化器科</t>
  </si>
  <si>
    <t>医療法人 秋山整形外科クリニック</t>
  </si>
  <si>
    <t>うえなみ内科クリニック</t>
  </si>
  <si>
    <t>ちひろ内科クリニック</t>
  </si>
  <si>
    <t>医療法人 さかい循環器内科クリニック</t>
  </si>
  <si>
    <t>医療法人聖弘会　松永整形外科クリニック</t>
  </si>
  <si>
    <t>医療法人　啓晃会　福喜多耳鼻咽喉科</t>
  </si>
  <si>
    <t>総合医療クリニック桔梗</t>
  </si>
  <si>
    <t>名張市桔梗が丘5番町9街区1812番地1</t>
  </si>
  <si>
    <t>川﨑医院</t>
  </si>
  <si>
    <t>小笠原内科</t>
  </si>
  <si>
    <t>いなべ眼科</t>
  </si>
  <si>
    <t>おおた医院</t>
  </si>
  <si>
    <t>水野眼科</t>
  </si>
  <si>
    <t>斉藤医院</t>
  </si>
  <si>
    <t>大安クリニック</t>
  </si>
  <si>
    <t>いなべ市大安町梅戸732の2</t>
  </si>
  <si>
    <t>三重県厚生農業協同組合連合会　三重北医療センター　いなべ総合病院</t>
  </si>
  <si>
    <t>いなべ市北勢町阿下喜771</t>
  </si>
  <si>
    <t>日下病院</t>
  </si>
  <si>
    <t>医療法人　杉山医院</t>
  </si>
  <si>
    <t>医療法人桑春会　桑原医院</t>
  </si>
  <si>
    <t>医療法人わたなべ整形外科</t>
  </si>
  <si>
    <t>医療法人　萩原クリニック</t>
  </si>
  <si>
    <t>どんぐり診療所</t>
  </si>
  <si>
    <t>いなべ市大安町石榑下305</t>
  </si>
  <si>
    <t>伊藤医院</t>
  </si>
  <si>
    <t>もりえい病院附属伊勢湾岸クリニック</t>
  </si>
  <si>
    <t>やまだ胃腸科内科</t>
  </si>
  <si>
    <t>いなべ整形外科クリニック</t>
  </si>
  <si>
    <t>とういん眼科クリニック</t>
  </si>
  <si>
    <t>きひら内科消化器科</t>
  </si>
  <si>
    <t>いなべ糖尿病・内分泌内科</t>
  </si>
  <si>
    <t>おくち整形外科クリニック</t>
  </si>
  <si>
    <t>医療法人康誠会　東員病院</t>
  </si>
  <si>
    <t>大仲さつき病院</t>
  </si>
  <si>
    <t>医療法人 のじり内科消化器内科</t>
  </si>
  <si>
    <t>医療法人　杉山整形外科</t>
  </si>
  <si>
    <t>北部陽光苑診療所</t>
  </si>
  <si>
    <t>員弁郡東員町山田3600番1</t>
  </si>
  <si>
    <t>ちば皮フ科耳鼻咽喉科</t>
  </si>
  <si>
    <t>員弁郡東員町大字鳥取1296番地1</t>
  </si>
  <si>
    <t>とういん内科・ハートクリニック</t>
  </si>
  <si>
    <t>員弁郡東員町長深885番地1</t>
  </si>
  <si>
    <t>藤牧循環器内科</t>
  </si>
  <si>
    <t>三重郡菰野町菰野2304</t>
  </si>
  <si>
    <t>リハビリ整形外科Ｉクリニック</t>
  </si>
  <si>
    <t>吉田内科クリニック</t>
  </si>
  <si>
    <t>しばた内科循環器科</t>
  </si>
  <si>
    <t>寺本医院</t>
  </si>
  <si>
    <t>ほくせい整形外科クリニック</t>
  </si>
  <si>
    <t>にしはら整形外科スポーツクリニック</t>
  </si>
  <si>
    <t>かわごえこどもクリニック</t>
  </si>
  <si>
    <t>こもの風の丘内科クリニック</t>
  </si>
  <si>
    <t>菰野さくらい眼科</t>
  </si>
  <si>
    <t>やましたこどもクリニック</t>
  </si>
  <si>
    <t>三重郡朝日町縄生651番地</t>
  </si>
  <si>
    <t>川越町国民健康保険川越診療所</t>
  </si>
  <si>
    <t>三重県厚生農業協同組合連合会　三重北医療センター　菰野厚生病院</t>
  </si>
  <si>
    <t>三重郡菰野町大字福村75番地</t>
  </si>
  <si>
    <t>菰野聖十字の家診療所</t>
  </si>
  <si>
    <t>医療法人社団　諸岡医院</t>
  </si>
  <si>
    <t>医療法人社団　川越伊藤医院</t>
  </si>
  <si>
    <t>医療法人　田中外科</t>
  </si>
  <si>
    <t>医療法人　あそクリニック</t>
  </si>
  <si>
    <t>医療法人　内田クリニック</t>
  </si>
  <si>
    <t>うえの整形外科</t>
  </si>
  <si>
    <t>三重郡菰野町神森882</t>
  </si>
  <si>
    <t>北勢ケアクリニック</t>
  </si>
  <si>
    <t>三重郡菰野町大字千草6460番地27</t>
  </si>
  <si>
    <t>えいご皮フ科四日市院</t>
  </si>
  <si>
    <t>川越あさひ眼科</t>
  </si>
  <si>
    <t>三重郡川越町豊田一色351番の1</t>
  </si>
  <si>
    <t>ひとみウィメンズクリニック</t>
  </si>
  <si>
    <t>三重郡菰野町大羽根園並木通り10番地1</t>
  </si>
  <si>
    <t>医療法人　SUNRISEあさひクリニック</t>
  </si>
  <si>
    <t>三重郡朝日町向陽台2丁目16番地2</t>
  </si>
  <si>
    <t>東医院</t>
  </si>
  <si>
    <t>櫛谷内科クリニック</t>
  </si>
  <si>
    <t>山田整形外科・明星診療所</t>
  </si>
  <si>
    <t>梅田クリニック</t>
  </si>
  <si>
    <t>みうら眼科</t>
  </si>
  <si>
    <t>森岡皮膚科クリニック</t>
  </si>
  <si>
    <t>中井整形外科</t>
  </si>
  <si>
    <t>スマイルクリニック</t>
  </si>
  <si>
    <t>三重県厚生農業協同組合連合会　大台厚生病院</t>
  </si>
  <si>
    <t>医療法人社団俊成会　明和ファミリークリニック</t>
  </si>
  <si>
    <t>医療法人大徹会　北島医院</t>
  </si>
  <si>
    <t>医療法人雅会　津田医院</t>
  </si>
  <si>
    <t>医療法人こやまクリニック</t>
  </si>
  <si>
    <t>高橋内科</t>
  </si>
  <si>
    <t>社会福祉法人恩賜財団済生会支部三重県済生会明和病院</t>
  </si>
  <si>
    <t>多気郡明和町大字上野435</t>
  </si>
  <si>
    <t>医療法人樹玲会　上瀬クリニック</t>
  </si>
  <si>
    <t>もりた内科医院</t>
  </si>
  <si>
    <t>すいもん眼科</t>
  </si>
  <si>
    <t>医療法人　積木整形外科</t>
  </si>
  <si>
    <t>三重ハートセンター</t>
  </si>
  <si>
    <t>大台町報徳診療所</t>
  </si>
  <si>
    <t>小島医院</t>
  </si>
  <si>
    <t>越智ファミリークリニック</t>
  </si>
  <si>
    <t>大野医院</t>
  </si>
  <si>
    <t>関岡クリニック</t>
  </si>
  <si>
    <t>神戸クリニック</t>
  </si>
  <si>
    <t>小関ひろしクリニック</t>
  </si>
  <si>
    <t>たまき玉川クリニック</t>
  </si>
  <si>
    <t>延久のみちクリニック</t>
  </si>
  <si>
    <t>瀧原診療所</t>
  </si>
  <si>
    <t>玉城町国民健康保険玉城病院</t>
  </si>
  <si>
    <t>町立南伊勢病院</t>
  </si>
  <si>
    <t>古和浦へき地診療所</t>
  </si>
  <si>
    <t>宿田曽診療所</t>
  </si>
  <si>
    <t>医療法人　白奉会　中嶋医院</t>
  </si>
  <si>
    <t>医療法人社団　久瀬医院</t>
  </si>
  <si>
    <t>医療法人ふじ　篠塚小児科</t>
  </si>
  <si>
    <t>あゆみ診療所</t>
  </si>
  <si>
    <t>南島メディカルセンター</t>
  </si>
  <si>
    <t>度会郡南伊勢町慥柄浦1番地1</t>
  </si>
  <si>
    <t>医療法人 なかむら耳鼻咽喉科</t>
  </si>
  <si>
    <t>南伊勢透析クリニック</t>
  </si>
  <si>
    <t>服部内科</t>
  </si>
  <si>
    <t>中條眼科志摩分院</t>
  </si>
  <si>
    <t>和気医院</t>
  </si>
  <si>
    <t>おかむね医院</t>
  </si>
  <si>
    <t>たのうえ眼科</t>
  </si>
  <si>
    <t>林クリニック</t>
  </si>
  <si>
    <t>あがわ医院</t>
  </si>
  <si>
    <t>別當クリニック</t>
  </si>
  <si>
    <t>谷岡医院</t>
  </si>
  <si>
    <t>宮村眼科</t>
  </si>
  <si>
    <t>鵜飼耳鼻咽喉科・アレルギー科</t>
  </si>
  <si>
    <t>うえむら整形外科</t>
  </si>
  <si>
    <t>おかむらクリニック</t>
  </si>
  <si>
    <t>池田ファミリークリニック</t>
  </si>
  <si>
    <t>鍋島医院</t>
  </si>
  <si>
    <t>いしがみ整形外科</t>
  </si>
  <si>
    <t>谷奥医院</t>
  </si>
  <si>
    <t>在宅・総合診療スマイルクリニック</t>
  </si>
  <si>
    <t>三重県立志摩病院</t>
  </si>
  <si>
    <t>国民健康保険志摩市民病院</t>
  </si>
  <si>
    <t>志摩市立国民健康保険浜島診療所</t>
  </si>
  <si>
    <t>医療法人（社団）医心会齋木内科</t>
  </si>
  <si>
    <t>近藤医院</t>
  </si>
  <si>
    <t>志摩市阿児町鵜方4029番地</t>
  </si>
  <si>
    <t>医療社団法人　中瀬外科整形外科</t>
  </si>
  <si>
    <t>医療法人　日比クリニック</t>
  </si>
  <si>
    <t>医療法人社団虎の門会　西岡記念セントラルクリニック</t>
  </si>
  <si>
    <t>松井医院</t>
  </si>
  <si>
    <t>井上医院</t>
  </si>
  <si>
    <t>医療法人　童心会　志摩こどもの城クリニック</t>
  </si>
  <si>
    <t>豊和病院</t>
  </si>
  <si>
    <t>医療法人順裕会　いずみ耳鼻咽喉科・アレルギー科</t>
  </si>
  <si>
    <t>志摩市立前島診療所</t>
  </si>
  <si>
    <t>わき内科クリニック</t>
  </si>
  <si>
    <t>しま相和透析クリニック</t>
  </si>
  <si>
    <t>尾辻医院</t>
  </si>
  <si>
    <t>垣内胃腸科内科医院</t>
  </si>
  <si>
    <t>社会医療法人　峰和会　長島回生病院</t>
  </si>
  <si>
    <t>医療法人　野口内科胃腸科医院</t>
  </si>
  <si>
    <t>第一病院</t>
  </si>
  <si>
    <t>上里診療所</t>
  </si>
  <si>
    <t>木ノ内医院</t>
  </si>
  <si>
    <t>三浦診療所</t>
  </si>
  <si>
    <t>医療法人 三慶会 かとう小児科</t>
  </si>
  <si>
    <t>医療法人海山会　世古口クリニック</t>
  </si>
  <si>
    <t>紀伊長島クリニック</t>
  </si>
  <si>
    <t>谷口クリニック</t>
  </si>
  <si>
    <t>寺本クリニック</t>
  </si>
  <si>
    <t>まつうらクリニック</t>
  </si>
  <si>
    <t>西久保内科クリニック</t>
  </si>
  <si>
    <t>くまのなる在宅診療所</t>
  </si>
  <si>
    <t>紀南病院</t>
  </si>
  <si>
    <t>南牟婁郡御浜町大字阿田和4750</t>
  </si>
  <si>
    <t>尾呂志診療所</t>
  </si>
  <si>
    <t>紀宝町立　相野谷診療所</t>
  </si>
  <si>
    <t>医療法人とみむろクリニック</t>
  </si>
  <si>
    <t>紀南病院附属あたわ在宅診療所</t>
  </si>
  <si>
    <t>南牟婁郡御浜町大字阿田和177</t>
  </si>
  <si>
    <t>国立大学法人三重大学医学部附属病院</t>
  </si>
  <si>
    <t>津市江戸橋2丁目174番地</t>
  </si>
  <si>
    <t>独立行政法人国立病院機構　三重中央医療センター</t>
  </si>
  <si>
    <t>津市久居明神町2158番地5</t>
  </si>
  <si>
    <t>独立行政法人　国立病院機構　鈴鹿病院</t>
  </si>
  <si>
    <t>独立行政法人国立病院機構三重病院</t>
  </si>
  <si>
    <t>津市大里窪田町357番地</t>
  </si>
  <si>
    <t>独立行政法人国立病院機構　榊原病院</t>
  </si>
  <si>
    <t>津市榊原町777番地</t>
  </si>
  <si>
    <t>石垣歯科医院</t>
  </si>
  <si>
    <t>セントラル歯科</t>
  </si>
  <si>
    <t>きたか歯科</t>
  </si>
  <si>
    <t>桑名市福島新町16番</t>
  </si>
  <si>
    <t>立松歯科医院</t>
  </si>
  <si>
    <t>みやた歯科クリニック</t>
  </si>
  <si>
    <t>医療法人ヒルカワ歯科</t>
  </si>
  <si>
    <t>ういち歯科</t>
  </si>
  <si>
    <t>医療法人　良美会　桑名歯科</t>
  </si>
  <si>
    <t>東歯科医院</t>
  </si>
  <si>
    <t>うさぎ歯科</t>
  </si>
  <si>
    <t>かたやま歯科</t>
  </si>
  <si>
    <t>ハーモニィ歯科</t>
  </si>
  <si>
    <t>もと歯科クリニック</t>
  </si>
  <si>
    <t>きむら歯科口腔医院</t>
  </si>
  <si>
    <t>飯田歯科</t>
  </si>
  <si>
    <t>四日市市富田浜元町１番１８号</t>
  </si>
  <si>
    <t>さちデンタルクリニック</t>
  </si>
  <si>
    <t>市立四日市病院（歯科）</t>
  </si>
  <si>
    <t>医療法人　四日市矯正歯科　きり矯正歯科クリニック</t>
  </si>
  <si>
    <t>医療法人隆志会　西城歯科</t>
  </si>
  <si>
    <t>野﨑歯科医院</t>
  </si>
  <si>
    <t>医療法人　岩﨑歯科</t>
  </si>
  <si>
    <t>歯科診療所ひまわり</t>
  </si>
  <si>
    <t>ＲｅＢｏｎ　Ｄｅｎｔａｌ　Ｃｌｉｎｉｃ</t>
  </si>
  <si>
    <t>みたき総合病院（歯科）</t>
  </si>
  <si>
    <t>医療法人　さらの木歯科</t>
  </si>
  <si>
    <t>ふかつ歯科</t>
  </si>
  <si>
    <t>すずか矯正歯科クリニック</t>
  </si>
  <si>
    <t>もみじ歯科</t>
  </si>
  <si>
    <t>坪井歯科医院</t>
  </si>
  <si>
    <t>樋口歯科医院</t>
  </si>
  <si>
    <t>紀平歯科</t>
  </si>
  <si>
    <t>はやし歯科医院</t>
  </si>
  <si>
    <t>山﨑矯正歯科</t>
  </si>
  <si>
    <t>川森歯科クリニック</t>
  </si>
  <si>
    <t>でぐち歯科</t>
  </si>
  <si>
    <t>花井歯科クリニック</t>
  </si>
  <si>
    <t>まんよし歯科</t>
  </si>
  <si>
    <t>ふくもり歯科</t>
  </si>
  <si>
    <t>佐南歯科医院</t>
  </si>
  <si>
    <t>のだ歯科クリニック</t>
  </si>
  <si>
    <t>亀井歯科</t>
  </si>
  <si>
    <t>天の川歯科</t>
  </si>
  <si>
    <t>三重県立こころの医療センター（歯科）</t>
  </si>
  <si>
    <t>公益社団法人　三重県歯科医師会　障害者歯科センター</t>
  </si>
  <si>
    <t>医療法人みのうら歯科医院</t>
  </si>
  <si>
    <t>医療法人すずき歯科</t>
  </si>
  <si>
    <t>美杉歯科診療所</t>
  </si>
  <si>
    <t>医療法人　上津デンタルクリニック</t>
  </si>
  <si>
    <t>津ファミリア歯科・こども歯科</t>
  </si>
  <si>
    <t>ナカハマデンタル</t>
  </si>
  <si>
    <t>小林歯科医院</t>
  </si>
  <si>
    <t>学園前歯科医院</t>
  </si>
  <si>
    <t>とき矯正歯科</t>
  </si>
  <si>
    <t>すずき歯科クリニック</t>
  </si>
  <si>
    <t>うえばやし歯科医院</t>
  </si>
  <si>
    <t>ぶらん歯科</t>
  </si>
  <si>
    <t>藤井歯科医院</t>
  </si>
  <si>
    <t>西川歯科医院</t>
  </si>
  <si>
    <t>中川歯科</t>
  </si>
  <si>
    <t>やまなかデンタルクリニック</t>
  </si>
  <si>
    <t>伊勢市小俣町明野1067</t>
  </si>
  <si>
    <t>ふくい歯科クリニック</t>
  </si>
  <si>
    <t>にしい歯科クリニック</t>
  </si>
  <si>
    <t>田所歯科矯正歯科クリニック</t>
  </si>
  <si>
    <t>医療法人社団　中村歯科クリニック</t>
  </si>
  <si>
    <t>医療法人　なかの歯科</t>
  </si>
  <si>
    <t>豊浜歯科医院</t>
  </si>
  <si>
    <t>宇治山田歯科医院</t>
  </si>
  <si>
    <t>右京歯科</t>
  </si>
  <si>
    <t>医療法人　伊勢ファミリー歯科矯正歯科</t>
  </si>
  <si>
    <t>伊勢市小木町538番地　ララパークSC内1F</t>
  </si>
  <si>
    <t>山口歯科医院</t>
  </si>
  <si>
    <t>寺本歯科医院</t>
  </si>
  <si>
    <t>医療法人　孝心会　あおい歯科クリニック</t>
  </si>
  <si>
    <t>さいとう歯科</t>
  </si>
  <si>
    <t>山本歯科医院</t>
  </si>
  <si>
    <t>中川歯科医院</t>
  </si>
  <si>
    <t>峰歯科・矯正歯科クリニック</t>
  </si>
  <si>
    <t>福井歯科医院</t>
  </si>
  <si>
    <t>きさらぎ矯正歯科医院</t>
  </si>
  <si>
    <t>医療法人フルーツ　アップル歯科クリニック</t>
  </si>
  <si>
    <t>福森歯科クリニック</t>
  </si>
  <si>
    <t>六石歯科医院</t>
  </si>
  <si>
    <t>おかもと歯科</t>
  </si>
  <si>
    <t>医療法人とまと歯科</t>
  </si>
  <si>
    <t>いなべ市大安町丹生川久下1712番地2</t>
  </si>
  <si>
    <t>医療法人　東洋会　たなか歯科医院</t>
  </si>
  <si>
    <t>いなべ市北勢町阿下喜824</t>
  </si>
  <si>
    <t>伊藤歯科</t>
  </si>
  <si>
    <t>たつみの歯科クリニック</t>
  </si>
  <si>
    <t>とみすはら訪問歯科クリニック</t>
  </si>
  <si>
    <t>しもさと歯科クリニック</t>
  </si>
  <si>
    <t>西井歯科医院</t>
  </si>
  <si>
    <t>せこ歯科クリニック</t>
  </si>
  <si>
    <t>医療法人にじいろ　くろい歯科クリニック</t>
  </si>
  <si>
    <t>りっぷ歯科クリニック</t>
  </si>
  <si>
    <t>谷崎歯科医院</t>
  </si>
  <si>
    <t>デンタルクリニックたかはし</t>
  </si>
  <si>
    <t>志摩市阿児町甲賀3173番地9</t>
  </si>
  <si>
    <t>医療法人　志福会　はね歯科医院</t>
  </si>
  <si>
    <t>水谷薬局</t>
  </si>
  <si>
    <t>株式会社小林薬局三栄町支店</t>
  </si>
  <si>
    <t>クローバー薬局</t>
  </si>
  <si>
    <t>はやふね薬局</t>
  </si>
  <si>
    <t>有限会社渡辺薬局</t>
  </si>
  <si>
    <t>小林薬局くわな駅西店</t>
  </si>
  <si>
    <t>ソーラー薬局</t>
  </si>
  <si>
    <t>ハーブ調剤薬局</t>
  </si>
  <si>
    <t>三井薬局　赤尾店</t>
  </si>
  <si>
    <t>内堀薬局</t>
  </si>
  <si>
    <t>有限会社太成　星見ヶ丘調剤薬局</t>
  </si>
  <si>
    <t>江場調剤薬局</t>
  </si>
  <si>
    <t>東方調剤薬局</t>
  </si>
  <si>
    <t>しょうなん調剤薬局　桑名店</t>
  </si>
  <si>
    <t>岡田薬局</t>
  </si>
  <si>
    <t>こころの薬局</t>
  </si>
  <si>
    <t>汐見調剤薬局</t>
  </si>
  <si>
    <t>ヒラノ薬局</t>
  </si>
  <si>
    <t>オレンジ薬局</t>
  </si>
  <si>
    <t>桑名市大字福島748 ＡＡビル1F</t>
  </si>
  <si>
    <t>四日市市松原町15番16号</t>
  </si>
  <si>
    <t>かわはし薬局</t>
  </si>
  <si>
    <t>（有）かわはし薬局　大山田調剤薬局</t>
  </si>
  <si>
    <t>ことぶき調剤薬局</t>
  </si>
  <si>
    <t>さんあい薬局株式会社　陽だまりの丘店</t>
  </si>
  <si>
    <t>江場調剤薬局　桑名店</t>
  </si>
  <si>
    <t>有限会社薬局ポケット</t>
  </si>
  <si>
    <t>日本調剤　桑名中央薬局</t>
  </si>
  <si>
    <t>株式会社小林薬局　寿支店</t>
  </si>
  <si>
    <t>シモザト薬局　桑名店</t>
  </si>
  <si>
    <t>有限会社　下里薬局</t>
  </si>
  <si>
    <t>エンゼル薬局　星川店</t>
  </si>
  <si>
    <t>さんあい薬局株式会社　京橋店・在宅支援センター</t>
  </si>
  <si>
    <t>スギ薬局　七和店</t>
  </si>
  <si>
    <t>桑名市大仲新田424番地</t>
  </si>
  <si>
    <t>スギ薬局　桑名中央店</t>
  </si>
  <si>
    <t>桑名市矢田磧201番地7</t>
  </si>
  <si>
    <t>スギ薬局　多度店</t>
  </si>
  <si>
    <t>スギ薬局　長島店</t>
  </si>
  <si>
    <t>桑名市長島町松ヶ島324番地</t>
  </si>
  <si>
    <t>しょうなん調剤薬局　大央店</t>
  </si>
  <si>
    <t>スギ薬局　大山田店</t>
  </si>
  <si>
    <t>桑名市新西方2丁目14番地</t>
  </si>
  <si>
    <t>スギ薬局　桑名西別所店</t>
  </si>
  <si>
    <t>桑名市西別所882</t>
  </si>
  <si>
    <t>さんあい薬局株式会社　坂の下店</t>
  </si>
  <si>
    <t>さんあい薬局株式会社　蓮花寺店</t>
  </si>
  <si>
    <t>みんなの薬局　桑名</t>
  </si>
  <si>
    <t>桑名市長島町横満蔵573</t>
  </si>
  <si>
    <t>イオン薬局桑名店</t>
  </si>
  <si>
    <t>エンゼル薬局　はりま店</t>
  </si>
  <si>
    <t>たかはし調剤薬局</t>
  </si>
  <si>
    <t>アピタ桑名薬局</t>
  </si>
  <si>
    <t>ひまわり薬局</t>
  </si>
  <si>
    <t>桑名薬局</t>
  </si>
  <si>
    <t>みずたに薬局中央店</t>
  </si>
  <si>
    <t>ペイン薬局</t>
  </si>
  <si>
    <t>しょうなん調剤薬局　長島店</t>
  </si>
  <si>
    <t>合同会社あおば薬局</t>
  </si>
  <si>
    <t>スギ薬局　桑名大福店</t>
  </si>
  <si>
    <t>桑名市大字大福424番地1</t>
  </si>
  <si>
    <t>さくら薬局　桑名東方店</t>
  </si>
  <si>
    <t>さくら薬局　桑名福島店</t>
  </si>
  <si>
    <t>桑名市東方福島前770</t>
  </si>
  <si>
    <t>しょうなん調剤薬局　東方店</t>
  </si>
  <si>
    <t>ハート調剤薬局</t>
  </si>
  <si>
    <t>エンゼル薬局　多度駅前店</t>
  </si>
  <si>
    <t>ひび薬局</t>
  </si>
  <si>
    <t>小林薬局　桑名ふくじま支店</t>
  </si>
  <si>
    <t>さくら薬局　桑名大山田店</t>
  </si>
  <si>
    <t>つつお調剤薬局</t>
  </si>
  <si>
    <t>V・drug　ながしま調剤薬局</t>
  </si>
  <si>
    <t>しょうなん調剤薬局　総合医療センター前店</t>
  </si>
  <si>
    <t>あたご調剤薬局ほしみが丘店</t>
  </si>
  <si>
    <t>クスリのアオキ江場薬局</t>
  </si>
  <si>
    <t>桑名市大字江場1316番地1</t>
  </si>
  <si>
    <t>ひじり薬局</t>
  </si>
  <si>
    <t>ウエルシア薬局桑名東方店</t>
  </si>
  <si>
    <t>桑名市大字東方字細貝道1082番1</t>
  </si>
  <si>
    <t>フラワー薬局蓮花寺店</t>
  </si>
  <si>
    <t>フラワー薬局すずらん店</t>
  </si>
  <si>
    <t>フラワー薬局寿店</t>
  </si>
  <si>
    <t>かわはし薬局江場店</t>
  </si>
  <si>
    <t>アクア薬局星見ヶ丘店</t>
  </si>
  <si>
    <t>あおぞら薬局</t>
  </si>
  <si>
    <t>たいせい薬局</t>
  </si>
  <si>
    <t>スギ薬局　星川店</t>
  </si>
  <si>
    <t>桑名市大字星川802番地1</t>
  </si>
  <si>
    <t>ありよし調剤薬局</t>
  </si>
  <si>
    <t>たんぽぽ薬局　さくらの丘店</t>
  </si>
  <si>
    <t>ユニスマイル薬局　桑名店</t>
  </si>
  <si>
    <t>桑名市長島町出口247</t>
  </si>
  <si>
    <t>フラワー薬局桑名北別所店</t>
  </si>
  <si>
    <t>SAKURA薬局　東方店</t>
  </si>
  <si>
    <t>V・drug 桑名ひだまり薬局</t>
  </si>
  <si>
    <t>さんあい薬局株式会社　中央町店</t>
  </si>
  <si>
    <t>桑名市寿町3丁目25番地</t>
  </si>
  <si>
    <t>はちみつ薬局</t>
  </si>
  <si>
    <t>桑名市大仲新田屋敷327番地77</t>
  </si>
  <si>
    <t>あおば薬局　桑名店</t>
  </si>
  <si>
    <t>アクア薬局桑名駅前店</t>
  </si>
  <si>
    <t>みんなの薬局</t>
  </si>
  <si>
    <t>在宅訪問くわな南薬局</t>
  </si>
  <si>
    <t>鈴鹿市三日市町1963番地</t>
  </si>
  <si>
    <t>有限会社　平岡回生堂薬局</t>
  </si>
  <si>
    <t>ウサミ薬局</t>
  </si>
  <si>
    <t>福井薬局</t>
  </si>
  <si>
    <t>藤戸薬局</t>
  </si>
  <si>
    <t>樋口回生堂薬局</t>
  </si>
  <si>
    <t>有限会社近藤団地薬局</t>
  </si>
  <si>
    <t>ひなが調剤薬局</t>
  </si>
  <si>
    <t>いくわ調剤薬局</t>
  </si>
  <si>
    <t>善快堂薬局山城店</t>
  </si>
  <si>
    <t>平岡回生堂薬局　大矢知店</t>
  </si>
  <si>
    <t>ダイガクドー薬局</t>
  </si>
  <si>
    <t>善快堂薬局　かすみがうら店</t>
  </si>
  <si>
    <t>エンゼル薬局　生桑店</t>
  </si>
  <si>
    <t>第一調剤薬局</t>
  </si>
  <si>
    <t>株式会社天基　あまき薬局</t>
  </si>
  <si>
    <t>まき調剤薬局</t>
  </si>
  <si>
    <t>オアシス調剤薬局</t>
  </si>
  <si>
    <t>スワ薬局</t>
  </si>
  <si>
    <t>ふたば薬局　川島店</t>
  </si>
  <si>
    <t>みたき調剤薬局</t>
  </si>
  <si>
    <t>ファーマライズ薬局　日永店</t>
  </si>
  <si>
    <t>とみだ薬局</t>
  </si>
  <si>
    <t>たんぽぽ薬局　四日市中央店</t>
  </si>
  <si>
    <t>たんぽぽ薬局　羽津店</t>
  </si>
  <si>
    <t>ドリーム薬局</t>
  </si>
  <si>
    <t>あゆみ調剤薬局</t>
  </si>
  <si>
    <t>平岡回生堂薬局　あかつき店</t>
  </si>
  <si>
    <t>こぶた薬局</t>
  </si>
  <si>
    <t>ナロー調剤薬局</t>
  </si>
  <si>
    <t>エンゼル薬局　四日市駅前店</t>
  </si>
  <si>
    <t>なの花薬局日永西店</t>
  </si>
  <si>
    <t>四日市市日永西五丁目523番地</t>
  </si>
  <si>
    <t>うねめ薬局</t>
  </si>
  <si>
    <t>あくらがわ薬局</t>
  </si>
  <si>
    <t>バンビ調剤薬局</t>
  </si>
  <si>
    <t>楠薬局</t>
  </si>
  <si>
    <t>四日市調剤薬局　中央店</t>
  </si>
  <si>
    <t>四日市調剤薬局　おおやち店</t>
  </si>
  <si>
    <t>あゆみ調剤薬局　沖の島店</t>
  </si>
  <si>
    <t>ぽかぽか薬局</t>
  </si>
  <si>
    <t>なの花薬局日永北店</t>
  </si>
  <si>
    <t>あゆみ調剤薬局日永店</t>
  </si>
  <si>
    <t>森薬局</t>
  </si>
  <si>
    <t>らくだ薬局</t>
  </si>
  <si>
    <t>スギヤマ調剤薬局ときわ店</t>
  </si>
  <si>
    <t>スギヤマ薬局笹川店</t>
  </si>
  <si>
    <t>スギヤマ薬局久保田店</t>
  </si>
  <si>
    <t>有限会社イトーファーマシーうのもり薬局</t>
  </si>
  <si>
    <t>五味塚薬局</t>
  </si>
  <si>
    <t>イオン薬局　四日市尾平店</t>
  </si>
  <si>
    <t>四日市市尾平町字天王川原1805</t>
  </si>
  <si>
    <t>イオン薬局　四日市北店</t>
  </si>
  <si>
    <t>スギ薬局　久保田店</t>
  </si>
  <si>
    <t>スギ薬局　富田店</t>
  </si>
  <si>
    <t>スギ薬局　サンシ生桑店</t>
  </si>
  <si>
    <t>スギ薬局　阿倉川店</t>
  </si>
  <si>
    <t>四日市市羽津山町2番2号</t>
  </si>
  <si>
    <t>スギ薬局　四日市中央店</t>
  </si>
  <si>
    <t>四日市市赤堀二丁目5番24号</t>
  </si>
  <si>
    <t>なの花薬局清水店</t>
  </si>
  <si>
    <t>スギ薬局　末永店</t>
  </si>
  <si>
    <t>四日市市末永町16番15号</t>
  </si>
  <si>
    <t>スギ薬局　青葉店</t>
  </si>
  <si>
    <t>四日市市青葉町800番地351</t>
  </si>
  <si>
    <t>ぱんだ薬局</t>
  </si>
  <si>
    <t>ダリヤ泊山薬局</t>
  </si>
  <si>
    <t>ダリヤ四日市薬局</t>
  </si>
  <si>
    <t>ユニスマイル薬局　うつべ店</t>
  </si>
  <si>
    <t>さくら薬局　四日市笹川店</t>
  </si>
  <si>
    <t>さくら薬局　四日市富田浜店</t>
  </si>
  <si>
    <t>ふじハート調剤薬局</t>
  </si>
  <si>
    <t>やさと調剤薬局</t>
  </si>
  <si>
    <t>スワ薬局　石塚店</t>
  </si>
  <si>
    <t>おぐら薬局</t>
  </si>
  <si>
    <t>ファミリーサポート薬局　海蔵店</t>
  </si>
  <si>
    <t>羽津中薬局</t>
  </si>
  <si>
    <t>こさと薬局</t>
  </si>
  <si>
    <t>らいおん調剤薬局</t>
  </si>
  <si>
    <t>さかべ調剤薬局</t>
  </si>
  <si>
    <t>アイランド薬局四日市駅前店</t>
  </si>
  <si>
    <t>一色こまち調剤薬局</t>
  </si>
  <si>
    <t>そよかぜ薬局</t>
  </si>
  <si>
    <t>ココカラファイン薬局みたき店</t>
  </si>
  <si>
    <t>ココカラファイン薬局四日市医療センター前店</t>
  </si>
  <si>
    <t>エール調剤薬局　四日市店</t>
  </si>
  <si>
    <t>エンゼル薬局　かみえび店</t>
  </si>
  <si>
    <t>あすもえ薬局</t>
  </si>
  <si>
    <t>四日市市松本5丁目2番3号</t>
  </si>
  <si>
    <t>さんあい薬局株式会社　河原田店</t>
  </si>
  <si>
    <t>スギ薬局　四日市泊小柳店</t>
  </si>
  <si>
    <t>四日市市泊小柳町3番29号</t>
  </si>
  <si>
    <t>四日市さくら薬局</t>
  </si>
  <si>
    <t>みすぎ薬局</t>
  </si>
  <si>
    <t>スワ薬局　東日野店</t>
  </si>
  <si>
    <t>松本調剤薬局</t>
  </si>
  <si>
    <t>ウエルシア薬局　四日市ときわ店</t>
  </si>
  <si>
    <t>四日市市ときわ5丁目2番27号</t>
  </si>
  <si>
    <t>さくら薬局　四日市山分店</t>
  </si>
  <si>
    <t>のの薬局　山之一色店</t>
  </si>
  <si>
    <t>のの薬局　ときわ店</t>
  </si>
  <si>
    <t>アイセイ薬局　小杉店</t>
  </si>
  <si>
    <t>アイセイ薬局　西伊倉店</t>
  </si>
  <si>
    <t>アイセイ薬局　下海老店</t>
  </si>
  <si>
    <t>ウエルシア薬局四日市蒔田店</t>
  </si>
  <si>
    <t>あおば薬局</t>
  </si>
  <si>
    <t>アクア薬局羽津店</t>
  </si>
  <si>
    <t>しろにし薬局</t>
  </si>
  <si>
    <t>エール調剤薬局Fuji</t>
  </si>
  <si>
    <t>サエラ薬局　ひなが店</t>
  </si>
  <si>
    <t>いちご薬局</t>
  </si>
  <si>
    <t>さんあい薬局株式会社　桜台店</t>
  </si>
  <si>
    <t>きらぼし薬局たるさか店</t>
  </si>
  <si>
    <t>さざんか薬局</t>
  </si>
  <si>
    <t>エンゼル薬局　四日市中央店</t>
  </si>
  <si>
    <t>いなべ市大安町門前591</t>
  </si>
  <si>
    <t>エンゼル薬局　四日市南店</t>
  </si>
  <si>
    <t>四日市市山田町5569番地8</t>
  </si>
  <si>
    <t>フラワー薬局四日市駅前店</t>
  </si>
  <si>
    <t>フラワー薬局中部店</t>
  </si>
  <si>
    <t>フラワー薬局小杉店</t>
  </si>
  <si>
    <t>フラワー薬局はまゆう店</t>
  </si>
  <si>
    <t>フラワー薬局カトレヤ店</t>
  </si>
  <si>
    <t>フラワー薬局あさがお店</t>
  </si>
  <si>
    <t>フラワー薬局わかば店</t>
  </si>
  <si>
    <t>フラワー薬局羽津山店</t>
  </si>
  <si>
    <t>フラワー薬局富州原店</t>
  </si>
  <si>
    <t>フラワー薬局　生桑店</t>
  </si>
  <si>
    <t>ウェルネス薬局　五味塚店</t>
  </si>
  <si>
    <t>四日市市楠町南五味塚1306番地2</t>
  </si>
  <si>
    <t>ウエルシア薬局イオンタウン四日市泊店</t>
  </si>
  <si>
    <t>さんあい薬局株式会社　小杉新町店</t>
  </si>
  <si>
    <t>アクア薬局安島店</t>
  </si>
  <si>
    <t>ファミリーサポート薬局山城店</t>
  </si>
  <si>
    <t>花もも薬局</t>
  </si>
  <si>
    <t>スギ薬局　別名店</t>
  </si>
  <si>
    <t>四日市市別名一丁目10番16号</t>
  </si>
  <si>
    <t>ウエルシア薬局四日市波木店</t>
  </si>
  <si>
    <t>クスリのアオキ垂坂薬局</t>
  </si>
  <si>
    <t>クスリのアオキ楠薬局</t>
  </si>
  <si>
    <t>さんあい薬局株式会社生桑店</t>
  </si>
  <si>
    <t>エンゼル薬局　高角店</t>
  </si>
  <si>
    <t>スギ薬局采女店</t>
  </si>
  <si>
    <t>四日市市采女町1869番地1</t>
  </si>
  <si>
    <t>くすの木調剤薬局</t>
  </si>
  <si>
    <t>キョーワ薬局　四日市店</t>
  </si>
  <si>
    <t>キョーワ薬局　四日市西店</t>
  </si>
  <si>
    <t>キョーワ薬局　西浦店</t>
  </si>
  <si>
    <t>キョーワ薬局　生桑店</t>
  </si>
  <si>
    <t>サニー薬局</t>
  </si>
  <si>
    <t>かわらざき調剤薬局</t>
  </si>
  <si>
    <t>ユニスマイル薬局　泊店</t>
  </si>
  <si>
    <t>みらい調剤薬局</t>
  </si>
  <si>
    <t>スギ薬局　在宅調剤センター四日市店</t>
  </si>
  <si>
    <t>四日市市青葉町800番地4</t>
  </si>
  <si>
    <t>クスリのアオキ羽津薬局</t>
  </si>
  <si>
    <t>四日市市羽津町21番16号</t>
  </si>
  <si>
    <t>ナカムラ薬局ときわ店</t>
  </si>
  <si>
    <t>クスリのアオキ天カ須賀薬局</t>
  </si>
  <si>
    <t>四日市市天カ須賀四丁目2番20号</t>
  </si>
  <si>
    <t>あかつき調剤薬局</t>
  </si>
  <si>
    <t>よつば薬局</t>
  </si>
  <si>
    <t>ウエルシア薬局四日市朝日町店</t>
  </si>
  <si>
    <t>四日市市朝日町13番14号</t>
  </si>
  <si>
    <t>ちかこ薬局</t>
  </si>
  <si>
    <t>四日市市釆女が丘1丁目159</t>
  </si>
  <si>
    <t>クスリのアオキ河原田薬局</t>
  </si>
  <si>
    <t>四日市市河原田町1468番地1</t>
  </si>
  <si>
    <t>ダリヤ元町薬局</t>
  </si>
  <si>
    <t>エール調剤薬局保々店</t>
  </si>
  <si>
    <t>いふな薬局とまり店</t>
  </si>
  <si>
    <t>こもれび薬局</t>
  </si>
  <si>
    <t>とみすはら調剤薬局</t>
  </si>
  <si>
    <t>四日市市天カ須賀5丁目4番12号</t>
  </si>
  <si>
    <t>エンゼル薬局　久保田店</t>
  </si>
  <si>
    <t>四日市市久保田二丁目14番地23</t>
  </si>
  <si>
    <t>トミヤ薬局</t>
  </si>
  <si>
    <t>サイトウ薬局</t>
  </si>
  <si>
    <t>スズカ調剤薬局</t>
  </si>
  <si>
    <t>さんあい薬局株式会社　鈴鹿店</t>
  </si>
  <si>
    <t>さくら調剤薬局　白子店</t>
  </si>
  <si>
    <t>有限会社玉村薬局若松店</t>
  </si>
  <si>
    <t>神戸調剤薬局</t>
  </si>
  <si>
    <t>鈴鹿市神戸8丁目314番4号</t>
  </si>
  <si>
    <t>ベル調剤薬局</t>
  </si>
  <si>
    <t>あきなが薬局</t>
  </si>
  <si>
    <t>磯山調剤薬局</t>
  </si>
  <si>
    <t>ファミリー薬局</t>
  </si>
  <si>
    <t>鈴鹿市南江島町9番6号</t>
  </si>
  <si>
    <t>あたご調剤薬局</t>
  </si>
  <si>
    <t>旭が丘調剤薬局</t>
  </si>
  <si>
    <t>かさど調剤薬局</t>
  </si>
  <si>
    <t>あさひ調剤薬局</t>
  </si>
  <si>
    <t>けやき調剤薬局</t>
  </si>
  <si>
    <t>おかだ調剤薬局</t>
  </si>
  <si>
    <t>リフレ薬局</t>
  </si>
  <si>
    <t>ちよざき調剤薬局</t>
  </si>
  <si>
    <t>さんあい薬局株式会社　ひとみ店</t>
  </si>
  <si>
    <t>じけ調剤薬局</t>
  </si>
  <si>
    <t>ふじ調剤薬局</t>
  </si>
  <si>
    <t>ふたば薬局　平田店</t>
  </si>
  <si>
    <t>さくらじま薬局</t>
  </si>
  <si>
    <t>スズカ調剤薬局　高岡店</t>
  </si>
  <si>
    <t>岸岡調剤薬局</t>
  </si>
  <si>
    <t>鈴鹿市岸岡町3437番地</t>
  </si>
  <si>
    <t>どうはく調剤薬局</t>
  </si>
  <si>
    <t>本町調剤薬局</t>
  </si>
  <si>
    <t>イオン薬局　鈴鹿店</t>
  </si>
  <si>
    <t>スギ薬局　白子店</t>
  </si>
  <si>
    <t>鈴鹿市江島町4035番地</t>
  </si>
  <si>
    <t>スギ薬局　西条店</t>
  </si>
  <si>
    <t>鈴鹿市飯野寺家町856番地</t>
  </si>
  <si>
    <t>スギ薬局　アクシス鈴鹿店</t>
  </si>
  <si>
    <t>鈴鹿市北玉垣町字中野801番地</t>
  </si>
  <si>
    <t>あすなろ薬局</t>
  </si>
  <si>
    <t>さつき調剤薬局</t>
  </si>
  <si>
    <t>まめのき薬局</t>
  </si>
  <si>
    <t>さくら薬局　鈴鹿白子店</t>
  </si>
  <si>
    <t>鈴鹿市白子駅前12番26号宝ハイツ1Ｆ</t>
  </si>
  <si>
    <t>みだ調剤薬局</t>
  </si>
  <si>
    <t>いふな薬局</t>
  </si>
  <si>
    <t>杉浦薬局県道店</t>
  </si>
  <si>
    <t>ジップドラッグ白子薬局</t>
  </si>
  <si>
    <t>みつば調剤薬局</t>
  </si>
  <si>
    <t>エール調剤薬局　鈴鹿店</t>
  </si>
  <si>
    <t>ウエルシア薬局　鈴鹿桜島店</t>
  </si>
  <si>
    <t>健やか薬局　やなぎ店</t>
  </si>
  <si>
    <t>松阪市嬉野中川新町二丁目17番地</t>
  </si>
  <si>
    <t>おげんきに薬局</t>
  </si>
  <si>
    <t>ふたば薬局　矢橋店</t>
  </si>
  <si>
    <t>鈴鹿センター薬局</t>
  </si>
  <si>
    <t>クスリのアオキ算所薬局</t>
  </si>
  <si>
    <t>さくら薬局　鈴鹿神戸店</t>
  </si>
  <si>
    <t>三日市調剤薬局</t>
  </si>
  <si>
    <t>健やか薬局野町店</t>
  </si>
  <si>
    <t>たいよう調剤薬局桜島店</t>
  </si>
  <si>
    <t>スズカ調剤薬局　稲生店</t>
  </si>
  <si>
    <t>スギ薬局　鈴鹿寺家店</t>
  </si>
  <si>
    <t>鈴鹿市寺家町字新改1521番地の1</t>
  </si>
  <si>
    <t>エンゼル薬局　平野店</t>
  </si>
  <si>
    <t>スギ薬局　玉垣店</t>
  </si>
  <si>
    <t>鈴鹿市南玉垣町3013番地</t>
  </si>
  <si>
    <t>くるみ調剤薬局　すずか店</t>
  </si>
  <si>
    <t>たまがき調剤薬局</t>
  </si>
  <si>
    <t>三日市南薬局</t>
  </si>
  <si>
    <t>さんあい薬局株式会社　石薬師店</t>
  </si>
  <si>
    <t>アクア薬局　桜島店</t>
  </si>
  <si>
    <t>かんべ駅前薬局</t>
  </si>
  <si>
    <t>ウエルシア薬局鈴鹿中江島町店</t>
  </si>
  <si>
    <t>鈴鹿市中江島町11番32号</t>
  </si>
  <si>
    <t>ファーマライズ薬局　鈴鹿店</t>
  </si>
  <si>
    <t>ファーマライズ薬局　鈴鹿住吉店</t>
  </si>
  <si>
    <t>鈴鹿みなみ薬局</t>
  </si>
  <si>
    <t>まっぷ薬局</t>
  </si>
  <si>
    <t>フラワー薬局白子店</t>
  </si>
  <si>
    <t>フラワー薬局すみれ店</t>
  </si>
  <si>
    <t>フラワー薬局　鈴鹿店</t>
  </si>
  <si>
    <t>スズカ調剤薬局　長太店</t>
  </si>
  <si>
    <t>V・drug　中旭が丘薬局</t>
  </si>
  <si>
    <t>鈴鹿市中旭が丘一丁目11番18号</t>
  </si>
  <si>
    <t>いちご調剤薬局</t>
  </si>
  <si>
    <t>あこそ薬局</t>
  </si>
  <si>
    <t>けいと薬局</t>
  </si>
  <si>
    <t>西条調剤薬局</t>
  </si>
  <si>
    <t>ウエルシア薬局鈴鹿算所店</t>
  </si>
  <si>
    <t>鈴鹿市算所一丁目19番1号</t>
  </si>
  <si>
    <t>ウエルシア薬局鈴鹿下箕田店</t>
  </si>
  <si>
    <t>鈴鹿市下箕田四丁目２３番２２号</t>
  </si>
  <si>
    <t>ホリ薬局</t>
  </si>
  <si>
    <t>V・drug　岸岡薬局</t>
  </si>
  <si>
    <t>つばき薬局</t>
  </si>
  <si>
    <t>鈴鹿市白子三丁目14番5号</t>
  </si>
  <si>
    <t>イオン薬局鈴鹿白子店</t>
  </si>
  <si>
    <t>健やか薬局郡山店</t>
  </si>
  <si>
    <t>安塚薬局</t>
  </si>
  <si>
    <t>鈴鹿市安塚町1605</t>
  </si>
  <si>
    <t>エンゼル薬局　西条店</t>
  </si>
  <si>
    <t>鈴鹿市飯野寺家町817番地1</t>
  </si>
  <si>
    <t>ハロー薬局　鈴鹿店</t>
  </si>
  <si>
    <t>阪神調剤薬局　鈴鹿北玉垣店</t>
  </si>
  <si>
    <t>鈴鹿市北玉垣町823番地8</t>
  </si>
  <si>
    <t>クスリのアオキ稲生薬局</t>
  </si>
  <si>
    <t>鈴鹿市稲生2丁目16番17号</t>
  </si>
  <si>
    <t>有限会社すずらん調剤薬局</t>
  </si>
  <si>
    <t>有限会社イトーファーマシー　さかえ薬局</t>
  </si>
  <si>
    <t>十全薬局</t>
  </si>
  <si>
    <t>ふたば薬局</t>
  </si>
  <si>
    <t>有限会社　うぐいす薬局</t>
  </si>
  <si>
    <t>かめやま調剤薬局</t>
  </si>
  <si>
    <t>タイセイ調剤薬局</t>
  </si>
  <si>
    <t>ふたば薬局　高塚店</t>
  </si>
  <si>
    <t>スズカ調剤薬局亀山店</t>
  </si>
  <si>
    <t>みなみざき調剤薬局</t>
  </si>
  <si>
    <t>ココカラファイン薬局亀山店</t>
  </si>
  <si>
    <t>健やか薬局　東町店</t>
  </si>
  <si>
    <t>スギ薬局　東御幸店</t>
  </si>
  <si>
    <t>亀山市東御幸町42番地1</t>
  </si>
  <si>
    <t>日本調剤　亀山薬局</t>
  </si>
  <si>
    <t>ウエルシア薬局亀山東御幸町店</t>
  </si>
  <si>
    <t>亀山市東御幸町26番地</t>
  </si>
  <si>
    <t>ファーマライズ薬局　亀山店</t>
  </si>
  <si>
    <t>フラワー薬局亀山店</t>
  </si>
  <si>
    <t>クスリのアオキ栄町薬局</t>
  </si>
  <si>
    <t>ウエルシア薬局亀山川崎店</t>
  </si>
  <si>
    <t>亀山市川崎町4745番地1</t>
  </si>
  <si>
    <t>川崎薬局</t>
  </si>
  <si>
    <t>かめのこ薬局</t>
  </si>
  <si>
    <t>亀山天神薬局</t>
  </si>
  <si>
    <t>イセタニ薬局</t>
  </si>
  <si>
    <t>南漢方薬局</t>
  </si>
  <si>
    <t>三重調剤薬局</t>
  </si>
  <si>
    <t>コスモス薬局　本店</t>
  </si>
  <si>
    <t>西が丘薬局</t>
  </si>
  <si>
    <t>スズキ薬局</t>
  </si>
  <si>
    <t>高野尾薬局</t>
  </si>
  <si>
    <t>チェリー調剤薬局　ライム店</t>
  </si>
  <si>
    <t>善快堂薬局</t>
  </si>
  <si>
    <t>ラベンダー薬局</t>
  </si>
  <si>
    <t>コスモス薬局長岡店</t>
  </si>
  <si>
    <t>たんぽぽ薬局　丸之内店</t>
  </si>
  <si>
    <t>なの花薬局観音寺店</t>
  </si>
  <si>
    <t>メディモ調剤薬局</t>
  </si>
  <si>
    <t>薬局アイファーマシィー中町店</t>
  </si>
  <si>
    <t>薬局アイファーマシィー明神店</t>
  </si>
  <si>
    <t>ドレミ薬局</t>
  </si>
  <si>
    <t>たんぽぽ薬局　榊原店</t>
  </si>
  <si>
    <t>槇の木薬局</t>
  </si>
  <si>
    <t>一志調剤薬局・中町店</t>
  </si>
  <si>
    <t>さくら調剤薬局　河芸店</t>
  </si>
  <si>
    <t>なの花薬局ちさと店</t>
  </si>
  <si>
    <t>たんぽぽ薬局　河芸店</t>
  </si>
  <si>
    <t>明薬局</t>
  </si>
  <si>
    <t>高岡調剤薬局</t>
  </si>
  <si>
    <t>チェリー調剤薬局　白山店</t>
  </si>
  <si>
    <t>たんぽぽ薬局　久居店</t>
  </si>
  <si>
    <t>こころ調剤薬局</t>
  </si>
  <si>
    <t>千里薬局</t>
  </si>
  <si>
    <t>なの花薬局井戸山店</t>
  </si>
  <si>
    <t>津市久居井戸山町字奥ノ谷751番地11</t>
  </si>
  <si>
    <t>スギ薬局　芸濃店</t>
  </si>
  <si>
    <t>津市芸濃町萩野字上田野3374番地4</t>
  </si>
  <si>
    <t>スギ薬局　津新町店</t>
  </si>
  <si>
    <t>津市新町1丁目10番23号</t>
  </si>
  <si>
    <t>スギ薬局　藤方店</t>
  </si>
  <si>
    <t>津市藤方1920番地</t>
  </si>
  <si>
    <t>スギ薬局　河芸店</t>
  </si>
  <si>
    <t>津市河芸町東千里大橋203番地1</t>
  </si>
  <si>
    <t>スギ薬局　久居インターガーデン店</t>
  </si>
  <si>
    <t>津市久居明神町字風早2522番地</t>
  </si>
  <si>
    <t>スギ薬局　城山店</t>
  </si>
  <si>
    <t>健やか薬局　久居みゆき店</t>
  </si>
  <si>
    <t>津市戸木町5058</t>
  </si>
  <si>
    <t>スギ薬局　久居新町店</t>
  </si>
  <si>
    <t>津市久居新町2860番地</t>
  </si>
  <si>
    <t>スギ薬局　白塚店</t>
  </si>
  <si>
    <t>津市栗真小川町字沢445番地　SENOPARK津内</t>
  </si>
  <si>
    <t>一志調剤薬局・新町店</t>
  </si>
  <si>
    <t>むくもと薬局</t>
  </si>
  <si>
    <t>コスモス薬局南が丘店</t>
  </si>
  <si>
    <t>日本調剤　三重大前薬局</t>
  </si>
  <si>
    <t>津市江戸橋1丁目125</t>
  </si>
  <si>
    <t>コスモス薬局なぎさ店</t>
  </si>
  <si>
    <t>セイムス芸濃椋本薬局</t>
  </si>
  <si>
    <t>津市芸濃町椋本東豊久野2933</t>
  </si>
  <si>
    <t>セイムス三重大前薬局</t>
  </si>
  <si>
    <t>一志調剤薬局・久居駅前店</t>
  </si>
  <si>
    <t>津新町調剤薬局</t>
  </si>
  <si>
    <t>ローレル薬局</t>
  </si>
  <si>
    <t>杜の街調剤薬局</t>
  </si>
  <si>
    <t>なの花薬局河芸店</t>
  </si>
  <si>
    <t>イオン薬局久居店</t>
  </si>
  <si>
    <t>津市久居明神町風早2660</t>
  </si>
  <si>
    <t>スギ薬局　高茶屋店</t>
  </si>
  <si>
    <t>津市高茶屋小森町字竹縄140番地</t>
  </si>
  <si>
    <t>さくら薬局　津市南が丘店</t>
  </si>
  <si>
    <t>津市垂水2797番地9</t>
  </si>
  <si>
    <t>おだ調剤薬局　山の手店</t>
  </si>
  <si>
    <t>三重調剤薬局　河芸店</t>
  </si>
  <si>
    <t>コスモス薬局大門フェニックス店</t>
  </si>
  <si>
    <t>ココカラファイン薬局　垂水店</t>
  </si>
  <si>
    <t>ジップドラッグ千里薬局</t>
  </si>
  <si>
    <t>こうなん薬局</t>
  </si>
  <si>
    <t>コスモス薬局　つおき店</t>
  </si>
  <si>
    <t>健やか薬局　美里やまびこ店</t>
  </si>
  <si>
    <t>津市美里町足坂字石田165ー2</t>
  </si>
  <si>
    <t>つおき薬局</t>
  </si>
  <si>
    <t>はね調剤薬局　修成店</t>
  </si>
  <si>
    <t>はね調剤薬局　</t>
  </si>
  <si>
    <t>コスモス薬局　丸の内店</t>
  </si>
  <si>
    <t>クスリのアオキ津河芸薬局</t>
  </si>
  <si>
    <t>たんぽぽ薬局　遠山病院前店</t>
  </si>
  <si>
    <t>健やか薬局高野尾店</t>
  </si>
  <si>
    <t>アクア薬局江戸橋駅前店</t>
  </si>
  <si>
    <t>ウエルシア薬局　津久居中町店</t>
  </si>
  <si>
    <t>ハーモニー薬局</t>
  </si>
  <si>
    <t>コスモス薬局　津城山店</t>
  </si>
  <si>
    <t>ほほえみ薬局</t>
  </si>
  <si>
    <t>高茶屋薬局</t>
  </si>
  <si>
    <t>白塚薬局</t>
  </si>
  <si>
    <t>やさしい薬局</t>
  </si>
  <si>
    <t>日本調剤　江戸橋薬局</t>
  </si>
  <si>
    <t>津市江戸橋一丁目143番2</t>
  </si>
  <si>
    <t>健やか薬局　上津部田店</t>
  </si>
  <si>
    <t>セイムス津垂水薬局</t>
  </si>
  <si>
    <t>津市垂水法ケ広1889番地24</t>
  </si>
  <si>
    <t>アクア薬局藤ケ丘店</t>
  </si>
  <si>
    <t>イオン薬局イオンスタイル津南</t>
  </si>
  <si>
    <t>津市高茶屋小森町145番地</t>
  </si>
  <si>
    <t>ドライブスルーしろやま薬局</t>
  </si>
  <si>
    <t>健やか薬局　明神店</t>
  </si>
  <si>
    <t>フラワー薬局城山店</t>
  </si>
  <si>
    <t>フラワー薬局新町店</t>
  </si>
  <si>
    <t>久居センター薬局</t>
  </si>
  <si>
    <t>津市久居明神町字風早2091番地1</t>
  </si>
  <si>
    <t>フラワー薬局ひまわり店</t>
  </si>
  <si>
    <t>フラワー薬局一志店</t>
  </si>
  <si>
    <t>フラワー薬局西丸之内店</t>
  </si>
  <si>
    <t>フラワー薬局中央店</t>
  </si>
  <si>
    <t>つばめ薬局</t>
  </si>
  <si>
    <t>津市野田字鎌切778番1</t>
  </si>
  <si>
    <t>ペンギン薬局</t>
  </si>
  <si>
    <t>なつめ薬局</t>
  </si>
  <si>
    <t>ユニスマイル薬局　津城山店</t>
  </si>
  <si>
    <t>フラワー薬局栗真店</t>
  </si>
  <si>
    <t>ウエルシア薬局津一志店</t>
  </si>
  <si>
    <t>スギ薬局　津港町店</t>
  </si>
  <si>
    <t>津市港町17番22号</t>
  </si>
  <si>
    <t>健やか薬局津駅西口店</t>
  </si>
  <si>
    <t>久居新町薬局</t>
  </si>
  <si>
    <t>株式会社さわだ薬局津中央店</t>
  </si>
  <si>
    <t>健やか薬局芸濃インター店</t>
  </si>
  <si>
    <t>一志調剤薬局・高野店</t>
  </si>
  <si>
    <t>たんぽぽ薬局　武内病院店</t>
  </si>
  <si>
    <t>津市納所町471番地5</t>
  </si>
  <si>
    <t>ウエルシア薬局イオンタウン津城山店</t>
  </si>
  <si>
    <t>スマイル調剤薬局　三重大学病院前店</t>
  </si>
  <si>
    <t>スマイル調剤薬局　フェニックス店</t>
  </si>
  <si>
    <t>津市乙部５番３号</t>
  </si>
  <si>
    <t>ウエルシア薬局津神納町店</t>
  </si>
  <si>
    <t>津市神納町1番13号</t>
  </si>
  <si>
    <t>一身田薬局</t>
  </si>
  <si>
    <t>しょうなん調剤薬局大園店</t>
  </si>
  <si>
    <t>津市大園町59番25号</t>
  </si>
  <si>
    <t>健やか薬局津生協病院前店</t>
  </si>
  <si>
    <t>スギ薬局　久居元町店</t>
  </si>
  <si>
    <t>津市久居元町2384番地6</t>
  </si>
  <si>
    <t>株式会社　長谷部薬局</t>
  </si>
  <si>
    <t>津市東丸之内18番16号</t>
  </si>
  <si>
    <t>健やか薬局津新町店</t>
  </si>
  <si>
    <t>健やか薬局半田店</t>
  </si>
  <si>
    <t>フラワー薬局白塚店</t>
  </si>
  <si>
    <t>津市白塚町2086</t>
  </si>
  <si>
    <t>クスリのアオキ久居薬局</t>
  </si>
  <si>
    <t>津市久居野村町855番地</t>
  </si>
  <si>
    <t>こうなん薬局　久居野村店</t>
  </si>
  <si>
    <t>健やか薬局城山店</t>
  </si>
  <si>
    <t>津市城山二丁目15番1号</t>
  </si>
  <si>
    <t>山の手こころ薬局</t>
  </si>
  <si>
    <t>はね調剤薬局　津南店</t>
  </si>
  <si>
    <t>津市下弁財町津興3070</t>
  </si>
  <si>
    <t>さかえ調剤薬局</t>
  </si>
  <si>
    <t>津調剤薬局</t>
  </si>
  <si>
    <t>久居調剤薬局</t>
  </si>
  <si>
    <t>フラワー薬局津駅前店</t>
  </si>
  <si>
    <t>津市羽所町345番地　第一ビル1階</t>
  </si>
  <si>
    <t>アイン薬局三重大学病院店</t>
  </si>
  <si>
    <t>津市江戸橋2丁目174</t>
  </si>
  <si>
    <t>ハロー薬局　久居駅メディカルフロア店</t>
  </si>
  <si>
    <t>津市久居新町3006　ポルタひさい2階</t>
  </si>
  <si>
    <t>ハロー薬局　一志店</t>
  </si>
  <si>
    <t>ハロー薬局　津北店</t>
  </si>
  <si>
    <t>健やか薬局　藤ヶ丘店</t>
  </si>
  <si>
    <t>健やか薬局　白塚店</t>
  </si>
  <si>
    <t>阪神調剤薬局　三重大前店</t>
  </si>
  <si>
    <t>津市江戸橋2丁目27</t>
  </si>
  <si>
    <t>コスモス薬局　高岡店</t>
  </si>
  <si>
    <t>有限会社なかや薬局</t>
  </si>
  <si>
    <t>有限会社　金時堂薬局</t>
  </si>
  <si>
    <t>有限会社ヤスオカ薬局</t>
  </si>
  <si>
    <t>有限会社金鈴堂薬局</t>
  </si>
  <si>
    <t>有限会社　やく栄薬局</t>
  </si>
  <si>
    <t>井上薬局</t>
  </si>
  <si>
    <t>みどり薬局</t>
  </si>
  <si>
    <t>アサヒ薬局</t>
  </si>
  <si>
    <t>司生堂薬局</t>
  </si>
  <si>
    <t>水本薬局</t>
  </si>
  <si>
    <t>内山薬局松阪支店</t>
  </si>
  <si>
    <t>松野薬局</t>
  </si>
  <si>
    <t>スズカ調剤薬局五反田店</t>
  </si>
  <si>
    <t>有限会社司生堂薬局　宮町営業所</t>
  </si>
  <si>
    <t>センター薬局　市民病院前店</t>
  </si>
  <si>
    <t>みなみまち薬局</t>
  </si>
  <si>
    <t>みよの台薬局　猟師町店</t>
  </si>
  <si>
    <t>松阪市猟師町字高洲72</t>
  </si>
  <si>
    <t>平野治平薬局</t>
  </si>
  <si>
    <t>なの花薬局宝塚店</t>
  </si>
  <si>
    <t>なの花薬局おかわち店</t>
  </si>
  <si>
    <t>センター薬局　中央病院前店</t>
  </si>
  <si>
    <t>スギ薬局　アドバンスモール松阪店</t>
  </si>
  <si>
    <t>ユニスマイル薬局　松阪下村店</t>
  </si>
  <si>
    <t>センター薬局　済生会病院前店</t>
  </si>
  <si>
    <t>有限会社ヒシナカ薬局</t>
  </si>
  <si>
    <t>有限会社メディファム　めぐみ調剤薬局</t>
  </si>
  <si>
    <t>有限会社　平野薬局</t>
  </si>
  <si>
    <t>松阪市嬉野中川新町四丁目69番</t>
  </si>
  <si>
    <t>ミント薬局</t>
  </si>
  <si>
    <t>さかい薬局</t>
  </si>
  <si>
    <t>万弁堂薬局</t>
  </si>
  <si>
    <t>大五薬局</t>
  </si>
  <si>
    <t>なの花薬局鎌田店</t>
  </si>
  <si>
    <t>まるみ調剤薬局</t>
  </si>
  <si>
    <t>みよの台薬局　嬉野店</t>
  </si>
  <si>
    <t>ベル薬局</t>
  </si>
  <si>
    <t>五反田薬局</t>
  </si>
  <si>
    <t>スギ薬局　嬉野店</t>
  </si>
  <si>
    <t>松阪市嬉野中川新町4丁目145番地</t>
  </si>
  <si>
    <t>スギ薬局　松阪中央店</t>
  </si>
  <si>
    <t>松阪市宮町51番地3</t>
  </si>
  <si>
    <t>調剤薬局キタオカ松阪店</t>
  </si>
  <si>
    <t>セイムス梅村学園前薬局</t>
  </si>
  <si>
    <t>松阪市久保町1456ｰ4</t>
  </si>
  <si>
    <t>さくら薬局　松阪学園前店</t>
  </si>
  <si>
    <t>松阪市駅部田町字七元1015番5</t>
  </si>
  <si>
    <t>小津薬局</t>
  </si>
  <si>
    <t>健やか薬局みくも店</t>
  </si>
  <si>
    <t>スギ薬局　内五曲店</t>
  </si>
  <si>
    <t>松阪市内五曲町90番地１</t>
  </si>
  <si>
    <t>アクア薬局伊勢寺店</t>
  </si>
  <si>
    <t>とよはら薬局</t>
  </si>
  <si>
    <t>花岡調剤薬局</t>
  </si>
  <si>
    <t>たむら薬局</t>
  </si>
  <si>
    <t>日本調剤　松阪薬局</t>
  </si>
  <si>
    <t>のぞみ薬局</t>
  </si>
  <si>
    <t>なの花薬局　松阪目田店</t>
  </si>
  <si>
    <t>かいばな調剤薬局</t>
  </si>
  <si>
    <t>クスリのアオキ松阪中央薬局</t>
  </si>
  <si>
    <t>ひかり薬局</t>
  </si>
  <si>
    <t>ウエルシア薬局松阪川井店</t>
  </si>
  <si>
    <t>松阪市川井町上大坪718</t>
  </si>
  <si>
    <t>ウエルシア薬局松阪中道町店</t>
  </si>
  <si>
    <t>松阪市中道町字中野田485</t>
  </si>
  <si>
    <t>アクア薬局宮前店</t>
  </si>
  <si>
    <t>健やか薬局くろべ店</t>
  </si>
  <si>
    <t>スギ薬局　松阪川井町店</t>
  </si>
  <si>
    <t>松阪市川井町1006番地1</t>
  </si>
  <si>
    <t>ウエルシア薬局　松阪下村店</t>
  </si>
  <si>
    <t>松阪市下村町字西ノ庄862番地2</t>
  </si>
  <si>
    <t>健やか薬局　春日町店</t>
  </si>
  <si>
    <t>健やか薬局川井町店</t>
  </si>
  <si>
    <t>クスリのアオキ松阪川井町薬局</t>
  </si>
  <si>
    <t>スギ薬局　松阪南店</t>
  </si>
  <si>
    <t>松阪市駅部田町513番地6</t>
  </si>
  <si>
    <t>やまゆり薬局</t>
  </si>
  <si>
    <t>ユニスマイル薬局　うれしの店</t>
  </si>
  <si>
    <t>松阪市嬉野中川町843番地4</t>
  </si>
  <si>
    <t>アクア薬局　大黒田店</t>
  </si>
  <si>
    <t>コスモス薬局みくも店</t>
  </si>
  <si>
    <t>健やか薬局上川店</t>
  </si>
  <si>
    <t>健やか薬局中川店</t>
  </si>
  <si>
    <t>クスリのアオキ嬉野中川薬局</t>
  </si>
  <si>
    <t>健やか薬局うれしの店</t>
  </si>
  <si>
    <t>チェリー調剤薬局　松阪店</t>
  </si>
  <si>
    <t>アール薬局</t>
  </si>
  <si>
    <t>セイムス松阪船江薬局</t>
  </si>
  <si>
    <t>スギ薬局　嬉野東店</t>
  </si>
  <si>
    <t>松阪市嬉野中川新町四丁目187番地</t>
  </si>
  <si>
    <t>アクア薬局京町店</t>
  </si>
  <si>
    <t>ユニスマイル薬局　いざわ店</t>
  </si>
  <si>
    <t>スマイル調剤薬局　下村店</t>
  </si>
  <si>
    <t>健やか薬局　虹が丘店</t>
  </si>
  <si>
    <t>松阪市上川町215番地1</t>
  </si>
  <si>
    <t>あひる薬局</t>
  </si>
  <si>
    <t>鎌田薬局</t>
  </si>
  <si>
    <t>南牟婁郡御浜町阿田和4735</t>
  </si>
  <si>
    <t>アクア薬局川井町店</t>
  </si>
  <si>
    <t>健やか薬局内五曲店</t>
  </si>
  <si>
    <t>松阪市内五曲町22</t>
  </si>
  <si>
    <t>しましま薬局</t>
  </si>
  <si>
    <t>クスリのアオキ松阪三雲薬局</t>
  </si>
  <si>
    <t>松阪市小舟江町245番地1</t>
  </si>
  <si>
    <t>はあと薬局　大黒田店</t>
  </si>
  <si>
    <t>はあと薬局　鎌田店</t>
  </si>
  <si>
    <t>はあと薬局　在宅センター店</t>
  </si>
  <si>
    <t>はあと薬局</t>
  </si>
  <si>
    <t>イオン薬局松阪船江店</t>
  </si>
  <si>
    <t>ほのぼの薬局</t>
  </si>
  <si>
    <t>松阪市曽原町403番4</t>
  </si>
  <si>
    <t>伊勢調剤薬局　岩渕店</t>
  </si>
  <si>
    <t>有限会社昭和薬局</t>
  </si>
  <si>
    <t>新生堂薬局</t>
  </si>
  <si>
    <t>イワオ薬局　楠部店</t>
  </si>
  <si>
    <t>みどり調剤薬局岩渕店</t>
  </si>
  <si>
    <t>こうだ調剤薬局</t>
  </si>
  <si>
    <t>なかむら調剤薬局</t>
  </si>
  <si>
    <t>有限会社　いなばや薬局</t>
  </si>
  <si>
    <t>伊勢市二俣1丁目15番5号</t>
  </si>
  <si>
    <t>イワオ薬局　小木店</t>
  </si>
  <si>
    <t>チェリー調剤薬局　黒瀬店</t>
  </si>
  <si>
    <t>高村調剤薬局</t>
  </si>
  <si>
    <t>なの花薬局小俣店</t>
  </si>
  <si>
    <t>おかげ薬局　伊勢病院前店</t>
  </si>
  <si>
    <t>コスモス薬局上地店</t>
  </si>
  <si>
    <t>伊勢調剤薬局　八間通店</t>
  </si>
  <si>
    <t>イワオ薬局　浦口店</t>
  </si>
  <si>
    <t>明倫堂伊勢薬局</t>
  </si>
  <si>
    <t>ファインズファルマ薬局ときわ店</t>
  </si>
  <si>
    <t>明倫堂宮町薬局</t>
  </si>
  <si>
    <t>みどり調剤薬局一之木店</t>
  </si>
  <si>
    <t>スギ薬局　伊勢小木店</t>
  </si>
  <si>
    <t>伊勢市御薗町新開752番地1</t>
  </si>
  <si>
    <t>スギ薬局　伊勢小俣店</t>
  </si>
  <si>
    <t>伊勢市小俣町相合445番地</t>
  </si>
  <si>
    <t>スギ薬局　伊勢宮後店</t>
  </si>
  <si>
    <t>伊勢市宮後3丁目8番56号</t>
  </si>
  <si>
    <t>健やか薬局　神社店</t>
  </si>
  <si>
    <t>さくら薬局　伊勢小俣店</t>
  </si>
  <si>
    <t>さくら薬局　伊勢八間通店</t>
  </si>
  <si>
    <t>さくら薬局　伊勢御薗店</t>
  </si>
  <si>
    <t>伊勢市御薗町長屋2212</t>
  </si>
  <si>
    <t>伊勢調剤薬局　神久店</t>
  </si>
  <si>
    <t>イワオ薬局　日赤前　ミタス伊勢店</t>
  </si>
  <si>
    <t>日本調剤　ミタス伊勢薬局</t>
  </si>
  <si>
    <t>調剤薬局二見ファーマシー</t>
  </si>
  <si>
    <t>なの花薬局小俣本町店</t>
  </si>
  <si>
    <t>ココカラファイン薬局　日赤前店</t>
  </si>
  <si>
    <t>伊勢市船江1丁目10番10号</t>
  </si>
  <si>
    <t>ココカラファイン薬局　ミタス伊勢店</t>
  </si>
  <si>
    <t>ココカラファイン薬局小俣店</t>
  </si>
  <si>
    <t>伊勢市小俣町元町506</t>
  </si>
  <si>
    <t>なの花薬局勢田店</t>
  </si>
  <si>
    <t>いわぶち・調剤薬局</t>
  </si>
  <si>
    <t>みどり調剤薬局倉田山店</t>
  </si>
  <si>
    <t>調剤薬局キタオカ宮後店</t>
  </si>
  <si>
    <t>健やか薬局　ひじり岡本店</t>
  </si>
  <si>
    <t>ウエルシア薬局　伊勢小俣店</t>
  </si>
  <si>
    <t>伊勢市小俣町元町416</t>
  </si>
  <si>
    <t>ウエルシア薬局伊勢河崎店</t>
  </si>
  <si>
    <t>いせ本町薬局</t>
  </si>
  <si>
    <t>三光薬局</t>
  </si>
  <si>
    <t>コスモス薬局　一之木店</t>
  </si>
  <si>
    <t>コスモス薬局　神田久志本店</t>
  </si>
  <si>
    <t>在宅医療対応型薬局　ひかりファーマシー</t>
  </si>
  <si>
    <t>コスモス薬局　こうせい店</t>
  </si>
  <si>
    <t>すこやか薬局</t>
  </si>
  <si>
    <t>ウエルシア薬局伊勢宮町店</t>
  </si>
  <si>
    <t>イオン薬局　伊勢店</t>
  </si>
  <si>
    <t>伊勢調剤薬局　一之木店</t>
  </si>
  <si>
    <t>フラワー薬局やまとまち店</t>
  </si>
  <si>
    <t>クスリのアオキ黒瀬薬局</t>
  </si>
  <si>
    <t>コスモス調剤薬局　伊勢小木店</t>
  </si>
  <si>
    <t>ときわ薬局</t>
  </si>
  <si>
    <t>コスモス薬局　みその店</t>
  </si>
  <si>
    <t>大湊薬局</t>
  </si>
  <si>
    <t>ウエルシア薬局イオンタウン伊勢ララパーク店</t>
  </si>
  <si>
    <t>伊勢市小木町曽祢538</t>
  </si>
  <si>
    <t>アイン薬局伊勢ひかり病院店</t>
  </si>
  <si>
    <t>伊勢市御薗町高向810番21</t>
  </si>
  <si>
    <t>スマイル薬局　伊勢病院前店</t>
  </si>
  <si>
    <t>伊勢市楠部町3039</t>
  </si>
  <si>
    <t>くすき調剤薬局</t>
  </si>
  <si>
    <t>伊勢市小木町471番地1</t>
  </si>
  <si>
    <t>ひかりハート薬局</t>
  </si>
  <si>
    <t>ラッコ薬局</t>
  </si>
  <si>
    <t>伊勢市一之木4丁目1番29号</t>
  </si>
  <si>
    <t>チェリー調剤薬局　あけの店</t>
  </si>
  <si>
    <t>ウエルシア薬局伊勢二見店</t>
  </si>
  <si>
    <t>伊勢市二見町山田原41</t>
  </si>
  <si>
    <t>健やか薬局小俣店</t>
  </si>
  <si>
    <t>伊勢市小俣町本町3532番</t>
  </si>
  <si>
    <t>健やか薬局神久店</t>
  </si>
  <si>
    <t>伊勢市神久2丁目1番14号</t>
  </si>
  <si>
    <t>藤里薬局</t>
  </si>
  <si>
    <t>スギ薬局　伊勢船江店</t>
  </si>
  <si>
    <t>伊勢市船江2丁目4番25号</t>
  </si>
  <si>
    <t>クスリのアオキ馬瀬薬局</t>
  </si>
  <si>
    <t>伊勢市馬瀬町17番地1</t>
  </si>
  <si>
    <t>クスリのアオキ小俣薬局</t>
  </si>
  <si>
    <t>伊勢市小俣町明野1882番地1</t>
  </si>
  <si>
    <t>ライフ薬局　西豊浜店</t>
  </si>
  <si>
    <t>村田調剤薬局　ハート店</t>
  </si>
  <si>
    <t>宮後ひよこ薬局</t>
  </si>
  <si>
    <t>村田調剤薬局　うらのはし店</t>
  </si>
  <si>
    <t>いせ一之木薬局</t>
  </si>
  <si>
    <t>伊勢市一之木2丁目12番10号</t>
  </si>
  <si>
    <t>外宮前薬局</t>
  </si>
  <si>
    <t>伊勢市河崎二丁目322番地7</t>
  </si>
  <si>
    <t>村田薬局</t>
  </si>
  <si>
    <t>うえむら薬局</t>
  </si>
  <si>
    <t>村田薬局　ハロー店</t>
  </si>
  <si>
    <t>イシブチ薬局</t>
  </si>
  <si>
    <t>イシブチ薬局　古戸センター</t>
  </si>
  <si>
    <t>山下薬局</t>
  </si>
  <si>
    <t>紀北調剤薬局　病院前店</t>
  </si>
  <si>
    <t>イシブチ薬局　大滝店</t>
  </si>
  <si>
    <t>かもじや薬局</t>
  </si>
  <si>
    <t>山下薬局　林町店</t>
  </si>
  <si>
    <t>みやおか薬局</t>
  </si>
  <si>
    <t>清川薬局サレド店</t>
  </si>
  <si>
    <t>セイムス尾鷲古戸薬局</t>
  </si>
  <si>
    <t>くろだ薬局</t>
  </si>
  <si>
    <t>ここのき薬局</t>
  </si>
  <si>
    <t>キタノ薬局</t>
  </si>
  <si>
    <t>ナカニシ薬局</t>
  </si>
  <si>
    <t>きのくに薬局</t>
  </si>
  <si>
    <t>ひのき薬局</t>
  </si>
  <si>
    <t>いぶき薬局</t>
  </si>
  <si>
    <t>あたしか薬局</t>
  </si>
  <si>
    <t>うまどめ薬局</t>
  </si>
  <si>
    <t>セイムス熊野有馬薬局</t>
  </si>
  <si>
    <t>熊野市有馬町松原5009</t>
  </si>
  <si>
    <t>有限会社井本薬局</t>
  </si>
  <si>
    <t>岡森薬局</t>
  </si>
  <si>
    <t>ヒロタ薬局</t>
  </si>
  <si>
    <t>長尾調剤薬局</t>
  </si>
  <si>
    <t>城北薬局</t>
  </si>
  <si>
    <t>銀座薬局</t>
  </si>
  <si>
    <t>第一調剤（株）村田調剤薬局　桑町店</t>
  </si>
  <si>
    <t>伊賀市平野城北町124</t>
  </si>
  <si>
    <t>薬局有限会社山城屋大薬房</t>
  </si>
  <si>
    <t>わかくさ薬局　青山駅前店</t>
  </si>
  <si>
    <t>スギ薬局　伊賀上野店</t>
  </si>
  <si>
    <t>伊賀市平野城北町96番地</t>
  </si>
  <si>
    <t>いなこ保険薬局</t>
  </si>
  <si>
    <t>つくし薬局</t>
  </si>
  <si>
    <t>まちかど薬局</t>
  </si>
  <si>
    <t>いが調剤薬局</t>
  </si>
  <si>
    <t>ココカラファイン薬局　緑ヶ丘店</t>
  </si>
  <si>
    <t>伊賀市緑ヶ丘本町1676</t>
  </si>
  <si>
    <t>きりがおか保険薬局</t>
  </si>
  <si>
    <t>しのぶ調剤薬局</t>
  </si>
  <si>
    <t>おはよう薬局　服部店</t>
  </si>
  <si>
    <t>ゆめがおか薬局</t>
  </si>
  <si>
    <t>上野センター薬局</t>
  </si>
  <si>
    <t>スマイルさなぐ薬局</t>
  </si>
  <si>
    <t>伊賀市佐那具町790</t>
  </si>
  <si>
    <t>アイン薬局伊賀上野店</t>
  </si>
  <si>
    <t>アイン薬局阿山店</t>
  </si>
  <si>
    <t>なかよし調剤薬局青山店</t>
  </si>
  <si>
    <t>伊賀市別府151</t>
  </si>
  <si>
    <t>クスリのアオキ平野東薬局</t>
  </si>
  <si>
    <t>伊賀市平野東町150番地3</t>
  </si>
  <si>
    <t>フラワー薬局上野中央店</t>
  </si>
  <si>
    <t>フラワー薬局伊賀店</t>
  </si>
  <si>
    <t>フラワー薬局柘植店</t>
  </si>
  <si>
    <t>フラワー薬局島ヶ原店</t>
  </si>
  <si>
    <t>フラワー薬局青山店</t>
  </si>
  <si>
    <t>フラワー薬局服部店</t>
  </si>
  <si>
    <t>フラワー薬局　土橋店</t>
  </si>
  <si>
    <t>おりがみ薬局</t>
  </si>
  <si>
    <t>スギ薬局　伊賀中央店</t>
  </si>
  <si>
    <t>伊賀市上野茅町2725番地1</t>
  </si>
  <si>
    <t>くわまち薬局</t>
  </si>
  <si>
    <t>スマイル薬局ゆめが丘店</t>
  </si>
  <si>
    <t>つげ薬局</t>
  </si>
  <si>
    <t>フラワー薬局岡波総合病院前店</t>
  </si>
  <si>
    <t>はっとり薬局</t>
  </si>
  <si>
    <t>クスリのアオキ伊賀上野薬局</t>
  </si>
  <si>
    <t>伊賀市久米町691番地1</t>
  </si>
  <si>
    <t>さなぐ調剤薬局</t>
  </si>
  <si>
    <t>伊賀市佐那具町963番４</t>
  </si>
  <si>
    <t>おみなえし調剤薬局</t>
  </si>
  <si>
    <t>田中余以徳斉薬局</t>
  </si>
  <si>
    <t>堀内薬局</t>
  </si>
  <si>
    <t>赤井薬局　鴻之台店</t>
  </si>
  <si>
    <t>わかくさ薬局　</t>
  </si>
  <si>
    <t>薬局サンキュードラッグ</t>
  </si>
  <si>
    <t>赤井薬局　中央店</t>
  </si>
  <si>
    <t>イオン薬局名張店</t>
  </si>
  <si>
    <t>名張市元町376</t>
  </si>
  <si>
    <t>クローバー調剤薬局</t>
  </si>
  <si>
    <t>エンゼル薬局　名張店</t>
  </si>
  <si>
    <t>名張市鴻之台2番町41</t>
  </si>
  <si>
    <t>ジップドラッグ桔梗が丘薬局</t>
  </si>
  <si>
    <t>畿央薬局　本店</t>
  </si>
  <si>
    <t>赤井薬局　桔梗が丘店</t>
  </si>
  <si>
    <t>畿央薬局　桔梗駅前店</t>
  </si>
  <si>
    <t>ききょう薬局</t>
  </si>
  <si>
    <t>畿央薬局　名張旧町店</t>
  </si>
  <si>
    <t>なの花薬局名張市立病院前店</t>
  </si>
  <si>
    <t>なの花薬局名張夏見店</t>
  </si>
  <si>
    <t>名張市夏見3270</t>
  </si>
  <si>
    <t>アップルプラス薬局</t>
  </si>
  <si>
    <t>畿央徳山薬局</t>
  </si>
  <si>
    <t>畿央薬局　中央店</t>
  </si>
  <si>
    <t>名張市希央台4番町23番地</t>
  </si>
  <si>
    <t>さつき薬局　三重名張店</t>
  </si>
  <si>
    <t>アイン薬局名張希央台店</t>
  </si>
  <si>
    <t>フラワー薬局桔梗が丘店</t>
  </si>
  <si>
    <t>フラワー薬局夏見店</t>
  </si>
  <si>
    <t>しらゆり薬局夏見店</t>
  </si>
  <si>
    <t>フラワー薬局桔梗が丘中央店</t>
  </si>
  <si>
    <t>スギ薬局　名張店</t>
  </si>
  <si>
    <t>名張市蔵持町芝出1301番地</t>
  </si>
  <si>
    <t>畿央薬局　こうのだい店</t>
  </si>
  <si>
    <t>矢の五薬局　希央台店</t>
  </si>
  <si>
    <t>精養軒薬局</t>
  </si>
  <si>
    <t>つむぎ薬局</t>
  </si>
  <si>
    <t>フラワー薬局名張東店</t>
  </si>
  <si>
    <t>名張市鴻之台1番町16</t>
  </si>
  <si>
    <t>畿央川口薬局</t>
  </si>
  <si>
    <t>名張市つつじが丘北5番町29番8</t>
  </si>
  <si>
    <t>名張市希央台4番町6番地</t>
  </si>
  <si>
    <t>はった薬局</t>
  </si>
  <si>
    <t>エンゼル薬局　大安店</t>
  </si>
  <si>
    <t>いなべ調剤薬局</t>
  </si>
  <si>
    <t>ふじわら調剤薬局</t>
  </si>
  <si>
    <t>（有）かわはし　かわはし薬局　員弁店</t>
  </si>
  <si>
    <t>スギ薬局　北勢店</t>
  </si>
  <si>
    <t>いなべ市北勢町阿下喜3326</t>
  </si>
  <si>
    <t>パンプキン薬局</t>
  </si>
  <si>
    <t>ファミリーサポート薬局あげき店</t>
  </si>
  <si>
    <t>あじさい薬局北勢店</t>
  </si>
  <si>
    <t>おうだ調剤薬局</t>
  </si>
  <si>
    <t>いなべ市北勢町麻生田3594番1</t>
  </si>
  <si>
    <t>ほくせい調剤薬局</t>
  </si>
  <si>
    <t>キョーワ薬局　いなべ店</t>
  </si>
  <si>
    <t>アイン薬局いなべ店</t>
  </si>
  <si>
    <t>いなべ市北勢町阿下喜771三重北医療センターいなべ総合病院別館1階</t>
  </si>
  <si>
    <t>スギ薬局　いなべ店</t>
  </si>
  <si>
    <t>いなべ市北勢町麻生田3607番地1</t>
  </si>
  <si>
    <t>かずみ内科・消化器内科クリニック</t>
  </si>
  <si>
    <t>いなべ市北勢町麻生田3593番地2</t>
  </si>
  <si>
    <t>ネオ薬局</t>
  </si>
  <si>
    <t>とういん調剤薬局</t>
  </si>
  <si>
    <t>ファミリーサポート薬局</t>
  </si>
  <si>
    <t>モリワキ薬局</t>
  </si>
  <si>
    <t>チェリー調剤薬局　東員店</t>
  </si>
  <si>
    <t>イオン薬局東員店</t>
  </si>
  <si>
    <t>員弁郡東員町大字長深字築田510番地1</t>
  </si>
  <si>
    <t>ウエルシア薬局　東員町山田店</t>
  </si>
  <si>
    <t>員弁郡東員町大字山田2898番地1</t>
  </si>
  <si>
    <t>わかば薬局</t>
  </si>
  <si>
    <t>みつばち薬局</t>
  </si>
  <si>
    <t>さんあい薬局株式会社　東員店</t>
  </si>
  <si>
    <t>コモノ薬局ピアゴ店</t>
  </si>
  <si>
    <t>善快堂かわごえ薬局</t>
  </si>
  <si>
    <t>四日市調剤薬局　とみすはら店</t>
  </si>
  <si>
    <t>小梅薬局</t>
  </si>
  <si>
    <t>スギヤマ薬局菰野店</t>
  </si>
  <si>
    <t>緑の調剤薬局</t>
  </si>
  <si>
    <t>スギ薬局　菰野店</t>
  </si>
  <si>
    <t>三重郡菰野町大字宿野361番地5</t>
  </si>
  <si>
    <t>あゆみ調剤薬局　あさひ店</t>
  </si>
  <si>
    <t>エンゼル薬局　大羽根店</t>
  </si>
  <si>
    <t>さんあい薬局株式会社　朝上店</t>
  </si>
  <si>
    <t>ファーマライズ薬局　菰野店</t>
  </si>
  <si>
    <t>コモノ薬局　永井店</t>
  </si>
  <si>
    <t>三重郡菰野町永井3818</t>
  </si>
  <si>
    <t>ナロー薬局川越店</t>
  </si>
  <si>
    <t>そわか薬局</t>
  </si>
  <si>
    <t>けやき薬局</t>
  </si>
  <si>
    <t>キョーワ薬局　菰野店</t>
  </si>
  <si>
    <t>メープル薬局</t>
  </si>
  <si>
    <t>三重郡菰野町小島14番4</t>
  </si>
  <si>
    <t>クスリのアオキ菰野薬局</t>
  </si>
  <si>
    <t>三重郡菰野町大字永井3093番地30</t>
  </si>
  <si>
    <t>スギ薬局　菰野西店</t>
  </si>
  <si>
    <t>三重郡菰野町大字潤田839番地1</t>
  </si>
  <si>
    <t>V・drug川越富洲原薬局</t>
  </si>
  <si>
    <t>勝栄堂薬局</t>
  </si>
  <si>
    <t>伊藤大黒堂薬局</t>
  </si>
  <si>
    <t>なの花薬局金剛坂店</t>
  </si>
  <si>
    <t>つじさい薬局大淀寺前店</t>
  </si>
  <si>
    <t>イオン薬局  明和店</t>
  </si>
  <si>
    <t>多気郡明和町中村1223</t>
  </si>
  <si>
    <t>チェリー調剤薬局　明和店</t>
  </si>
  <si>
    <t>なの花薬局斎宮店</t>
  </si>
  <si>
    <t>ユニスマイル薬局　おおだい</t>
  </si>
  <si>
    <t>株式会社さわだ薬局　栃原店</t>
  </si>
  <si>
    <t>株式会社さわだ薬局　相可店</t>
  </si>
  <si>
    <t>健やか薬局　明和店</t>
  </si>
  <si>
    <t>はあと薬局　大台店</t>
  </si>
  <si>
    <t>クスリのアオキ明和薬局</t>
  </si>
  <si>
    <t>多気郡明和町大字馬之上942番地4</t>
  </si>
  <si>
    <t>村田調剤薬局　大台店</t>
  </si>
  <si>
    <t>成瀬薬局</t>
  </si>
  <si>
    <t>南勢調剤薬局</t>
  </si>
  <si>
    <t>有限会社かんひちや薬局病院前店</t>
  </si>
  <si>
    <t>宿田曽調剤薬局</t>
  </si>
  <si>
    <t>玉城調剤薬局　病院前店</t>
  </si>
  <si>
    <t>株式会社さわだ薬局　栄町店</t>
  </si>
  <si>
    <t>スギ薬局　玉城店</t>
  </si>
  <si>
    <t>度会郡玉城町勝田橋上4872スーパーグッデイ内</t>
  </si>
  <si>
    <t>みよの台薬局　桃の木店</t>
  </si>
  <si>
    <t>さくら薬局　伊勢度会店</t>
  </si>
  <si>
    <t>度会郡度会町大野木字新田2812</t>
  </si>
  <si>
    <t>さくら薬局　伊勢玉城店</t>
  </si>
  <si>
    <t>度会郡玉城町玉川287番地4</t>
  </si>
  <si>
    <t>みなと薬局</t>
  </si>
  <si>
    <t>中村調剤薬局</t>
  </si>
  <si>
    <t>フラワー薬局玉城店</t>
  </si>
  <si>
    <t>ぺんぎん薬局</t>
  </si>
  <si>
    <t>クスリのアオキ度会薬局</t>
  </si>
  <si>
    <t>度会郡度会町大野木1874番地1</t>
  </si>
  <si>
    <t>鵜方調剤薬局</t>
  </si>
  <si>
    <t>伊藤薬局</t>
  </si>
  <si>
    <t>ヤマジ薬局</t>
  </si>
  <si>
    <t>けんざん薬局志摩店</t>
  </si>
  <si>
    <t>伊勢調剤薬局　磯部店</t>
  </si>
  <si>
    <t>けんざん薬局和具店</t>
  </si>
  <si>
    <t>有限会社　とばや薬局</t>
  </si>
  <si>
    <t>かんひちや薬局　鵜方店</t>
  </si>
  <si>
    <t>志摩調剤薬局</t>
  </si>
  <si>
    <t>調剤薬局キタオカ</t>
  </si>
  <si>
    <t>けんざん薬局さきしま店</t>
  </si>
  <si>
    <t>さくら薬局　志摩鵜方店</t>
  </si>
  <si>
    <t>志摩市阿児町鵜方3126番17</t>
  </si>
  <si>
    <t>かんひちや薬局　南張店</t>
  </si>
  <si>
    <t>かんひちや薬局　甲賀店</t>
  </si>
  <si>
    <t>ひかり調剤薬局</t>
  </si>
  <si>
    <t>かんひちや薬局　越賀店</t>
  </si>
  <si>
    <t>ファーマライズ薬局　恵利原店</t>
  </si>
  <si>
    <t>ファーマライズ薬局　磯部店</t>
  </si>
  <si>
    <t>アクア薬局浜島店</t>
  </si>
  <si>
    <t>ココカラファイン薬局　阿児店</t>
  </si>
  <si>
    <t>志摩市阿児町鵜方中之河内4873</t>
  </si>
  <si>
    <t>志摩センター薬局</t>
  </si>
  <si>
    <t>大木薬局　鵜方店</t>
  </si>
  <si>
    <t>大木薬局　浜島店</t>
  </si>
  <si>
    <t>志摩市浜島町浜島3219</t>
  </si>
  <si>
    <t>村田調剤薬局鵜方店</t>
  </si>
  <si>
    <t>紀北調剤薬局　紀伊長島支店</t>
  </si>
  <si>
    <t>きいながしま駅前薬局</t>
  </si>
  <si>
    <t>イシブチ薬局　引本店</t>
  </si>
  <si>
    <t>ココカラファイン薬局紀伊長島店</t>
  </si>
  <si>
    <t>北牟婁郡紀北町東長島字中道588</t>
  </si>
  <si>
    <t>北牟婁郡紀北町相賀1942番地5</t>
  </si>
  <si>
    <t>ヒガシ薬局　</t>
  </si>
  <si>
    <t>日本調剤　御浜薬局</t>
  </si>
  <si>
    <t>ヒガシ薬局　尾呂志店</t>
  </si>
  <si>
    <t>神志山駅前薬局</t>
  </si>
  <si>
    <t>あたわ調剤薬局</t>
  </si>
  <si>
    <t>どんぐりの森薬局</t>
  </si>
  <si>
    <t>紀南調剤薬局</t>
  </si>
  <si>
    <t>調剤薬局花みかん</t>
  </si>
  <si>
    <t>調剤薬局花みかん　つるこ店</t>
  </si>
  <si>
    <t>ヨナハ訪問看護ステーション</t>
  </si>
  <si>
    <t>訪問看護ステーション　青木記念病院</t>
  </si>
  <si>
    <t>桑名医師会立訪問看護ステーションえがお</t>
  </si>
  <si>
    <t>ナーシングホームもも桑名</t>
  </si>
  <si>
    <t>訪問看護リハビリステーションはぁちゃん</t>
  </si>
  <si>
    <t>介護ネットグリーン訪問看護リハビリステーション</t>
  </si>
  <si>
    <t>訪問看護ステーションわかば</t>
  </si>
  <si>
    <t>訪問看護ステーションれんげの里</t>
  </si>
  <si>
    <t>桑名市大字蓮花寺825番地33</t>
  </si>
  <si>
    <t>さとうクリニック訪問看護ステーション</t>
  </si>
  <si>
    <t>ねむの花　訪問ナースステーション</t>
  </si>
  <si>
    <t>桑名市星見ヶ丘3丁目805</t>
  </si>
  <si>
    <t>訪問看護ＳＮ’Ｕｐ桑名</t>
  </si>
  <si>
    <t>れんか訪問看護ステーション</t>
  </si>
  <si>
    <t>桑名市伝馬町49</t>
  </si>
  <si>
    <t>ナーシング桑名</t>
  </si>
  <si>
    <t>訪問看護ステーションライブリー</t>
  </si>
  <si>
    <t>訪問看護ステーション　デューン桑名</t>
  </si>
  <si>
    <t>桑名市末広町10番　オリーブビル3F</t>
  </si>
  <si>
    <t>訪問看護ステーション　咲く</t>
  </si>
  <si>
    <t>訪問看護ステーションひかり</t>
  </si>
  <si>
    <t>桑名市柳原121番地1　NOZAWAビル2階</t>
  </si>
  <si>
    <t>訪問看護あんじゅ</t>
  </si>
  <si>
    <t>桑名市福島936</t>
  </si>
  <si>
    <t>訪問看護ステーションゆあん</t>
  </si>
  <si>
    <t>桑名市長島町福吉154番地</t>
  </si>
  <si>
    <t>訪問看護ステーションしらゆりケア桑名能部</t>
  </si>
  <si>
    <t>桑名市大字能部字北貝戸602番4</t>
  </si>
  <si>
    <t>ケアリール訪問看護ステーション　額田</t>
  </si>
  <si>
    <t>桑名市額田546　ザ・クイーンビクトリア　E号室</t>
  </si>
  <si>
    <t>四日市医師会訪問看護ステーション</t>
  </si>
  <si>
    <t>ときわ訪問看護ステーション</t>
  </si>
  <si>
    <t>訪問看護　浜っこステーション</t>
  </si>
  <si>
    <t>みたき在宅ケアセンター</t>
  </si>
  <si>
    <t>訪問看護ステーション　プロセスケア</t>
  </si>
  <si>
    <t>訪問看護リハビリステーションあすか</t>
  </si>
  <si>
    <t>指定訪問看護事業所ぶどうの家</t>
  </si>
  <si>
    <t>ナーシングホームもも四日市</t>
  </si>
  <si>
    <t>ゴールドエイジ訪問看護ステーション</t>
  </si>
  <si>
    <t>ナースカンパニー</t>
  </si>
  <si>
    <t>みえ医療福祉生協　訪問看護ステーションいくわ</t>
  </si>
  <si>
    <t>訪問看護ステーションしらかば</t>
  </si>
  <si>
    <t>独立行政法人　地域医療機能推進機構　四日市羽津医療センター附属訪問看護ステーション</t>
  </si>
  <si>
    <t>訪問看護ステーションオリーブ</t>
  </si>
  <si>
    <t>リウォーク新正訪問看護リハビリステーション</t>
  </si>
  <si>
    <t>ハピナス訪問看護ステーション</t>
  </si>
  <si>
    <t>訪問看護ステーションしらゆりケア</t>
  </si>
  <si>
    <t>ケアーズ訪問看護リハビリステーションあやめ</t>
  </si>
  <si>
    <t>訪問看護ステーション　デューン四日市</t>
  </si>
  <si>
    <t>訪問看護ステーション　くす</t>
  </si>
  <si>
    <t>訪問看護ステーション　よいかん四日市</t>
  </si>
  <si>
    <t>訪問看護ステーション　暖蘭</t>
  </si>
  <si>
    <t>サンライズ訪問看護ステーション</t>
  </si>
  <si>
    <t>訪問看護ＳＮ’Ｕｐ（スナップ）</t>
  </si>
  <si>
    <t>セントケア訪問看護ステーション四日市</t>
  </si>
  <si>
    <t>四日市市新正4丁目7番5号</t>
  </si>
  <si>
    <t>訪問看護ステーションあやめ四日市</t>
  </si>
  <si>
    <t>訪問看護ステーションえいむ</t>
  </si>
  <si>
    <t>訪問看護リハステーション春</t>
  </si>
  <si>
    <t>医心館　訪問看護ステーション　四日市Ⅱ</t>
  </si>
  <si>
    <t>一燈訪問看護ステーション</t>
  </si>
  <si>
    <t>訪問看護ステーションROCCO</t>
  </si>
  <si>
    <t>訪問看護ステーション想桜</t>
  </si>
  <si>
    <t>みんなのかかりつけ訪問看護ステーション四日市</t>
  </si>
  <si>
    <t>訪問看護ステーション結び</t>
  </si>
  <si>
    <t>訪問看護ステーションこころ</t>
  </si>
  <si>
    <t>四日市市東坂部町53番地1</t>
  </si>
  <si>
    <t>訪問看護リハビリステーションGreen</t>
  </si>
  <si>
    <t>あるふぁ訪問看護ST</t>
  </si>
  <si>
    <t>訪問看護ステーションしらゆりケア四日市北</t>
  </si>
  <si>
    <t>訪問看護ステーション　にっこり山城</t>
  </si>
  <si>
    <t>四日市市山城町1014番地</t>
  </si>
  <si>
    <t>訪問看護ステーション夢眠よっかいち</t>
  </si>
  <si>
    <t>訪問看護ステーション　シェルホーム</t>
  </si>
  <si>
    <t>訪問看護ステーション　プロケア</t>
  </si>
  <si>
    <t>アクア大治田訪問看護</t>
  </si>
  <si>
    <t>四日市市大治田3丁目1番32号</t>
  </si>
  <si>
    <t>訪問看護リハビリステーションはぁちゃん四日市</t>
  </si>
  <si>
    <t>訪問看護ステーションむぎわら家</t>
  </si>
  <si>
    <t>四日市市松寺1丁目５番29号</t>
  </si>
  <si>
    <t>訪問看護ステーション　ベル・ティアラ</t>
  </si>
  <si>
    <t>ケアヒルズ訪問看護ステーション</t>
  </si>
  <si>
    <t>訪問看護リベル　四日市</t>
  </si>
  <si>
    <t>訪問看護リベル　四日市あさけ</t>
  </si>
  <si>
    <t>訪問看護ステーション　アルテハイム鈴鹿</t>
  </si>
  <si>
    <t>村瀬病院　訪問看護ステーションひまわり</t>
  </si>
  <si>
    <t>鈴鹿中央病院訪問看護ステーション</t>
  </si>
  <si>
    <t>鈴鹿市安塚町山之花1275番地184</t>
  </si>
  <si>
    <t>三重県厚生農業協同組合連合会　訪問看護ステーションあるく</t>
  </si>
  <si>
    <t>訪問看護リハビリステーション桜</t>
  </si>
  <si>
    <t>Resora訪問看護リハビリステーション</t>
  </si>
  <si>
    <t>医療法人　鈴桜会　訪問看護ステーション　れいおう</t>
  </si>
  <si>
    <t>訪問看護ステーション　よつ葉　すずか</t>
  </si>
  <si>
    <t>訪問看護ステーションオレンジ</t>
  </si>
  <si>
    <t>訪問看護ステーションあやめ鈴鹿</t>
  </si>
  <si>
    <t>訪問看護ステーション桜の森</t>
  </si>
  <si>
    <t>訪問看護ステーションひなたぼっこ</t>
  </si>
  <si>
    <t>鈴鹿市岸岡町3078番地の8</t>
  </si>
  <si>
    <t>訪問看護リハビリステーションダリア</t>
  </si>
  <si>
    <t>訪問看護ステーション　サニー</t>
  </si>
  <si>
    <t>訪問看護ステーション夢眠すずか</t>
  </si>
  <si>
    <t>訪問看護ステーションつなぐ</t>
  </si>
  <si>
    <t>鈴鹿市神戸七丁目8番1号</t>
  </si>
  <si>
    <t>アクア鈴鹿訪問看護</t>
  </si>
  <si>
    <t>鈴鹿市末広北三丁目2番16号</t>
  </si>
  <si>
    <t>訪問看護ステーションanchor</t>
  </si>
  <si>
    <t>鈴鹿市三宅町1700番地</t>
  </si>
  <si>
    <t>訪問看護ステーション　デューン鈴鹿</t>
  </si>
  <si>
    <t>鈴鹿市神戸1丁目22番35号　第4不二ビル102号室</t>
  </si>
  <si>
    <t>よきかな訪問看護ステーション</t>
  </si>
  <si>
    <t>訪問看護ステーションたきび</t>
  </si>
  <si>
    <t>訪問看護ステーション　しあわせ</t>
  </si>
  <si>
    <t>鈴鹿市神戸２丁目５番１号</t>
  </si>
  <si>
    <t>花あかり訪問看護リハビリステーション</t>
  </si>
  <si>
    <t>あんしん訪問看護ステーション</t>
  </si>
  <si>
    <t>ナーシング三重</t>
  </si>
  <si>
    <t>亀山市川崎町4855番地</t>
  </si>
  <si>
    <t>訪問看護リハビリステーション　こころ</t>
  </si>
  <si>
    <t>亀山市立医療センター訪問看護ステーション</t>
  </si>
  <si>
    <t>亀山市亀田町466番地1</t>
  </si>
  <si>
    <t>訪問看護ステーション　すてっぷ</t>
  </si>
  <si>
    <t>訪問看護ステーション　ひなた</t>
  </si>
  <si>
    <t>訪問看護リハビリステーション　からふる　かわさき</t>
  </si>
  <si>
    <t>亀山市川崎町字赤崩1656番地1</t>
  </si>
  <si>
    <t>訪問看護ステーションひごと</t>
  </si>
  <si>
    <t>亀山市東町一丁目7号4番</t>
  </si>
  <si>
    <t>津地区医師会訪問看護ステーション</t>
  </si>
  <si>
    <t>津市島崎町97番1</t>
  </si>
  <si>
    <t>三重県看護協会　訪問看護ステーション　なでしこ津</t>
  </si>
  <si>
    <t>訪問看護ステーションほたる　みえ</t>
  </si>
  <si>
    <t>実践訪問看護ステーション</t>
  </si>
  <si>
    <t>津市大倉9番4号</t>
  </si>
  <si>
    <t>訪問看護ステーション福寿草</t>
  </si>
  <si>
    <t>訪問看護ステーションみのり</t>
  </si>
  <si>
    <t>みえ医療福祉生協　つ訪問看護ステーション</t>
  </si>
  <si>
    <t>津市寿町16番地24号</t>
  </si>
  <si>
    <t>訪問看護ステーション　安濃津ろまん</t>
  </si>
  <si>
    <t>訪問看護ステーション　レインボー</t>
  </si>
  <si>
    <t>訪問看護いちし</t>
  </si>
  <si>
    <t>訪問看護ここよ</t>
  </si>
  <si>
    <t>訪問看護ステーション「ワークス」</t>
  </si>
  <si>
    <t>津中央訪問看護ステーションシルバーケア豊壽園</t>
  </si>
  <si>
    <t>津市本町26番地13号</t>
  </si>
  <si>
    <t>笑みたす訪問看護ステーション</t>
  </si>
  <si>
    <t>ファミリア訪問看護ステーション</t>
  </si>
  <si>
    <t>訪問看護リハビリステーション鶴寿</t>
  </si>
  <si>
    <t>津市藤方1535番地2</t>
  </si>
  <si>
    <t>藤田医科大学訪問看護ななくり</t>
  </si>
  <si>
    <t>訪問看護のスウィートナース津</t>
  </si>
  <si>
    <t>訪問看護リハビリステーション桜Tsu</t>
  </si>
  <si>
    <t>訪問看護ステーション　デューン津</t>
  </si>
  <si>
    <t>訪問看護ステーションあやめ津</t>
  </si>
  <si>
    <t>Resora訪問看護リハビリステーション　津</t>
  </si>
  <si>
    <t>訪問看護・リハビリステーション　三つ葉</t>
  </si>
  <si>
    <t>訪問看護ステーション　みかづき</t>
  </si>
  <si>
    <t>くうねる看護ステーション</t>
  </si>
  <si>
    <t>訪問看護ステーションここな</t>
  </si>
  <si>
    <t>津市垂水1393番地2　クローバー102</t>
  </si>
  <si>
    <t>白鳳病院SAKURA 訪問介護・リハビリセンター</t>
  </si>
  <si>
    <t>津市久居新町1165番地ジェイズガーデン209号</t>
  </si>
  <si>
    <t>津市榊原町5630番地</t>
  </si>
  <si>
    <t>訪問看護ステーションtetote</t>
  </si>
  <si>
    <t>津市久居新町2812　ウィズハピネス新町101</t>
  </si>
  <si>
    <t>訪問看護ステーションリレー</t>
  </si>
  <si>
    <t>津市桜橋三丁目55番地1号エクスクリエ桜橋103号</t>
  </si>
  <si>
    <t>訪問看護ステーション悠ライフ津新町</t>
  </si>
  <si>
    <t>津市新町2丁目5番31号</t>
  </si>
  <si>
    <t>muku訪問看護ステーション</t>
  </si>
  <si>
    <t>みんなのかかりつけ訪問看護ステーション津（こころ専門）</t>
  </si>
  <si>
    <t>津市久居本町1458　ダイヤモンドマンション久居本町303号室</t>
  </si>
  <si>
    <t>合同会社訪問看護ステーションふるふる</t>
  </si>
  <si>
    <t>津市美杉町太郎生2160番地</t>
  </si>
  <si>
    <t>アクアみえ津訪問看護</t>
  </si>
  <si>
    <t>津市一身田平野405番地</t>
  </si>
  <si>
    <t>訪問看護ステーション　スマイル津</t>
  </si>
  <si>
    <t>芹の里訪問看護ステーション</t>
  </si>
  <si>
    <t>津市久居井戸山町707番地の3</t>
  </si>
  <si>
    <t>松阪地区医師会訪問看護ステーション</t>
  </si>
  <si>
    <t>桜木記念病院訪問看護ステーション</t>
  </si>
  <si>
    <t>訪問看護ステーション「カトレア」</t>
  </si>
  <si>
    <t>嘉祥苑訪問看護ステーション</t>
  </si>
  <si>
    <t>松阪市民病院訪問看護ステーション</t>
  </si>
  <si>
    <t>ケアーズ訪問看護リハビリステーション松阪</t>
  </si>
  <si>
    <t>みえ親孝行訪問看護事業所</t>
  </si>
  <si>
    <t>訪問看護ステーション「ハイジ」</t>
  </si>
  <si>
    <t>済生会松阪訪問看護ステーション</t>
  </si>
  <si>
    <t>グリーンケア訪問看護ステーション</t>
  </si>
  <si>
    <t>訪問看護ステーションここら</t>
  </si>
  <si>
    <t>医療法人医王寺会　笑顔の街訪問看護ステーション</t>
  </si>
  <si>
    <t>訪問看護ステーション　かふう</t>
  </si>
  <si>
    <t>アクア訪問看護ステーション</t>
  </si>
  <si>
    <t>訪問看護ステーション　mugi</t>
  </si>
  <si>
    <t>メディケア・リハビリ訪問看護ステーション松阪</t>
  </si>
  <si>
    <t>松阪市新町810番地1　3階</t>
  </si>
  <si>
    <t>虹が丘クリニック訪問看護ステーション</t>
  </si>
  <si>
    <t>訪問看護ステーション　松本クリニック</t>
  </si>
  <si>
    <t>松阪市駅部田町1619番地45</t>
  </si>
  <si>
    <t>訪問看護ステーションあやめ松阪</t>
  </si>
  <si>
    <t>花はな訪問看護ステーション</t>
  </si>
  <si>
    <t>津市一志町井関320番地</t>
  </si>
  <si>
    <t>訪問看護ステーション　ブクサス</t>
  </si>
  <si>
    <t>アクア松阪訪問看護</t>
  </si>
  <si>
    <t>松阪市駅部田町319番地</t>
  </si>
  <si>
    <t>セントケア訪問看護ステーション松阪</t>
  </si>
  <si>
    <t>エクセレンス訪問看護ステーション</t>
  </si>
  <si>
    <t>セントケア看護小規模松阪</t>
  </si>
  <si>
    <t>伊勢地区医師会訪問看護ステーション</t>
  </si>
  <si>
    <t>田中訪問看護ステーション</t>
  </si>
  <si>
    <t>伊勢市曽祢一丁目6番1号</t>
  </si>
  <si>
    <t>医療法人社団髙見内科　髙見訪問看護ステーション</t>
  </si>
  <si>
    <t>リハビリ訪問看護ステーションあした葉</t>
  </si>
  <si>
    <t>訪問看護リハビリステーション「ゆう」</t>
  </si>
  <si>
    <t>訪問看護ステーションまごのて</t>
  </si>
  <si>
    <t>訪問看護ステーションほたるいせ</t>
  </si>
  <si>
    <t>訪問看護ステーションかがせお</t>
  </si>
  <si>
    <t>訪問看護ステーション　ほほえみ</t>
  </si>
  <si>
    <t>訪問看護リハビリステーション森伸</t>
  </si>
  <si>
    <t>伊勢ひかり訪問看護ステーション</t>
  </si>
  <si>
    <t>ナーシング伊勢</t>
  </si>
  <si>
    <t>みなみ訪問看護リハビリステーション</t>
  </si>
  <si>
    <t>スマイルホーム伊勢訪問看護事業所</t>
  </si>
  <si>
    <t>訪問看護ステーションなごみ（サテライト志摩）</t>
  </si>
  <si>
    <t>らしく訪問看護ステーション</t>
  </si>
  <si>
    <t>海野訪問看護ステーション</t>
  </si>
  <si>
    <t>訪問看護ステーションひだか</t>
  </si>
  <si>
    <t>訪問看護ステーションあやめ伊勢</t>
  </si>
  <si>
    <t>nano訪問看護ステーション</t>
  </si>
  <si>
    <t>伊勢市小俣町湯田44番地</t>
  </si>
  <si>
    <t>紀北医師会訪問看護ステーションよろこび</t>
  </si>
  <si>
    <t>尾鷲市上野町5番25号</t>
  </si>
  <si>
    <t>在宅ケアグループあいあい</t>
  </si>
  <si>
    <t>合同会社　おわせ訪問看護センター</t>
  </si>
  <si>
    <t>紀南医師会訪問看護ステーションほほえみ</t>
  </si>
  <si>
    <t>熊野市井戸町750番地の1</t>
  </si>
  <si>
    <t>たいせつ</t>
  </si>
  <si>
    <t>熊野市飛鳥町大又54番地6</t>
  </si>
  <si>
    <t>社会医療法人　畿内会　訪問看護ステーション　おかなみ</t>
  </si>
  <si>
    <t>伊賀市立上野総合市民病院　訪問看護ステーション</t>
  </si>
  <si>
    <t>訪問看護ステーション　おおの</t>
  </si>
  <si>
    <t>訪問看護ステーションとんとん</t>
  </si>
  <si>
    <t>ハローケア訪問看護ステーション緑ヶ丘</t>
  </si>
  <si>
    <t>伊賀市上野桑町1777　1F</t>
  </si>
  <si>
    <t>上野訪問看護ステーション“伊いね”</t>
  </si>
  <si>
    <t>訪問看護リハビリステーション　喜りがおか</t>
  </si>
  <si>
    <t>訪問看護ステーションふれあいプラザひまわり</t>
  </si>
  <si>
    <t>伊賀市上野東町2955番地　古喜商事ビル1階</t>
  </si>
  <si>
    <t>ひじき訪問看護ステーション</t>
  </si>
  <si>
    <t>伊賀市比自岐1205番地</t>
  </si>
  <si>
    <t>ななーる訪問看護ステーション</t>
  </si>
  <si>
    <t>伊賀市上阿波2953</t>
  </si>
  <si>
    <t>ななおと訪問看護ステーション柘植</t>
  </si>
  <si>
    <t>伊賀市柘植町2193番地</t>
  </si>
  <si>
    <t>訪問看護ステーション　ジュエル</t>
  </si>
  <si>
    <t>伊賀市桐ケ丘5丁目185番地</t>
  </si>
  <si>
    <t>医療法人（社団）寺田病院　訪問看護ステーション「コスモス」</t>
  </si>
  <si>
    <t>訪問看護ステーション　そらまめ</t>
  </si>
  <si>
    <t>医療法人　福翔会　訪問看護ステーションハッピーウッド</t>
  </si>
  <si>
    <t>訪問看護リハビリステーション楓</t>
  </si>
  <si>
    <t>医心館　訪問看護ステーション　名張</t>
  </si>
  <si>
    <t>ハローケア訪問看護ステーション桔梗</t>
  </si>
  <si>
    <t>名張市西原町2628番地1</t>
  </si>
  <si>
    <t>訪問ナース・リハビリステーション　あゆみの</t>
  </si>
  <si>
    <t>名張市東町1697番地1</t>
  </si>
  <si>
    <t>訪問看護ステーションひまわり</t>
  </si>
  <si>
    <t>訪問看護ステーション結明の丘</t>
  </si>
  <si>
    <t>名張市夏見2639番地</t>
  </si>
  <si>
    <t>名張市桔梗が丘5番町9街区1812番地11</t>
  </si>
  <si>
    <t>訪問看護ステーションぴいす</t>
  </si>
  <si>
    <t>セントケア看護小規模豊後町</t>
  </si>
  <si>
    <t>名張市豊後町262番地1</t>
  </si>
  <si>
    <t>ナーシングホームもも・いなべ</t>
  </si>
  <si>
    <t>いなべ訪問看護ステーションのぞみ</t>
  </si>
  <si>
    <t>訪問看護スマイルステーション　紫苑</t>
  </si>
  <si>
    <t>員弁郡東員町大字六把野新田字藪之内140番地7</t>
  </si>
  <si>
    <t>ナーシングホームもも鳥取</t>
  </si>
  <si>
    <t>訪問看護ステーションあやめ東員</t>
  </si>
  <si>
    <t>菰野厚生病院訪問看護ステーションいきいき</t>
  </si>
  <si>
    <t>三重郡菰野町福村75番地</t>
  </si>
  <si>
    <t>菰野町訪問看護ステーションけやき</t>
  </si>
  <si>
    <t>訪問看護Ai（あい）</t>
  </si>
  <si>
    <t>三重郡菰野町大字菰野4977番地2</t>
  </si>
  <si>
    <t>アクア川越訪問看護</t>
  </si>
  <si>
    <t>三重郡川越町大字高松字乾227</t>
  </si>
  <si>
    <t>医療法人社団仁心会　訪問看護ステーションあすなろ</t>
  </si>
  <si>
    <t>大台厚生病院訪問看護ステーションふるさと</t>
  </si>
  <si>
    <t>済生会明和訪問看護ステーション</t>
  </si>
  <si>
    <t>たんぽぽ訪問看護ステーション</t>
  </si>
  <si>
    <t>訪問看護　和</t>
  </si>
  <si>
    <t>訪問看護かりん明和</t>
  </si>
  <si>
    <t>多気郡明和町平尾499番地15</t>
  </si>
  <si>
    <t>訪問看護の希望の丘</t>
  </si>
  <si>
    <t>笑楽訪問看護リハビリステーション</t>
  </si>
  <si>
    <t>マチナス訪問看護ステーション</t>
  </si>
  <si>
    <t>訪問看護リハビリステーション　さんふらわぁず</t>
  </si>
  <si>
    <t>訪問看護ステーション　はぜゆり</t>
  </si>
  <si>
    <t>南島メディカルセンター　訪問看護ステーションあじさい</t>
  </si>
  <si>
    <t>玉城町訪問看護ステーションたまき</t>
  </si>
  <si>
    <t>訪問看護リハビリステーション　手のひら</t>
  </si>
  <si>
    <t>訪問看護・介護ステーション福寿</t>
  </si>
  <si>
    <t>訪問看護ステーションみかん</t>
  </si>
  <si>
    <t>大紀訪問看護センター合同会社</t>
  </si>
  <si>
    <t>訪問看護ステーション　虹の夢　玉城</t>
  </si>
  <si>
    <t>度会郡玉城町蚊野2155番地</t>
  </si>
  <si>
    <t>訪問看護リハビリステーションCOCORO</t>
  </si>
  <si>
    <t>志摩市社会福祉協議会　社協訪問看護ステーション</t>
  </si>
  <si>
    <t>訪問看護ステーション　豊和</t>
  </si>
  <si>
    <t>志摩市民病院訪問看護ステーション</t>
  </si>
  <si>
    <t>志摩市大王町波切1941番地1</t>
  </si>
  <si>
    <t>訪問看護ステーション　きりん</t>
  </si>
  <si>
    <t>志摩市磯部町穴川1669</t>
  </si>
  <si>
    <t>スマイルホーム志摩訪問看護事業所</t>
  </si>
  <si>
    <t>訪問看護ステーション　虹の夢志摩</t>
  </si>
  <si>
    <t>志摩市阿児町国府3708番地34</t>
  </si>
  <si>
    <t>きほくリハスタジオ訪問看護ステーション</t>
  </si>
  <si>
    <t>北牟婁郡紀北町馬瀬1025番地1</t>
  </si>
  <si>
    <t>訪問看護ステーションはっぴぃ</t>
  </si>
  <si>
    <t>NPO法人つどい</t>
  </si>
  <si>
    <t>訪問看護リハビリステーション　夢の未来</t>
  </si>
  <si>
    <t>訪問看護ステーション　ニコちゃん</t>
  </si>
  <si>
    <t>介護老人保健施設きなん苑訪問看護ステーション</t>
  </si>
  <si>
    <t>紀宝町訪問看護ステーション</t>
  </si>
  <si>
    <t>南牟婁郡紀宝町鵜殿1190番地</t>
  </si>
  <si>
    <t>あやま訪問看護ステーション</t>
  </si>
  <si>
    <t>24B0100014</t>
  </si>
  <si>
    <t>医療法人（社団）佐藤病院　長島中央病院介護医療院</t>
  </si>
  <si>
    <t>24B0800019</t>
  </si>
  <si>
    <t>医療法人　全心会　伊勢ひかり病院　介護医療院</t>
  </si>
  <si>
    <t>24B1300019</t>
  </si>
  <si>
    <t>医療法人寺田病院介護医療院</t>
  </si>
  <si>
    <t>桑名市東方字寺屋敷1359</t>
  </si>
  <si>
    <t>桑名市三崎通37</t>
  </si>
  <si>
    <t>桑名市陽だまりの丘7丁目1601番地</t>
  </si>
  <si>
    <t>桑名市西別所996番地</t>
  </si>
  <si>
    <t>桑名市福島新町26</t>
  </si>
  <si>
    <t>桑名市西別所996</t>
  </si>
  <si>
    <t>桑名市赤尾2027番地2</t>
  </si>
  <si>
    <t>桑名市大字江場1365番地</t>
  </si>
  <si>
    <t>桑名市京橋町30番地</t>
  </si>
  <si>
    <t>桑名市中央町5丁目7番地</t>
  </si>
  <si>
    <t>桑名市三栄町46番地</t>
  </si>
  <si>
    <t>桑名市新西方2丁目82番地</t>
  </si>
  <si>
    <t>桑名市東方字打上田232</t>
  </si>
  <si>
    <t>桑名市中山町40</t>
  </si>
  <si>
    <t>桑名市中央町1丁目17番地</t>
  </si>
  <si>
    <t>桑名市大字東方157番地3</t>
  </si>
  <si>
    <t>桑名市新西方3丁目218</t>
  </si>
  <si>
    <t>桑名市藤が丘九丁目106番地</t>
  </si>
  <si>
    <t>桑名市内堀28番地の1</t>
  </si>
  <si>
    <t>桑名市星見ヶ丘9丁目1021番地</t>
  </si>
  <si>
    <t>桑名市長島町福吉271番地</t>
  </si>
  <si>
    <t>桑名市多度町小山1875</t>
  </si>
  <si>
    <t>桑名市長島町松ヶ島字西島21番地</t>
  </si>
  <si>
    <t>桑名市寿町2丁目22番地</t>
  </si>
  <si>
    <t>桑名市大字赤尾1344番地3</t>
  </si>
  <si>
    <t>桑名市神成町二丁目57番地</t>
  </si>
  <si>
    <t>桑名市長島町横満蔵573番地</t>
  </si>
  <si>
    <t>桑名市江場920番地</t>
  </si>
  <si>
    <t>桑名市多度町柚井字境川132番地</t>
  </si>
  <si>
    <t>四日市市宮東町2丁目42</t>
  </si>
  <si>
    <t>四日市市山田町2839</t>
  </si>
  <si>
    <t>四日市市鵜の森1丁目1番8号</t>
  </si>
  <si>
    <t>四日市市西阿倉川1203番地</t>
  </si>
  <si>
    <t>四日市市東坂部町1391</t>
  </si>
  <si>
    <t>四日市市川島町7390</t>
  </si>
  <si>
    <t>四日市市大字茂福741</t>
  </si>
  <si>
    <t>四日市市日永西一丁目4545</t>
  </si>
  <si>
    <t>四日市市三重一丁目6番地</t>
  </si>
  <si>
    <t>四日市市小林町3008</t>
  </si>
  <si>
    <t>四日市市桜町127</t>
  </si>
  <si>
    <t>四日市市堀木2丁目7番18号</t>
  </si>
  <si>
    <t>四日市市貝家町266番地2</t>
  </si>
  <si>
    <t>四日市市羽津中1丁目4番21号</t>
  </si>
  <si>
    <t>四日市市尾平町天王川原1805　イオン四日市尾平店3Ｆ</t>
  </si>
  <si>
    <t>四日市市小杉町1282</t>
  </si>
  <si>
    <t>四日市市青葉町800番283</t>
  </si>
  <si>
    <t>四日市市羽津山町10番8号</t>
  </si>
  <si>
    <t>四日市市大字日永5039番地</t>
  </si>
  <si>
    <t>四日市市城北町8番1号</t>
  </si>
  <si>
    <t>四日市市日永一丁目7番19号</t>
  </si>
  <si>
    <t>四日市市泊山崎町10番1号</t>
  </si>
  <si>
    <t>四日市市小杉新町70</t>
  </si>
  <si>
    <t>四日市市富田二丁目11番2号</t>
  </si>
  <si>
    <t>四日市市智積町6333番地</t>
  </si>
  <si>
    <t>四日市市東日野町351番地の1</t>
  </si>
  <si>
    <t>四日市市川島町6507番地2</t>
  </si>
  <si>
    <t>四日市市笹川3丁目50番地</t>
  </si>
  <si>
    <t>四日市市小生町782</t>
  </si>
  <si>
    <t>四日市市羽津町15番26号</t>
  </si>
  <si>
    <t>四日市市智積町6062</t>
  </si>
  <si>
    <t>四日市市元町5番11号</t>
  </si>
  <si>
    <t>四日市市小古曽一丁目3番35号</t>
  </si>
  <si>
    <t>四日市市富田4丁目6番15号</t>
  </si>
  <si>
    <t>四日市市下さざらい町843</t>
  </si>
  <si>
    <t>四日市市波木町坂向305</t>
  </si>
  <si>
    <t>四日市市高角町737</t>
  </si>
  <si>
    <t>四日市市泊町2番30号</t>
  </si>
  <si>
    <t>四日市市西大鐘町字東谷1610番地</t>
  </si>
  <si>
    <t>四日市市伊倉一丁目1番46号</t>
  </si>
  <si>
    <t>四日市市中川原三丁目１番3号</t>
  </si>
  <si>
    <t>四日市市生桑町291番地1</t>
  </si>
  <si>
    <t>四日市市生桑町1455</t>
  </si>
  <si>
    <t>四日市市日永１丁目13番26号</t>
  </si>
  <si>
    <t>四日市市大字日永5450番地132</t>
  </si>
  <si>
    <t>四日市市菅原町828</t>
  </si>
  <si>
    <t>四日市市日永一丁目3番18号</t>
  </si>
  <si>
    <t>四日市市城西町654番4</t>
  </si>
  <si>
    <t>四日市市下海老町字平野５２番１</t>
  </si>
  <si>
    <t>四日市市下海老町字高松185番3</t>
  </si>
  <si>
    <t>四日市市中部6番8号</t>
  </si>
  <si>
    <t>四日市市諏訪栄町6番3号　愛汗ビル4階</t>
  </si>
  <si>
    <t>四日市市ときわ二丁目9番13号</t>
  </si>
  <si>
    <t>四日市市西富田町168番地1</t>
  </si>
  <si>
    <t>鈴鹿市神戸一丁目2番18号</t>
  </si>
  <si>
    <t>鈴鹿市阿古曽町26番18号</t>
  </si>
  <si>
    <t>鈴鹿市南若松町245</t>
  </si>
  <si>
    <t>鈴鹿市西条7丁目23番地</t>
  </si>
  <si>
    <t>鈴鹿市東庄内町3882</t>
  </si>
  <si>
    <t>鈴鹿市算所2丁目14番12号</t>
  </si>
  <si>
    <t>鈴鹿市桜島町六丁目20番5</t>
  </si>
  <si>
    <t>鈴鹿市高岡町550</t>
  </si>
  <si>
    <t>鈴鹿市平田1丁目3番7号</t>
  </si>
  <si>
    <t>鈴鹿市白子町59</t>
  </si>
  <si>
    <t>鈴鹿市西条6丁目21</t>
  </si>
  <si>
    <t>鈴鹿市庄野羽山二丁目6番3号</t>
  </si>
  <si>
    <t>鈴鹿市東玉垣町2483番地の1</t>
  </si>
  <si>
    <t>鈴鹿市国府町字保子里112番地の2</t>
  </si>
  <si>
    <t>鈴鹿市南江島町6番17号</t>
  </si>
  <si>
    <t>鈴鹿市野町東2丁目4番1号</t>
  </si>
  <si>
    <t>鈴鹿市北江島町17番15号</t>
  </si>
  <si>
    <t>鈴鹿市長沢町1167番地1</t>
  </si>
  <si>
    <t>鈴鹿市庄野町2550番地</t>
  </si>
  <si>
    <t>鈴鹿市安塚町880番地</t>
  </si>
  <si>
    <t>鈴鹿市中冨田町中谷518番地</t>
  </si>
  <si>
    <t>鈴鹿市白子町3707番1</t>
  </si>
  <si>
    <t>鈴鹿市南江島町9番15号</t>
  </si>
  <si>
    <t>鈴鹿市稲生四丁目4878番2</t>
  </si>
  <si>
    <t>鈴鹿市算所町1283番地</t>
  </si>
  <si>
    <t>鈴鹿市南玉垣町7300番地1</t>
  </si>
  <si>
    <t>亀山市本町三丁目10番5号</t>
  </si>
  <si>
    <t>亀山市野村4丁目4番19号</t>
  </si>
  <si>
    <t>亀山市関町新所1125</t>
  </si>
  <si>
    <t>亀山市野村三丁目19番31号</t>
  </si>
  <si>
    <t>亀山市東台町1番6号</t>
  </si>
  <si>
    <t>亀山市渋倉町320</t>
  </si>
  <si>
    <t>亀山市東御幸町232</t>
  </si>
  <si>
    <t>亀山市東町一丁目2番19号2</t>
  </si>
  <si>
    <t>津市半田1364番地32</t>
  </si>
  <si>
    <t>津市中央11番3号</t>
  </si>
  <si>
    <t>津市雲出本郷町1905</t>
  </si>
  <si>
    <t>津市藤方字米垣内1237</t>
  </si>
  <si>
    <t>津市雲出本郷町荒木1918</t>
  </si>
  <si>
    <t>津市栄町2丁目457番地</t>
  </si>
  <si>
    <t>津市藤方87</t>
  </si>
  <si>
    <t>津市久居相川町2112</t>
  </si>
  <si>
    <t>津市安濃町粟加2212</t>
  </si>
  <si>
    <t>津市広明町358オオハシビル2階</t>
  </si>
  <si>
    <t>津市一志町高野271</t>
  </si>
  <si>
    <t>津市上浜町5丁目57番地</t>
  </si>
  <si>
    <t>津市上弁財町11番28号</t>
  </si>
  <si>
    <t>津市河辺町3547番地1</t>
  </si>
  <si>
    <t>津市藤方2566</t>
  </si>
  <si>
    <t>津市栄町2丁目383</t>
  </si>
  <si>
    <t>津市大谷町255オフィス金子1F</t>
  </si>
  <si>
    <t>津市東丸之内21番6号　ハクボタンビル3階</t>
  </si>
  <si>
    <t>津市長岡町800番地の501</t>
  </si>
  <si>
    <t>津市藤方66</t>
  </si>
  <si>
    <t>津市久居中町134番37</t>
  </si>
  <si>
    <t>津市城山1丁目12番1号</t>
  </si>
  <si>
    <t>津市一身田町387番地</t>
  </si>
  <si>
    <t>津市下弁財町津興3040番地</t>
  </si>
  <si>
    <t>津市一身田大古曽670番地2</t>
  </si>
  <si>
    <t>津市一身田町333番地</t>
  </si>
  <si>
    <t>津市大門10番6号</t>
  </si>
  <si>
    <t>津市船頭町3453番地</t>
  </si>
  <si>
    <t>津市羽所町399</t>
  </si>
  <si>
    <t>津市海岸町4番10号</t>
  </si>
  <si>
    <t>津市高茶屋小森上野町字野田733番地</t>
  </si>
  <si>
    <t>津市戸木町5043</t>
  </si>
  <si>
    <t>津市榊原町1033番地の4</t>
  </si>
  <si>
    <t>津市大鳥町424番地1</t>
  </si>
  <si>
    <t>津市久居明神町2600</t>
  </si>
  <si>
    <t>津市久居新町3006ポルタひさい2・3F</t>
  </si>
  <si>
    <t>津市庄田町2090番地</t>
  </si>
  <si>
    <t>津市久居野村町字権田314番地13</t>
  </si>
  <si>
    <t>津市芸濃町椋本890番地１</t>
  </si>
  <si>
    <t>津市安濃町川西332</t>
  </si>
  <si>
    <t>津市河芸町東千里24番地</t>
  </si>
  <si>
    <t>津市白山町南家城616</t>
  </si>
  <si>
    <t>津市一志町田尻603</t>
  </si>
  <si>
    <t>津市野田2033番地1</t>
  </si>
  <si>
    <t>津市藤方146番地1</t>
  </si>
  <si>
    <t>津市観音寺町799番地7</t>
  </si>
  <si>
    <t>津市乙部5番3号 PMCビル1F</t>
  </si>
  <si>
    <t>津市柳山津興3306番地</t>
  </si>
  <si>
    <t>津市乙部16番2号</t>
  </si>
  <si>
    <t>津市大門1番3号</t>
  </si>
  <si>
    <t>津市一身田上津部田1824</t>
  </si>
  <si>
    <t>津市戸木町7838番1</t>
  </si>
  <si>
    <t>津市城山三丁目4番25号</t>
  </si>
  <si>
    <t>津市河芸町浜田688番地1</t>
  </si>
  <si>
    <t>津市北丸之内92番地</t>
  </si>
  <si>
    <t>津市垂水南浦1425</t>
  </si>
  <si>
    <t>松阪市川井町2711</t>
  </si>
  <si>
    <t>松阪市射和町603</t>
  </si>
  <si>
    <t>松阪市下村町994</t>
  </si>
  <si>
    <t>松阪市殿町1465番地20</t>
  </si>
  <si>
    <t>松阪市飯高町富永108番地</t>
  </si>
  <si>
    <t>松阪市若葉町486</t>
  </si>
  <si>
    <t>松阪市鎌田町195番地18</t>
  </si>
  <si>
    <t>松阪市大黒田町431</t>
  </si>
  <si>
    <t>松阪市小津町274</t>
  </si>
  <si>
    <t>松阪市魚町1707</t>
  </si>
  <si>
    <t>松阪市川井町157番地1</t>
  </si>
  <si>
    <t>松阪市山室町2275</t>
  </si>
  <si>
    <t>松阪市嬉野中川新町1丁目3番</t>
  </si>
  <si>
    <t>松阪市殿町1550番地</t>
  </si>
  <si>
    <t>松阪市鎌田町234番地の1</t>
  </si>
  <si>
    <t>松阪市春日町2丁目8番地の1</t>
  </si>
  <si>
    <t>松阪市駅部田町232</t>
  </si>
  <si>
    <t>松阪市大黒田町971</t>
  </si>
  <si>
    <t>松阪市大河内町777</t>
  </si>
  <si>
    <t>松阪市下村町527</t>
  </si>
  <si>
    <t>松阪市久保町西沖487番地1</t>
  </si>
  <si>
    <t>松阪市中万町1424</t>
  </si>
  <si>
    <t>松阪市小片野町302番地</t>
  </si>
  <si>
    <t>松阪市駅部田町1720番地1</t>
  </si>
  <si>
    <t>松阪市嬉野中川新町二丁目23番地</t>
  </si>
  <si>
    <t>松阪市飯高町波瀬148</t>
  </si>
  <si>
    <t>松阪市飯高町森1410</t>
  </si>
  <si>
    <t>松阪市飯高町宮前1104</t>
  </si>
  <si>
    <t>松阪市本町2221</t>
  </si>
  <si>
    <t>松阪市嬉野町1425番地の3</t>
  </si>
  <si>
    <t>松阪市久保町字下前304番地3</t>
  </si>
  <si>
    <t>松阪市嬉野町1455番地3</t>
  </si>
  <si>
    <t>松阪市大口町154番地1</t>
  </si>
  <si>
    <t>松阪市目田町327番地5</t>
  </si>
  <si>
    <t>松阪市東黒部町835番地</t>
  </si>
  <si>
    <t>松阪市田村町446番地2</t>
  </si>
  <si>
    <t>伊勢市大湊町862</t>
  </si>
  <si>
    <t>伊勢市御薗町長屋2181</t>
  </si>
  <si>
    <t>伊勢市二見町荘2141</t>
  </si>
  <si>
    <t>伊勢市岩渕2丁目4番1号</t>
  </si>
  <si>
    <t>伊勢市宮後1丁目8番7号</t>
  </si>
  <si>
    <t>伊勢市神田久志本町1648番地</t>
  </si>
  <si>
    <t>伊勢市神田久志本町1783</t>
  </si>
  <si>
    <t>伊勢市上地町4825番地</t>
  </si>
  <si>
    <t>伊勢市勢田町431</t>
  </si>
  <si>
    <t>伊勢市楠部町3038番地</t>
  </si>
  <si>
    <t>伊勢市大世古4丁目6番47号</t>
  </si>
  <si>
    <t>伊勢市倭町132番地</t>
  </si>
  <si>
    <t>伊勢市西豊浜町87</t>
  </si>
  <si>
    <t>伊勢市馬瀬町1007</t>
  </si>
  <si>
    <t>伊勢市神社港20番地13</t>
  </si>
  <si>
    <t>伊勢市黒瀬町1215</t>
  </si>
  <si>
    <t>伊勢市小俣町相合478番地4</t>
  </si>
  <si>
    <t>伊勢市西豊浜町5444</t>
  </si>
  <si>
    <t>伊勢市楠部町乙77</t>
  </si>
  <si>
    <t>伊勢市御薗町高向927</t>
  </si>
  <si>
    <t>伊勢市御薗町高向字沖川原1746番2</t>
  </si>
  <si>
    <t>伊勢市小木町557</t>
  </si>
  <si>
    <t>伊勢市小俣町相合446</t>
  </si>
  <si>
    <t>伊勢市桜木町85番地180</t>
  </si>
  <si>
    <t>伊勢市小俣町相合481番地</t>
  </si>
  <si>
    <t>伊勢市常磐2丁目4番35号</t>
  </si>
  <si>
    <t>鳥羽市桃取町219</t>
  </si>
  <si>
    <t>鳥羽市菅島町46</t>
  </si>
  <si>
    <t>鳥羽市坂手町178</t>
  </si>
  <si>
    <t>尾鷲市朝日町12番4号</t>
  </si>
  <si>
    <t>熊野市井戸町615</t>
  </si>
  <si>
    <t>熊野市有馬町201</t>
  </si>
  <si>
    <t>熊野市井戸町4986</t>
  </si>
  <si>
    <t>熊野市井戸町378</t>
  </si>
  <si>
    <t>熊野市育生町長井362番地の2</t>
  </si>
  <si>
    <t>熊野市神川町神上869番地</t>
  </si>
  <si>
    <t>熊野市二木島町349</t>
  </si>
  <si>
    <t>熊野市有馬町285番地の1</t>
  </si>
  <si>
    <t>熊野市紀和町板屋81番地</t>
  </si>
  <si>
    <t>伊賀市平野城北町133番地</t>
  </si>
  <si>
    <t>伊賀市服部町3丁目101</t>
  </si>
  <si>
    <t>伊賀市沖50番地</t>
  </si>
  <si>
    <t>伊賀市別府162番地</t>
  </si>
  <si>
    <t>伊賀市緑ヶ丘本町1629の1</t>
  </si>
  <si>
    <t>伊賀市上野玄蕃町219番地の1</t>
  </si>
  <si>
    <t>伊賀市比土字上ノ代3158番地1</t>
  </si>
  <si>
    <t>伊賀市小田町212</t>
  </si>
  <si>
    <t>伊賀市上野寺町1165番地の3</t>
  </si>
  <si>
    <t>伊賀市上野丸之内10番地の8</t>
  </si>
  <si>
    <t>伊賀市平野城北町123</t>
  </si>
  <si>
    <t>伊賀市平野城北町116</t>
  </si>
  <si>
    <t>伊賀市下柘植1092番地</t>
  </si>
  <si>
    <t>伊賀市猿野1339番地の1</t>
  </si>
  <si>
    <t>伊賀市佐那具町420</t>
  </si>
  <si>
    <t>伊賀市土橋192の1</t>
  </si>
  <si>
    <t>伊賀市朝屋2284</t>
  </si>
  <si>
    <t>伊賀市久米町字大坪666番地</t>
  </si>
  <si>
    <t>伊賀市佐那具町804番地1</t>
  </si>
  <si>
    <t>名張市百合が丘東1番町14番地</t>
  </si>
  <si>
    <t>名張市木屋町815</t>
  </si>
  <si>
    <t>名張市松崎町1443番地</t>
  </si>
  <si>
    <t>名張市夏見3260番地1</t>
  </si>
  <si>
    <t>名張市木屋町1386</t>
  </si>
  <si>
    <t>名張市丸之内3番地13</t>
  </si>
  <si>
    <t>名張市桔梗が丘1番町3街区39番地</t>
  </si>
  <si>
    <t>名張市桔梗が丘西3番町1街区44番地</t>
  </si>
  <si>
    <t>名張市蔵持町里3258番地2</t>
  </si>
  <si>
    <t>名張市鴻之台1番町15番地</t>
  </si>
  <si>
    <t>名張市鴻之台2番町108番地</t>
  </si>
  <si>
    <t>名張市鴻之台1番町144番地</t>
  </si>
  <si>
    <t>名張市松崎町1343の1</t>
  </si>
  <si>
    <t>名張市平尾3068番地の9</t>
  </si>
  <si>
    <t>名張市梅が丘南1番町208番地</t>
  </si>
  <si>
    <t>名張市桔梗が丘4番町1街区7番地</t>
  </si>
  <si>
    <t>名張市桔梗が丘2番町5街区72番地</t>
  </si>
  <si>
    <t>名張市蔵持町原出769番1</t>
  </si>
  <si>
    <t>名張市鴻之台二番町29番地１</t>
  </si>
  <si>
    <t>名張市希央台四番町2番地3Ｆ</t>
  </si>
  <si>
    <t>名張市希央台3番町6番地1</t>
  </si>
  <si>
    <t>名張市希央台四番町22番地</t>
  </si>
  <si>
    <t>いなべ市大安町石榑東1076</t>
  </si>
  <si>
    <t>いなべ市北勢町阿下喜1054番地</t>
  </si>
  <si>
    <t>いなべ市北勢町阿下喜680番地</t>
  </si>
  <si>
    <t>いなべ市藤原町志礼石新田96番地</t>
  </si>
  <si>
    <t>いなべ市員弁町大泉新田5</t>
  </si>
  <si>
    <t>いなべ市大安町門前字笠間583番地2</t>
  </si>
  <si>
    <t>桑名郡木曽岬町大字和富10番17</t>
  </si>
  <si>
    <t>員弁郡東員町六把野新田藪の内153</t>
  </si>
  <si>
    <t>員弁郡東員町山田西畑1761</t>
  </si>
  <si>
    <t>員弁郡東員町大字穴太2400</t>
  </si>
  <si>
    <t>員弁郡東員町穴太2000番地</t>
  </si>
  <si>
    <t>員弁郡東員町城山1丁目23番の1</t>
  </si>
  <si>
    <t>三重郡川越町豊田157</t>
  </si>
  <si>
    <t>三重郡菰野町永井3817</t>
  </si>
  <si>
    <t>三重郡川越町北福崎70番地</t>
  </si>
  <si>
    <t>三重郡川越町大字豊田一色314番地</t>
  </si>
  <si>
    <t>三重郡菰野町小島1157</t>
  </si>
  <si>
    <t>多気郡多気町相可1044</t>
  </si>
  <si>
    <t>多気郡明和町竹川353</t>
  </si>
  <si>
    <t>多気郡明和町大字大淀2444番地1</t>
  </si>
  <si>
    <t>多気郡大台町江馬127番地</t>
  </si>
  <si>
    <t>度会郡南伊勢町五ケ所浦4133</t>
  </si>
  <si>
    <t>度会郡玉城町佐田881番地</t>
  </si>
  <si>
    <t>度会郡南伊勢町船越2545番地</t>
  </si>
  <si>
    <t>度会郡南伊勢町田曽浦3813番地</t>
  </si>
  <si>
    <t>度会郡玉城町佐田1750</t>
  </si>
  <si>
    <t>度会郡大紀町滝原873番地</t>
  </si>
  <si>
    <t>度会郡南伊勢町船越111番地2</t>
  </si>
  <si>
    <t>志摩市磯部町迫間1803番地</t>
  </si>
  <si>
    <t>志摩市磯部町恵利原1530</t>
  </si>
  <si>
    <t>志摩市阿児町鵜方4836</t>
  </si>
  <si>
    <t>志摩市大王町波切1210</t>
  </si>
  <si>
    <t>志摩市磯部町的矢642</t>
  </si>
  <si>
    <t>志摩市阿児町甲賀字鹿谷4452</t>
  </si>
  <si>
    <t>志摩市阿児町鵜方1257</t>
  </si>
  <si>
    <t>志摩市浜島町浜島3261番地1</t>
  </si>
  <si>
    <t>志摩市磯部町迫間375番地</t>
  </si>
  <si>
    <t>志摩市志摩町布施田392</t>
  </si>
  <si>
    <t>志摩市志摩町越賀1637番地3</t>
  </si>
  <si>
    <t>志摩市阿児町鵜方5017</t>
  </si>
  <si>
    <t>志摩市志摩町和具1066</t>
  </si>
  <si>
    <t>志摩市磯部町穴川字座頭橋1141番地6</t>
  </si>
  <si>
    <t>北牟婁郡紀北町東長島2番地</t>
  </si>
  <si>
    <t>北牟婁郡紀北町引本浦883番地の4</t>
  </si>
  <si>
    <t>北牟婁郡紀北町上里225番地8</t>
  </si>
  <si>
    <t>北牟婁郡紀北町上里350番地1</t>
  </si>
  <si>
    <t>北牟婁郡紀北町東長島592</t>
  </si>
  <si>
    <t>南牟婁郡御浜町大字阿田和6066</t>
  </si>
  <si>
    <t>南牟婁郡紀宝町井内123番地19</t>
  </si>
  <si>
    <t>南牟婁郡紀宝町成川44番地1</t>
  </si>
  <si>
    <t>鈴鹿市加佐登三丁目2番1号</t>
  </si>
  <si>
    <t>桑名市江場2丁目65番地2</t>
  </si>
  <si>
    <t>桑名市大字矢田765番地</t>
  </si>
  <si>
    <t>桑名市大字東方1079番地7</t>
  </si>
  <si>
    <t>桑名市長島町出口63番地</t>
  </si>
  <si>
    <t>四日市市采女が丘1丁目160</t>
  </si>
  <si>
    <t>四日市市広永町1172番地1</t>
  </si>
  <si>
    <t>四日市市諏訪町13番8　アトレ諏訪新道1階</t>
  </si>
  <si>
    <t>津市桜橋2丁目120番地の2</t>
  </si>
  <si>
    <t>津市大門33番13号</t>
  </si>
  <si>
    <t>津市羽所町513</t>
  </si>
  <si>
    <t>津市美杉町八知5580番地2</t>
  </si>
  <si>
    <t>津市一身田上津部田3083</t>
  </si>
  <si>
    <t>伊賀市上野農人町386</t>
  </si>
  <si>
    <t>伊賀市上野小玉町3068</t>
  </si>
  <si>
    <t>伊賀市上野西大手町3598</t>
  </si>
  <si>
    <t>名張市下比奈知字黒田3100番地の1　MEGAドン・キホーテUNY名張店1F</t>
  </si>
  <si>
    <t>三重郡菰野町田光2230</t>
  </si>
  <si>
    <t>志摩市磯部町恵利原813</t>
  </si>
  <si>
    <t>桑名市三栄町43</t>
  </si>
  <si>
    <t>桑名市馬道一丁目69番地</t>
  </si>
  <si>
    <t>桑名市千代田町37番地</t>
  </si>
  <si>
    <t>桑名市新西方3丁目206番地</t>
  </si>
  <si>
    <t>桑名市新西方二丁目87番地</t>
  </si>
  <si>
    <t>桑名市内堀10</t>
  </si>
  <si>
    <t>桑名市大字江場1492番地3</t>
  </si>
  <si>
    <t>桑名市大字東方字打上田265番5</t>
  </si>
  <si>
    <t>桑名市八間通7番地レジデンス伊藤ビル１Ｆ</t>
  </si>
  <si>
    <t>桑名市有楽町35</t>
  </si>
  <si>
    <t>桑名市星見ヶ丘7丁目209</t>
  </si>
  <si>
    <t>桑名市桑名476</t>
  </si>
  <si>
    <t>桑名市福島新町32番1</t>
  </si>
  <si>
    <t>桑名市江場859番地1</t>
  </si>
  <si>
    <t>桑名市京橋町34</t>
  </si>
  <si>
    <t>桑名市星見ヶ丘9丁目1401番地</t>
  </si>
  <si>
    <t>桑名市寿町3丁目9</t>
  </si>
  <si>
    <t>桑名市神成町2丁目72番地の1</t>
  </si>
  <si>
    <t>桑名市西別所996番地6</t>
  </si>
  <si>
    <t>桑名市北別所字福地416番地1</t>
  </si>
  <si>
    <t>四日市市川島町7359</t>
  </si>
  <si>
    <t>四日市市天カ須賀四丁目6番8号</t>
  </si>
  <si>
    <t>四日市市釆女町字名倉1798番地の18</t>
  </si>
  <si>
    <t>四日市市城山町1番11号</t>
  </si>
  <si>
    <t>四日市市松本3丁目9番11号</t>
  </si>
  <si>
    <t>四日市市西日野町1595</t>
  </si>
  <si>
    <t>四日市市久保田一丁目6番56号</t>
  </si>
  <si>
    <t>四日市市石塚町5ー6</t>
  </si>
  <si>
    <t>四日市市西富田町172番地2</t>
  </si>
  <si>
    <t>四日市市下海老町118番地9</t>
  </si>
  <si>
    <t>四日市市小杉新町64</t>
  </si>
  <si>
    <t>四日市市大字羽津戊171番地27</t>
  </si>
  <si>
    <t>四日市市楠町北五味塚1921番地27</t>
  </si>
  <si>
    <t>四日市市久保田1丁目3番地11号</t>
  </si>
  <si>
    <t>四日市市高角町696番地1号</t>
  </si>
  <si>
    <t>四日市市生桑町1642番地97</t>
  </si>
  <si>
    <t>鈴鹿市西条7丁目28</t>
  </si>
  <si>
    <t>鈴鹿市岸岡町577番地4</t>
  </si>
  <si>
    <t>鈴鹿市算所二丁目14番27号</t>
  </si>
  <si>
    <t>鈴鹿市加佐登3丁目13番1号</t>
  </si>
  <si>
    <t>鈴鹿市矢橋一丁目5番14号</t>
  </si>
  <si>
    <t>鈴鹿市算所2丁目7番20号</t>
  </si>
  <si>
    <t>鈴鹿市桜島町六丁目20番地の5</t>
  </si>
  <si>
    <t>鈴鹿市住吉2丁目17番3号</t>
  </si>
  <si>
    <t>鈴鹿市国府町字保子里175</t>
  </si>
  <si>
    <t>鈴鹿市西条一丁目19番22号</t>
  </si>
  <si>
    <t>亀山市東台町283番地の2</t>
  </si>
  <si>
    <t>亀山市亀田町380番地4</t>
  </si>
  <si>
    <t>亀山市栄町萩野1488番315</t>
  </si>
  <si>
    <t>亀山市南野町4ｰ13</t>
  </si>
  <si>
    <t>亀山市栄町萩野1488番地223</t>
  </si>
  <si>
    <t>津市新町1丁目12番5号</t>
  </si>
  <si>
    <t>津市北丸之内113番地</t>
  </si>
  <si>
    <t>津市久居中町134番地12</t>
  </si>
  <si>
    <t>津市久居明神町2222番地4</t>
  </si>
  <si>
    <t>津市榊原町字石ノ戸1035番１</t>
  </si>
  <si>
    <t>津市河芸町東千里字縄鏡7番2、16番2</t>
  </si>
  <si>
    <t>津市久居新町3006番地　ポルタひさい2階</t>
  </si>
  <si>
    <t>津市大園町24番地56</t>
  </si>
  <si>
    <t>津市河芸町杜の街一丁目1番6</t>
  </si>
  <si>
    <t>津市大門1番9号</t>
  </si>
  <si>
    <t>津市河芸町東千里54番地</t>
  </si>
  <si>
    <t>津市南新町8番28号</t>
  </si>
  <si>
    <t>津市南新町8番29号</t>
  </si>
  <si>
    <t>津市白山町南家城613番地5</t>
  </si>
  <si>
    <t>津市西丸之内14番15号</t>
  </si>
  <si>
    <t>津市西丸之内27番6号</t>
  </si>
  <si>
    <t>津市栗真中山町89番地1</t>
  </si>
  <si>
    <t>津市大谷町254エンデバービル2階</t>
  </si>
  <si>
    <t>津市河芸町東千里155番地1</t>
  </si>
  <si>
    <t>津市高野尾町1897番地76</t>
  </si>
  <si>
    <t>津市一志町高野226番地7</t>
  </si>
  <si>
    <t>松阪市新町844番地</t>
  </si>
  <si>
    <t>松阪市平生町29</t>
  </si>
  <si>
    <t>松阪市中町1856</t>
  </si>
  <si>
    <t>松阪市本町2192</t>
  </si>
  <si>
    <t>松阪市新町916</t>
  </si>
  <si>
    <t>松阪市日野町10</t>
  </si>
  <si>
    <t>松阪市中町1842</t>
  </si>
  <si>
    <t>松阪市猟師町816</t>
  </si>
  <si>
    <t>松阪市六軒町59</t>
  </si>
  <si>
    <t>松阪市日野町583</t>
  </si>
  <si>
    <t>松阪市嬉野中川新町二丁目57</t>
  </si>
  <si>
    <t>松阪市嬉野中川新町二丁目36番地</t>
  </si>
  <si>
    <t>松阪市飯南町粥見3762番地</t>
  </si>
  <si>
    <t>松阪市飯高町宮前760</t>
  </si>
  <si>
    <t>松阪市東黒部町552番地</t>
  </si>
  <si>
    <t>松阪市朝日町一区10番地7</t>
  </si>
  <si>
    <t>松阪市大黒田町972番地2</t>
  </si>
  <si>
    <t>松阪市小黒田町493番地2</t>
  </si>
  <si>
    <t>松阪市下村町字草深525番10</t>
  </si>
  <si>
    <t>松阪市中央町574番地3</t>
  </si>
  <si>
    <t>松阪市川井町772番地32</t>
  </si>
  <si>
    <t>松阪市嬉野中川新町1丁目8番地</t>
  </si>
  <si>
    <t>松阪市上川町2222番地1</t>
  </si>
  <si>
    <t>松阪市嬉野中川町440番地1</t>
  </si>
  <si>
    <t>伊勢市楠部町乙99</t>
  </si>
  <si>
    <t>伊勢市馬瀬町1002</t>
  </si>
  <si>
    <t>伊勢市楠部町3039番地</t>
  </si>
  <si>
    <t>伊勢市上地町4210番4</t>
  </si>
  <si>
    <t>伊勢市大世古町三丁目1番108号</t>
  </si>
  <si>
    <t>伊勢市神久5丁目82</t>
  </si>
  <si>
    <t>伊勢市倭町143番地6</t>
  </si>
  <si>
    <t>伊勢市黒瀬町648番地</t>
  </si>
  <si>
    <t>尾鷲市上野町5番37号</t>
  </si>
  <si>
    <t>尾鷲市中村町7番69号</t>
  </si>
  <si>
    <t>尾鷲市中央町10番22号</t>
  </si>
  <si>
    <t>伊賀市上野農人町425番地</t>
  </si>
  <si>
    <t>伊賀市上野紺屋町3163</t>
  </si>
  <si>
    <t>伊賀市上野丸之内500番地</t>
  </si>
  <si>
    <t>伊賀市沖31番2</t>
  </si>
  <si>
    <t>伊賀市上野丸之内10番10</t>
  </si>
  <si>
    <t>伊賀市桐ヶ丘三丁目328</t>
  </si>
  <si>
    <t>伊賀市小田町215番地</t>
  </si>
  <si>
    <t>伊賀市問屋町75</t>
  </si>
  <si>
    <t>伊賀市島ヶ原5846</t>
  </si>
  <si>
    <t>伊賀市服部町3丁目102番</t>
  </si>
  <si>
    <t>伊賀市土橋191番1</t>
  </si>
  <si>
    <t>伊賀市小田町256番地の1</t>
  </si>
  <si>
    <t>名張市丸之内73</t>
  </si>
  <si>
    <t>名張市鴻之台2番町88</t>
  </si>
  <si>
    <t>名張市鴻之台3番町31</t>
  </si>
  <si>
    <t>名張市桔梗が丘4番町1街区27番地</t>
  </si>
  <si>
    <t>名張市桔梗が丘2番町1街区53番地4</t>
  </si>
  <si>
    <t>名張市丸之内2番5</t>
  </si>
  <si>
    <t>名張市桔梗が丘5番町4街区14番</t>
  </si>
  <si>
    <t>名張市希央台5番町19</t>
  </si>
  <si>
    <t>いなべ市北勢町中山16番地7</t>
  </si>
  <si>
    <t>いなべ市北勢町阿下喜1007番地</t>
  </si>
  <si>
    <t>員弁郡東員町城山3丁目21番10</t>
  </si>
  <si>
    <t>員弁郡東員町鳥取1296番地3</t>
  </si>
  <si>
    <t>員弁郡東員町大字六把野新田130番地5</t>
  </si>
  <si>
    <t>三重郡菰野町菰野978番地1</t>
  </si>
  <si>
    <t>三重郡菰野町潤田1197番1</t>
  </si>
  <si>
    <t>三重郡菰野町潤田字春日2105番地1号</t>
  </si>
  <si>
    <t>多気郡大台町江馬110番地の2</t>
  </si>
  <si>
    <t>度会郡玉城町勝田5507番地</t>
  </si>
  <si>
    <t>度会郡南伊勢町五ヶ所浦4134</t>
  </si>
  <si>
    <t>度会郡南伊勢町五ヶ所浦3977</t>
  </si>
  <si>
    <t>度会郡玉城町佐田1797番地</t>
  </si>
  <si>
    <t>度会郡南伊勢町五ヶ所浦4099</t>
  </si>
  <si>
    <t>志摩市磯部町迫間穗落前1857</t>
  </si>
  <si>
    <t>志摩市磯部町迫間1802</t>
  </si>
  <si>
    <t>志摩市阿児町鵜方5016</t>
  </si>
  <si>
    <t>志摩市志摩町片田2983</t>
  </si>
  <si>
    <t>志摩市阿児町甲賀4078</t>
  </si>
  <si>
    <t>志摩市磯部町恵利原1529</t>
  </si>
  <si>
    <t>北牟婁郡紀北町東長島15</t>
  </si>
  <si>
    <t>南牟婁郡御浜町上野67</t>
  </si>
  <si>
    <t>南牟婁郡御浜町阿田和5189番地7</t>
  </si>
  <si>
    <t>桑名市東方尾弓田3038</t>
  </si>
  <si>
    <t>桑名市筒尾1丁目13番地1</t>
  </si>
  <si>
    <t>桑名市星見ケ丘9丁目807番地</t>
  </si>
  <si>
    <t>桑名市大字大福414　和205号室</t>
  </si>
  <si>
    <t>桑名市大仲新田252番25</t>
  </si>
  <si>
    <t>四日市市西新地14番20号</t>
  </si>
  <si>
    <t>四日市市富田浜町26番14号</t>
  </si>
  <si>
    <t>四日市市尾平町195番地1</t>
  </si>
  <si>
    <t>四日市市楠町北五味塚2350　2階</t>
  </si>
  <si>
    <t>四日市市大矢知町1373番地3</t>
  </si>
  <si>
    <t>四日市市大矢知町930番地3</t>
  </si>
  <si>
    <t>四日市市芝田一丁目1番20号</t>
  </si>
  <si>
    <t>四日市市桜町2609番地</t>
  </si>
  <si>
    <t>四日市市笹川三丁目48番地</t>
  </si>
  <si>
    <t>四日市市日永西5丁目6番1号</t>
  </si>
  <si>
    <t>鈴鹿市平田1丁目2番8号</t>
  </si>
  <si>
    <t>鈴鹿市神戸三丁目12番10号</t>
  </si>
  <si>
    <t>鈴鹿市神戸6丁目6番2号</t>
  </si>
  <si>
    <t>亀山市川崎町4678</t>
  </si>
  <si>
    <t>亀山市川合町103番地</t>
  </si>
  <si>
    <t>亀山市栄町1487番地25</t>
  </si>
  <si>
    <t>亀山市太岡寺町1246番地8</t>
  </si>
  <si>
    <t>津市森町2019番地7</t>
  </si>
  <si>
    <t>津市一志町大仰58番地</t>
  </si>
  <si>
    <t>津市あのつ台4丁目6番地1</t>
  </si>
  <si>
    <t>津市神戸154番9</t>
  </si>
  <si>
    <t>津市一志町日置46番地</t>
  </si>
  <si>
    <t>津市垂水522番地1</t>
  </si>
  <si>
    <t>津市久居中町281番地2</t>
  </si>
  <si>
    <t>津市中河原西興2051</t>
  </si>
  <si>
    <t>津市末広町29番2号　カムズエイト1B</t>
  </si>
  <si>
    <t>津市豊が丘3丁目18番2号</t>
  </si>
  <si>
    <t>松阪市白粉町363番地</t>
  </si>
  <si>
    <t>松阪市駅部田町945番地</t>
  </si>
  <si>
    <t>松阪市田村町452番地</t>
  </si>
  <si>
    <t>松阪市朝日町字石田365番地35</t>
  </si>
  <si>
    <t>伊勢市勢田町613番地の12</t>
  </si>
  <si>
    <t>伊勢市岡本1丁目16番31号</t>
  </si>
  <si>
    <t>伊勢市村松町4000番地</t>
  </si>
  <si>
    <t>伊勢市小俣町元町722</t>
  </si>
  <si>
    <t>伊勢市藤里町338番地1</t>
  </si>
  <si>
    <t>尾鷲市矢浜四丁目1番46号</t>
  </si>
  <si>
    <t>伊賀市下友生字鳥ケ峯2916番地</t>
  </si>
  <si>
    <t>伊賀市服部町2丁目97</t>
  </si>
  <si>
    <t>伊賀市四十九町1784番地の25</t>
  </si>
  <si>
    <t>伊賀市上野田端町918番地2</t>
  </si>
  <si>
    <t>名張市百合が丘東9番町260番</t>
  </si>
  <si>
    <t>名張市西原町2920番2</t>
  </si>
  <si>
    <t>名張市桔梗が丘２番町５街区６５番地１０１号室</t>
  </si>
  <si>
    <t>いなべ市北勢町阿下喜3514番地</t>
  </si>
  <si>
    <t>三重郡菰野町潤田1281番地</t>
  </si>
  <si>
    <t>多気郡明和町大字上野435番地</t>
  </si>
  <si>
    <t>多気郡多気町相可1561番地1</t>
  </si>
  <si>
    <t>度会郡玉城町佐田881</t>
  </si>
  <si>
    <t>度会郡大紀町滝原1540</t>
  </si>
  <si>
    <t>志摩市阿児町鵜方2555番地1</t>
  </si>
  <si>
    <t>南牟婁郡御浜町大字下市木940番地の1</t>
  </si>
  <si>
    <t>令和７年１０月１日時点　難病指定医療機関（病院・診療所）</t>
    <rPh sb="0" eb="2">
      <t>レイワ</t>
    </rPh>
    <rPh sb="3" eb="4">
      <t>ネン</t>
    </rPh>
    <rPh sb="6" eb="7">
      <t>ガツ</t>
    </rPh>
    <rPh sb="8" eb="9">
      <t>ニチ</t>
    </rPh>
    <rPh sb="9" eb="11">
      <t>ジテン</t>
    </rPh>
    <rPh sb="12" eb="20">
      <t>ナンビョウシテイイリョウキカン</t>
    </rPh>
    <rPh sb="21" eb="23">
      <t>ビョウイン</t>
    </rPh>
    <rPh sb="24" eb="27">
      <t>シンリョウジョ</t>
    </rPh>
    <phoneticPr fontId="18"/>
  </si>
  <si>
    <t>令和７年１０月１日時点　難病指定医療機関（薬局）</t>
    <rPh sb="0" eb="2">
      <t>レイワ</t>
    </rPh>
    <rPh sb="3" eb="4">
      <t>ネン</t>
    </rPh>
    <rPh sb="6" eb="7">
      <t>ガツ</t>
    </rPh>
    <rPh sb="8" eb="9">
      <t>ニチ</t>
    </rPh>
    <rPh sb="9" eb="11">
      <t>ジテン</t>
    </rPh>
    <rPh sb="12" eb="20">
      <t>ナンビョウシテイイリョウキカン</t>
    </rPh>
    <rPh sb="21" eb="23">
      <t>ヤッキョク</t>
    </rPh>
    <phoneticPr fontId="18"/>
  </si>
  <si>
    <t>令和７年１０月１日時点　難病指定医療機関（訪問看護ステーション）</t>
    <rPh sb="0" eb="2">
      <t>レイワ</t>
    </rPh>
    <rPh sb="3" eb="4">
      <t>ネン</t>
    </rPh>
    <rPh sb="6" eb="7">
      <t>ガツ</t>
    </rPh>
    <rPh sb="8" eb="9">
      <t>ニチ</t>
    </rPh>
    <rPh sb="9" eb="11">
      <t>ジテン</t>
    </rPh>
    <rPh sb="12" eb="20">
      <t>ナンビョウシテイイリョウキカン</t>
    </rPh>
    <rPh sb="21" eb="25">
      <t>ホウモンカンゴ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</si>
</sst>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10" xfId="0" applyBorder="1">
      <alignment vertical="center"/>
    </xf>
    <xf numFmtId="0" fontId="19" fillId="33" borderId="10" xfId="0" applyFont="1" applyFill="1" applyBorder="1">
      <alignment vertical="center"/>
    </xf>
    <xf numFmtId="0" fontId="20" fillId="0" borderId="0" xfId="0" applyFont="1">
      <alignment vertical="center"/>
    </xf>
    <xf numFmtId="0" fontId="0" fillId="0" borderId="10" xfId="0" applyBorder="1" applyAlignment="1">
      <alignment horizontal="right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754F0-28D2-4AFC-ADF1-39E46AAE0910}">
  <sheetPr>
    <pageSetUpPr fitToPage="1"/>
  </sheetPr>
  <dimension ref="A1:D1142"/>
  <sheetViews>
    <sheetView zoomScale="57" zoomScaleNormal="57" workbookViewId="0">
      <selection activeCell="G14" sqref="G14"/>
    </sheetView>
  </sheetViews>
  <sheetFormatPr defaultRowHeight="18" x14ac:dyDescent="0.55000000000000004"/>
  <cols>
    <col min="1" max="1" width="14.6640625" customWidth="1"/>
    <col min="2" max="2" width="59.75" customWidth="1"/>
    <col min="3" max="3" width="61.58203125" customWidth="1"/>
    <col min="4" max="4" width="14.6640625" customWidth="1"/>
  </cols>
  <sheetData>
    <row r="1" spans="1:4" ht="29" x14ac:dyDescent="0.55000000000000004">
      <c r="A1" s="3" t="s">
        <v>3198</v>
      </c>
    </row>
    <row r="2" spans="1:4" x14ac:dyDescent="0.55000000000000004">
      <c r="A2" s="2" t="s">
        <v>0</v>
      </c>
      <c r="B2" s="2" t="s">
        <v>1</v>
      </c>
      <c r="C2" s="2" t="s">
        <v>2</v>
      </c>
      <c r="D2" s="2" t="s">
        <v>3</v>
      </c>
    </row>
    <row r="3" spans="1:4" x14ac:dyDescent="0.55000000000000004">
      <c r="A3" s="4">
        <v>2410101055</v>
      </c>
      <c r="B3" s="1" t="s">
        <v>4</v>
      </c>
      <c r="C3" s="1" t="s">
        <v>2633</v>
      </c>
      <c r="D3" s="1" t="str">
        <f>"0594-22-6300  "</f>
        <v xml:space="preserve">0594-22-6300  </v>
      </c>
    </row>
    <row r="4" spans="1:4" x14ac:dyDescent="0.55000000000000004">
      <c r="A4" s="4">
        <v>2410101261</v>
      </c>
      <c r="B4" s="1" t="s">
        <v>5</v>
      </c>
      <c r="C4" s="1" t="s">
        <v>2634</v>
      </c>
      <c r="D4" s="1" t="str">
        <f>"0594-22-8878  "</f>
        <v xml:space="preserve">0594-22-8878  </v>
      </c>
    </row>
    <row r="5" spans="1:4" x14ac:dyDescent="0.55000000000000004">
      <c r="A5" s="4">
        <v>2410101279</v>
      </c>
      <c r="B5" s="1" t="s">
        <v>6</v>
      </c>
      <c r="C5" s="1" t="str">
        <f>"桑名市大仲新田327-29"</f>
        <v>桑名市大仲新田327-29</v>
      </c>
      <c r="D5" s="1" t="str">
        <f>"0594-31-0700  "</f>
        <v xml:space="preserve">0594-31-0700  </v>
      </c>
    </row>
    <row r="6" spans="1:4" x14ac:dyDescent="0.55000000000000004">
      <c r="A6" s="4">
        <v>2410101360</v>
      </c>
      <c r="B6" s="1" t="s">
        <v>7</v>
      </c>
      <c r="C6" s="1" t="str">
        <f>"桑名市伝馬町12-2　アメニティ桑名1F"</f>
        <v>桑名市伝馬町12-2　アメニティ桑名1F</v>
      </c>
      <c r="D6" s="1" t="str">
        <f>"0594-24-8883  "</f>
        <v xml:space="preserve">0594-24-8883  </v>
      </c>
    </row>
    <row r="7" spans="1:4" x14ac:dyDescent="0.55000000000000004">
      <c r="A7" s="4">
        <v>2410101469</v>
      </c>
      <c r="B7" s="1" t="s">
        <v>8</v>
      </c>
      <c r="C7" s="1" t="str">
        <f>"桑名市三ツ矢橋36-3"</f>
        <v>桑名市三ツ矢橋36-3</v>
      </c>
      <c r="D7" s="1" t="str">
        <f>"0594-27-7500  "</f>
        <v xml:space="preserve">0594-27-7500  </v>
      </c>
    </row>
    <row r="8" spans="1:4" x14ac:dyDescent="0.55000000000000004">
      <c r="A8" s="4">
        <v>2410101477</v>
      </c>
      <c r="B8" s="1" t="s">
        <v>9</v>
      </c>
      <c r="C8" s="1" t="s">
        <v>2635</v>
      </c>
      <c r="D8" s="1" t="str">
        <f>"0594-32-5511  "</f>
        <v xml:space="preserve">0594-32-5511  </v>
      </c>
    </row>
    <row r="9" spans="1:4" x14ac:dyDescent="0.55000000000000004">
      <c r="A9" s="4">
        <v>2410101485</v>
      </c>
      <c r="B9" s="1" t="s">
        <v>10</v>
      </c>
      <c r="C9" s="1" t="s">
        <v>11</v>
      </c>
      <c r="D9" s="1" t="str">
        <f>"0594-31-8080  "</f>
        <v xml:space="preserve">0594-31-8080  </v>
      </c>
    </row>
    <row r="10" spans="1:4" x14ac:dyDescent="0.55000000000000004">
      <c r="A10" s="4">
        <v>2410101493</v>
      </c>
      <c r="B10" s="1" t="s">
        <v>12</v>
      </c>
      <c r="C10" s="1" t="str">
        <f>"桑名市明正通2-464"</f>
        <v>桑名市明正通2-464</v>
      </c>
      <c r="D10" s="1" t="str">
        <f>"0594-27-6111  "</f>
        <v xml:space="preserve">0594-27-6111  </v>
      </c>
    </row>
    <row r="11" spans="1:4" x14ac:dyDescent="0.55000000000000004">
      <c r="A11" s="4">
        <v>2410101501</v>
      </c>
      <c r="B11" s="1" t="s">
        <v>13</v>
      </c>
      <c r="C11" s="1" t="str">
        <f>"桑名市野田三丁目19-9"</f>
        <v>桑名市野田三丁目19-9</v>
      </c>
      <c r="D11" s="1" t="str">
        <f>"0594-31-8000  "</f>
        <v xml:space="preserve">0594-31-8000  </v>
      </c>
    </row>
    <row r="12" spans="1:4" x14ac:dyDescent="0.55000000000000004">
      <c r="A12" s="4">
        <v>2410101527</v>
      </c>
      <c r="B12" s="1" t="s">
        <v>14</v>
      </c>
      <c r="C12" s="1" t="s">
        <v>2636</v>
      </c>
      <c r="D12" s="1" t="str">
        <f>"0594-23-8811  "</f>
        <v xml:space="preserve">0594-23-8811  </v>
      </c>
    </row>
    <row r="13" spans="1:4" x14ac:dyDescent="0.55000000000000004">
      <c r="A13" s="4">
        <v>2410101634</v>
      </c>
      <c r="B13" s="1" t="s">
        <v>15</v>
      </c>
      <c r="C13" s="1" t="s">
        <v>2637</v>
      </c>
      <c r="D13" s="1" t="str">
        <f>"0594-27-5137  "</f>
        <v xml:space="preserve">0594-27-5137  </v>
      </c>
    </row>
    <row r="14" spans="1:4" x14ac:dyDescent="0.55000000000000004">
      <c r="A14" s="4">
        <v>2410101675</v>
      </c>
      <c r="B14" s="1" t="s">
        <v>16</v>
      </c>
      <c r="C14" s="1" t="str">
        <f>"桑名市有楽町1-25　第2アヅマビル3F"</f>
        <v>桑名市有楽町1-25　第2アヅマビル3F</v>
      </c>
      <c r="D14" s="1" t="str">
        <f>"0594-22-6688  "</f>
        <v xml:space="preserve">0594-22-6688  </v>
      </c>
    </row>
    <row r="15" spans="1:4" x14ac:dyDescent="0.55000000000000004">
      <c r="A15" s="4">
        <v>2410101766</v>
      </c>
      <c r="B15" s="1" t="s">
        <v>17</v>
      </c>
      <c r="C15" s="1" t="str">
        <f>"桑名市大字大福字寺跡437-1"</f>
        <v>桑名市大字大福字寺跡437-1</v>
      </c>
      <c r="D15" s="1" t="str">
        <f>"0594-27-5011  "</f>
        <v xml:space="preserve">0594-27-5011  </v>
      </c>
    </row>
    <row r="16" spans="1:4" x14ac:dyDescent="0.55000000000000004">
      <c r="A16" s="4">
        <v>2410101774</v>
      </c>
      <c r="B16" s="1" t="s">
        <v>18</v>
      </c>
      <c r="C16" s="1" t="str">
        <f>"桑名市福島850-5"</f>
        <v>桑名市福島850-5</v>
      </c>
      <c r="D16" s="1" t="str">
        <f>"0594-24-9696  "</f>
        <v xml:space="preserve">0594-24-9696  </v>
      </c>
    </row>
    <row r="17" spans="1:4" x14ac:dyDescent="0.55000000000000004">
      <c r="A17" s="4">
        <v>2410101782</v>
      </c>
      <c r="B17" s="1" t="s">
        <v>19</v>
      </c>
      <c r="C17" s="1" t="str">
        <f>"桑名市福島850-3"</f>
        <v>桑名市福島850-3</v>
      </c>
      <c r="D17" s="1" t="str">
        <f>"0594-23-0223  "</f>
        <v xml:space="preserve">0594-23-0223  </v>
      </c>
    </row>
    <row r="18" spans="1:4" x14ac:dyDescent="0.55000000000000004">
      <c r="A18" s="4">
        <v>2410101790</v>
      </c>
      <c r="B18" s="1" t="s">
        <v>20</v>
      </c>
      <c r="C18" s="1" t="s">
        <v>21</v>
      </c>
      <c r="D18" s="1" t="str">
        <f>"0594-33-1616  "</f>
        <v xml:space="preserve">0594-33-1616  </v>
      </c>
    </row>
    <row r="19" spans="1:4" x14ac:dyDescent="0.55000000000000004">
      <c r="A19" s="4">
        <v>2410101808</v>
      </c>
      <c r="B19" s="1" t="s">
        <v>22</v>
      </c>
      <c r="C19" s="1" t="str">
        <f>"桑名市筒尾6丁目9-19"</f>
        <v>桑名市筒尾6丁目9-19</v>
      </c>
      <c r="D19" s="1" t="str">
        <f>"0594-33-0919  "</f>
        <v xml:space="preserve">0594-33-0919  </v>
      </c>
    </row>
    <row r="20" spans="1:4" x14ac:dyDescent="0.55000000000000004">
      <c r="A20" s="4">
        <v>2410101816</v>
      </c>
      <c r="B20" s="1" t="s">
        <v>23</v>
      </c>
      <c r="C20" s="1" t="s">
        <v>24</v>
      </c>
      <c r="D20" s="1" t="str">
        <f>"0594-24-9870  "</f>
        <v xml:space="preserve">0594-24-9870  </v>
      </c>
    </row>
    <row r="21" spans="1:4" x14ac:dyDescent="0.55000000000000004">
      <c r="A21" s="4">
        <v>2410101832</v>
      </c>
      <c r="B21" s="1" t="s">
        <v>25</v>
      </c>
      <c r="C21" s="1" t="s">
        <v>26</v>
      </c>
      <c r="D21" s="1" t="str">
        <f>"0594-33-2133  "</f>
        <v xml:space="preserve">0594-33-2133  </v>
      </c>
    </row>
    <row r="22" spans="1:4" x14ac:dyDescent="0.55000000000000004">
      <c r="A22" s="4">
        <v>2410101873</v>
      </c>
      <c r="B22" s="1" t="s">
        <v>27</v>
      </c>
      <c r="C22" s="1" t="str">
        <f>"桑名市長島町西外面2012-3加藤ビル2階"</f>
        <v>桑名市長島町西外面2012-3加藤ビル2階</v>
      </c>
      <c r="D22" s="1" t="str">
        <f>"070-1321-9284 "</f>
        <v xml:space="preserve">070-1321-9284 </v>
      </c>
    </row>
    <row r="23" spans="1:4" x14ac:dyDescent="0.55000000000000004">
      <c r="A23" s="4">
        <v>2410101881</v>
      </c>
      <c r="B23" s="1" t="s">
        <v>28</v>
      </c>
      <c r="C23" s="1" t="s">
        <v>2638</v>
      </c>
      <c r="D23" s="1" t="str">
        <f>"0594-23-8811  "</f>
        <v xml:space="preserve">0594-23-8811  </v>
      </c>
    </row>
    <row r="24" spans="1:4" x14ac:dyDescent="0.55000000000000004">
      <c r="A24" s="4">
        <v>2410101899</v>
      </c>
      <c r="B24" s="1" t="s">
        <v>29</v>
      </c>
      <c r="C24" s="1" t="str">
        <f>"桑名市伝馬町12-2　アメニティ桑名１階"</f>
        <v>桑名市伝馬町12-2　アメニティ桑名１階</v>
      </c>
      <c r="D24" s="1" t="str">
        <f>"0594-24-8883  "</f>
        <v xml:space="preserve">0594-24-8883  </v>
      </c>
    </row>
    <row r="25" spans="1:4" x14ac:dyDescent="0.55000000000000004">
      <c r="A25" s="4">
        <v>2410101915</v>
      </c>
      <c r="B25" s="1" t="s">
        <v>30</v>
      </c>
      <c r="C25" s="1" t="s">
        <v>2639</v>
      </c>
      <c r="D25" s="1" t="str">
        <f>"0594-31-1200  "</f>
        <v xml:space="preserve">0594-31-1200  </v>
      </c>
    </row>
    <row r="26" spans="1:4" x14ac:dyDescent="0.55000000000000004">
      <c r="A26" s="4">
        <v>2410101923</v>
      </c>
      <c r="B26" s="1" t="s">
        <v>31</v>
      </c>
      <c r="C26" s="1" t="s">
        <v>32</v>
      </c>
      <c r="D26" s="1" t="str">
        <f>"0594-21-1159  "</f>
        <v xml:space="preserve">0594-21-1159  </v>
      </c>
    </row>
    <row r="27" spans="1:4" x14ac:dyDescent="0.55000000000000004">
      <c r="A27" s="4">
        <v>2410101949</v>
      </c>
      <c r="B27" s="1" t="s">
        <v>33</v>
      </c>
      <c r="C27" s="1" t="s">
        <v>34</v>
      </c>
      <c r="D27" s="1" t="str">
        <f>"0594-88-5757  "</f>
        <v xml:space="preserve">0594-88-5757  </v>
      </c>
    </row>
    <row r="28" spans="1:4" x14ac:dyDescent="0.55000000000000004">
      <c r="A28" s="4">
        <v>2410105072</v>
      </c>
      <c r="B28" s="1" t="s">
        <v>35</v>
      </c>
      <c r="C28" s="1" t="s">
        <v>2640</v>
      </c>
      <c r="D28" s="1" t="str">
        <f>"0594-22-0983  "</f>
        <v xml:space="preserve">0594-22-0983  </v>
      </c>
    </row>
    <row r="29" spans="1:4" x14ac:dyDescent="0.55000000000000004">
      <c r="A29" s="4">
        <v>2410105080</v>
      </c>
      <c r="B29" s="1" t="s">
        <v>36</v>
      </c>
      <c r="C29" s="1" t="s">
        <v>2641</v>
      </c>
      <c r="D29" s="1" t="str">
        <f>"0594-22-0460  "</f>
        <v xml:space="preserve">0594-22-0460  </v>
      </c>
    </row>
    <row r="30" spans="1:4" x14ac:dyDescent="0.55000000000000004">
      <c r="A30" s="4">
        <v>2410105122</v>
      </c>
      <c r="B30" s="1" t="s">
        <v>37</v>
      </c>
      <c r="C30" s="1" t="str">
        <f>"桑名市大字星川1011-1"</f>
        <v>桑名市大字星川1011-1</v>
      </c>
      <c r="D30" s="1" t="str">
        <f>"0594-31-4553  "</f>
        <v xml:space="preserve">0594-31-4553  </v>
      </c>
    </row>
    <row r="31" spans="1:4" x14ac:dyDescent="0.55000000000000004">
      <c r="A31" s="4">
        <v>2410105130</v>
      </c>
      <c r="B31" s="1" t="s">
        <v>38</v>
      </c>
      <c r="C31" s="1" t="s">
        <v>39</v>
      </c>
      <c r="D31" s="1" t="str">
        <f>"0594-41-4781  "</f>
        <v xml:space="preserve">0594-41-4781  </v>
      </c>
    </row>
    <row r="32" spans="1:4" x14ac:dyDescent="0.55000000000000004">
      <c r="A32" s="4">
        <v>2410105171</v>
      </c>
      <c r="B32" s="1" t="s">
        <v>40</v>
      </c>
      <c r="C32" s="1" t="s">
        <v>2642</v>
      </c>
      <c r="D32" s="1" t="str">
        <f>"0594-22-1711  "</f>
        <v xml:space="preserve">0594-22-1711  </v>
      </c>
    </row>
    <row r="33" spans="1:4" x14ac:dyDescent="0.55000000000000004">
      <c r="A33" s="4">
        <v>2410105254</v>
      </c>
      <c r="B33" s="1" t="s">
        <v>41</v>
      </c>
      <c r="C33" s="1" t="s">
        <v>2643</v>
      </c>
      <c r="D33" s="1" t="str">
        <f>"0594-21-2460  "</f>
        <v xml:space="preserve">0594-21-2460  </v>
      </c>
    </row>
    <row r="34" spans="1:4" x14ac:dyDescent="0.55000000000000004">
      <c r="A34" s="4">
        <v>2410105288</v>
      </c>
      <c r="B34" s="1" t="s">
        <v>42</v>
      </c>
      <c r="C34" s="1" t="str">
        <f>"桑名市西方1583-1"</f>
        <v>桑名市西方1583-1</v>
      </c>
      <c r="D34" s="1" t="str">
        <f>"0594-23-6622  "</f>
        <v xml:space="preserve">0594-23-6622  </v>
      </c>
    </row>
    <row r="35" spans="1:4" x14ac:dyDescent="0.55000000000000004">
      <c r="A35" s="4">
        <v>2410105338</v>
      </c>
      <c r="B35" s="1" t="s">
        <v>43</v>
      </c>
      <c r="C35" s="1" t="s">
        <v>2644</v>
      </c>
      <c r="D35" s="1" t="str">
        <f>"0594-22-1111  "</f>
        <v xml:space="preserve">0594-22-1111  </v>
      </c>
    </row>
    <row r="36" spans="1:4" x14ac:dyDescent="0.55000000000000004">
      <c r="A36" s="4">
        <v>2410105346</v>
      </c>
      <c r="B36" s="1" t="s">
        <v>44</v>
      </c>
      <c r="C36" s="1" t="s">
        <v>2645</v>
      </c>
      <c r="D36" s="1" t="str">
        <f>"0594-22-0800  "</f>
        <v xml:space="preserve">0594-22-0800  </v>
      </c>
    </row>
    <row r="37" spans="1:4" x14ac:dyDescent="0.55000000000000004">
      <c r="A37" s="4">
        <v>2410105353</v>
      </c>
      <c r="B37" s="1" t="s">
        <v>45</v>
      </c>
      <c r="C37" s="1" t="s">
        <v>2646</v>
      </c>
      <c r="D37" s="1" t="str">
        <f>"0594-31-2022  "</f>
        <v xml:space="preserve">0594-31-2022  </v>
      </c>
    </row>
    <row r="38" spans="1:4" x14ac:dyDescent="0.55000000000000004">
      <c r="A38" s="4">
        <v>2410105361</v>
      </c>
      <c r="B38" s="1" t="s">
        <v>46</v>
      </c>
      <c r="C38" s="1" t="s">
        <v>2647</v>
      </c>
      <c r="D38" s="1" t="str">
        <f>"0594-22-1550  "</f>
        <v xml:space="preserve">0594-22-1550  </v>
      </c>
    </row>
    <row r="39" spans="1:4" x14ac:dyDescent="0.55000000000000004">
      <c r="A39" s="4">
        <v>2410105395</v>
      </c>
      <c r="B39" s="1" t="s">
        <v>47</v>
      </c>
      <c r="C39" s="1" t="str">
        <f>"桑名市星川744-1"</f>
        <v>桑名市星川744-1</v>
      </c>
      <c r="D39" s="1" t="str">
        <f>"0594-31-9909  "</f>
        <v xml:space="preserve">0594-31-9909  </v>
      </c>
    </row>
    <row r="40" spans="1:4" x14ac:dyDescent="0.55000000000000004">
      <c r="A40" s="4">
        <v>2410105411</v>
      </c>
      <c r="B40" s="1" t="s">
        <v>48</v>
      </c>
      <c r="C40" s="1" t="s">
        <v>2648</v>
      </c>
      <c r="D40" s="1" t="str">
        <f>"0594-21-9110  "</f>
        <v xml:space="preserve">0594-21-9110  </v>
      </c>
    </row>
    <row r="41" spans="1:4" x14ac:dyDescent="0.55000000000000004">
      <c r="A41" s="4">
        <v>2410105429</v>
      </c>
      <c r="B41" s="1" t="s">
        <v>49</v>
      </c>
      <c r="C41" s="1" t="s">
        <v>2649</v>
      </c>
      <c r="D41" s="1" t="str">
        <f>"0594-24-6914  "</f>
        <v xml:space="preserve">0594-24-6914  </v>
      </c>
    </row>
    <row r="42" spans="1:4" x14ac:dyDescent="0.55000000000000004">
      <c r="A42" s="4">
        <v>2410105437</v>
      </c>
      <c r="B42" s="1" t="s">
        <v>50</v>
      </c>
      <c r="C42" s="1" t="s">
        <v>2650</v>
      </c>
      <c r="D42" s="1" t="str">
        <f>"0594-24-7225  "</f>
        <v xml:space="preserve">0594-24-7225  </v>
      </c>
    </row>
    <row r="43" spans="1:4" x14ac:dyDescent="0.55000000000000004">
      <c r="A43" s="4">
        <v>2410105445</v>
      </c>
      <c r="B43" s="1" t="s">
        <v>51</v>
      </c>
      <c r="C43" s="1" t="str">
        <f>"桑名市増田599-1"</f>
        <v>桑名市増田599-1</v>
      </c>
      <c r="D43" s="1" t="str">
        <f>"0594-23-8800  "</f>
        <v xml:space="preserve">0594-23-8800  </v>
      </c>
    </row>
    <row r="44" spans="1:4" x14ac:dyDescent="0.55000000000000004">
      <c r="A44" s="4">
        <v>2410105452</v>
      </c>
      <c r="B44" s="1" t="s">
        <v>52</v>
      </c>
      <c r="C44" s="1" t="str">
        <f>"桑名市大山田1丁目7-8"</f>
        <v>桑名市大山田1丁目7-8</v>
      </c>
      <c r="D44" s="1" t="str">
        <f>"0594-31-8733  "</f>
        <v xml:space="preserve">0594-31-8733  </v>
      </c>
    </row>
    <row r="45" spans="1:4" x14ac:dyDescent="0.55000000000000004">
      <c r="A45" s="4">
        <v>2410105544</v>
      </c>
      <c r="B45" s="1" t="s">
        <v>53</v>
      </c>
      <c r="C45" s="1" t="str">
        <f>"桑名市大仲新田屋敷327-2"</f>
        <v>桑名市大仲新田屋敷327-2</v>
      </c>
      <c r="D45" s="1" t="str">
        <f>"0594-31-8555  "</f>
        <v xml:space="preserve">0594-31-8555  </v>
      </c>
    </row>
    <row r="46" spans="1:4" x14ac:dyDescent="0.55000000000000004">
      <c r="A46" s="4">
        <v>2410105551</v>
      </c>
      <c r="B46" s="1" t="s">
        <v>54</v>
      </c>
      <c r="C46" s="1" t="str">
        <f>"桑名市星見ヶ丘三丁目203-1"</f>
        <v>桑名市星見ヶ丘三丁目203-1</v>
      </c>
      <c r="D46" s="1" t="str">
        <f>"0594-32-5551  "</f>
        <v xml:space="preserve">0594-32-5551  </v>
      </c>
    </row>
    <row r="47" spans="1:4" x14ac:dyDescent="0.55000000000000004">
      <c r="A47" s="4">
        <v>2410105569</v>
      </c>
      <c r="B47" s="1" t="s">
        <v>55</v>
      </c>
      <c r="C47" s="1" t="s">
        <v>2651</v>
      </c>
      <c r="D47" s="1" t="str">
        <f>"0594-23-0452  "</f>
        <v xml:space="preserve">0594-23-0452  </v>
      </c>
    </row>
    <row r="48" spans="1:4" x14ac:dyDescent="0.55000000000000004">
      <c r="A48" s="4">
        <v>2410105577</v>
      </c>
      <c r="B48" s="1" t="s">
        <v>56</v>
      </c>
      <c r="C48" s="1" t="str">
        <f>"桑名市藤が丘9-109"</f>
        <v>桑名市藤が丘9-109</v>
      </c>
      <c r="D48" s="1" t="str">
        <f>"0594-24-8777  "</f>
        <v xml:space="preserve">0594-24-8777  </v>
      </c>
    </row>
    <row r="49" spans="1:4" x14ac:dyDescent="0.55000000000000004">
      <c r="A49" s="4">
        <v>2410105593</v>
      </c>
      <c r="B49" s="1" t="s">
        <v>57</v>
      </c>
      <c r="C49" s="1" t="s">
        <v>2652</v>
      </c>
      <c r="D49" s="1" t="str">
        <f>"0594-32-1222  "</f>
        <v xml:space="preserve">0594-32-1222  </v>
      </c>
    </row>
    <row r="50" spans="1:4" x14ac:dyDescent="0.55000000000000004">
      <c r="A50" s="4">
        <v>2410105601</v>
      </c>
      <c r="B50" s="1" t="s">
        <v>58</v>
      </c>
      <c r="C50" s="1" t="s">
        <v>59</v>
      </c>
      <c r="D50" s="1" t="str">
        <f>"0594-33-3900  "</f>
        <v xml:space="preserve">0594-33-3900  </v>
      </c>
    </row>
    <row r="51" spans="1:4" x14ac:dyDescent="0.55000000000000004">
      <c r="A51" s="4">
        <v>2410105643</v>
      </c>
      <c r="B51" s="1" t="s">
        <v>60</v>
      </c>
      <c r="C51" s="1" t="s">
        <v>2653</v>
      </c>
      <c r="D51" s="1" t="str">
        <f>"0594-45-0555  "</f>
        <v xml:space="preserve">0594-45-0555  </v>
      </c>
    </row>
    <row r="52" spans="1:4" x14ac:dyDescent="0.55000000000000004">
      <c r="A52" s="4">
        <v>2410105676</v>
      </c>
      <c r="B52" s="1" t="s">
        <v>61</v>
      </c>
      <c r="C52" s="1" t="s">
        <v>2654</v>
      </c>
      <c r="D52" s="1" t="str">
        <f>"0594-48-2100  "</f>
        <v xml:space="preserve">0594-48-2100  </v>
      </c>
    </row>
    <row r="53" spans="1:4" x14ac:dyDescent="0.55000000000000004">
      <c r="A53" s="4">
        <v>2410105684</v>
      </c>
      <c r="B53" s="1" t="s">
        <v>62</v>
      </c>
      <c r="C53" s="1" t="s">
        <v>2655</v>
      </c>
      <c r="D53" s="1" t="str">
        <f>"0594-42-4080  "</f>
        <v xml:space="preserve">0594-42-4080  </v>
      </c>
    </row>
    <row r="54" spans="1:4" x14ac:dyDescent="0.55000000000000004">
      <c r="A54" s="4">
        <v>2410105692</v>
      </c>
      <c r="B54" s="1" t="s">
        <v>63</v>
      </c>
      <c r="C54" s="1" t="str">
        <f>"桑名市大央町21-15"</f>
        <v>桑名市大央町21-15</v>
      </c>
      <c r="D54" s="1" t="str">
        <f>"0594-23-3547  "</f>
        <v xml:space="preserve">0594-23-3547  </v>
      </c>
    </row>
    <row r="55" spans="1:4" x14ac:dyDescent="0.55000000000000004">
      <c r="A55" s="4">
        <v>2410105700</v>
      </c>
      <c r="B55" s="1" t="s">
        <v>64</v>
      </c>
      <c r="C55" s="1" t="s">
        <v>2656</v>
      </c>
      <c r="D55" s="1" t="str">
        <f>"0594-27-0022  "</f>
        <v xml:space="preserve">0594-27-0022  </v>
      </c>
    </row>
    <row r="56" spans="1:4" x14ac:dyDescent="0.55000000000000004">
      <c r="A56" s="4">
        <v>2410105718</v>
      </c>
      <c r="B56" s="1" t="s">
        <v>65</v>
      </c>
      <c r="C56" s="1" t="s">
        <v>2657</v>
      </c>
      <c r="D56" s="1" t="str">
        <f>"0594-31-4080  "</f>
        <v xml:space="preserve">0594-31-4080  </v>
      </c>
    </row>
    <row r="57" spans="1:4" x14ac:dyDescent="0.55000000000000004">
      <c r="A57" s="4">
        <v>2410105726</v>
      </c>
      <c r="B57" s="1" t="s">
        <v>66</v>
      </c>
      <c r="C57" s="1" t="s">
        <v>2658</v>
      </c>
      <c r="D57" s="1" t="str">
        <f>"0594-27-2777  "</f>
        <v xml:space="preserve">0594-27-2777  </v>
      </c>
    </row>
    <row r="58" spans="1:4" x14ac:dyDescent="0.55000000000000004">
      <c r="A58" s="4">
        <v>2410105742</v>
      </c>
      <c r="B58" s="1" t="s">
        <v>67</v>
      </c>
      <c r="C58" s="1" t="s">
        <v>68</v>
      </c>
      <c r="D58" s="1" t="str">
        <f>"0594-22-1010  "</f>
        <v xml:space="preserve">0594-22-1010  </v>
      </c>
    </row>
    <row r="59" spans="1:4" x14ac:dyDescent="0.55000000000000004">
      <c r="A59" s="4">
        <v>2410105775</v>
      </c>
      <c r="B59" s="1" t="s">
        <v>69</v>
      </c>
      <c r="C59" s="1" t="str">
        <f>"桑名市伊賀町55-2"</f>
        <v>桑名市伊賀町55-2</v>
      </c>
      <c r="D59" s="1" t="str">
        <f>"0594-22-5761  "</f>
        <v xml:space="preserve">0594-22-5761  </v>
      </c>
    </row>
    <row r="60" spans="1:4" x14ac:dyDescent="0.55000000000000004">
      <c r="A60" s="4">
        <v>2410105783</v>
      </c>
      <c r="B60" s="1" t="s">
        <v>70</v>
      </c>
      <c r="C60" s="1" t="s">
        <v>2659</v>
      </c>
      <c r="D60" s="1" t="str">
        <f>"0594-45-8111  "</f>
        <v xml:space="preserve">0594-45-8111  </v>
      </c>
    </row>
    <row r="61" spans="1:4" x14ac:dyDescent="0.55000000000000004">
      <c r="A61" s="4">
        <v>2410105791</v>
      </c>
      <c r="B61" s="1" t="s">
        <v>71</v>
      </c>
      <c r="C61" s="1" t="s">
        <v>72</v>
      </c>
      <c r="D61" s="1" t="str">
        <f>"0594-22-1211  "</f>
        <v xml:space="preserve">0594-22-1211  </v>
      </c>
    </row>
    <row r="62" spans="1:4" x14ac:dyDescent="0.55000000000000004">
      <c r="A62" s="4">
        <v>2410105809</v>
      </c>
      <c r="B62" s="1" t="s">
        <v>73</v>
      </c>
      <c r="C62" s="1" t="s">
        <v>2660</v>
      </c>
      <c r="D62" s="1" t="str">
        <f>"0594-87-5222  "</f>
        <v xml:space="preserve">0594-87-5222  </v>
      </c>
    </row>
    <row r="63" spans="1:4" x14ac:dyDescent="0.55000000000000004">
      <c r="A63" s="4">
        <v>2410105858</v>
      </c>
      <c r="B63" s="1" t="s">
        <v>74</v>
      </c>
      <c r="C63" s="1" t="s">
        <v>75</v>
      </c>
      <c r="D63" s="1" t="str">
        <f>"0594-27-7800  "</f>
        <v xml:space="preserve">0594-27-7800  </v>
      </c>
    </row>
    <row r="64" spans="1:4" x14ac:dyDescent="0.55000000000000004">
      <c r="A64" s="4">
        <v>2410105866</v>
      </c>
      <c r="B64" s="1" t="s">
        <v>76</v>
      </c>
      <c r="C64" s="1" t="s">
        <v>2661</v>
      </c>
      <c r="D64" s="1" t="str">
        <f>"0594-48-5311  "</f>
        <v xml:space="preserve">0594-48-5311  </v>
      </c>
    </row>
    <row r="65" spans="1:4" x14ac:dyDescent="0.55000000000000004">
      <c r="A65" s="4">
        <v>2410105874</v>
      </c>
      <c r="B65" s="1" t="s">
        <v>77</v>
      </c>
      <c r="C65" s="1" t="s">
        <v>78</v>
      </c>
      <c r="D65" s="1" t="str">
        <f>"0594-23-1120  "</f>
        <v xml:space="preserve">0594-23-1120  </v>
      </c>
    </row>
    <row r="66" spans="1:4" x14ac:dyDescent="0.55000000000000004">
      <c r="A66" s="4">
        <v>2410105882</v>
      </c>
      <c r="B66" s="1" t="s">
        <v>79</v>
      </c>
      <c r="C66" s="1" t="str">
        <f>"桑名市五反田2008-120"</f>
        <v>桑名市五反田2008-120</v>
      </c>
      <c r="D66" s="1" t="str">
        <f>"0594-82-7575  "</f>
        <v xml:space="preserve">0594-82-7575  </v>
      </c>
    </row>
    <row r="67" spans="1:4" x14ac:dyDescent="0.55000000000000004">
      <c r="A67" s="4">
        <v>2410105890</v>
      </c>
      <c r="B67" s="1" t="s">
        <v>80</v>
      </c>
      <c r="C67" s="1" t="str">
        <f>"桑名市江場456-3"</f>
        <v>桑名市江場456-3</v>
      </c>
      <c r="D67" s="1" t="str">
        <f>"0594-23-3200  "</f>
        <v xml:space="preserve">0594-23-3200  </v>
      </c>
    </row>
    <row r="68" spans="1:4" x14ac:dyDescent="0.55000000000000004">
      <c r="A68" s="4">
        <v>2410105916</v>
      </c>
      <c r="B68" s="1" t="s">
        <v>81</v>
      </c>
      <c r="C68" s="1" t="s">
        <v>82</v>
      </c>
      <c r="D68" s="1" t="str">
        <f>"0594-41-5155  "</f>
        <v xml:space="preserve">0594-41-5155  </v>
      </c>
    </row>
    <row r="69" spans="1:4" x14ac:dyDescent="0.55000000000000004">
      <c r="A69" s="4">
        <v>2410105924</v>
      </c>
      <c r="B69" s="1" t="s">
        <v>83</v>
      </c>
      <c r="C69" s="1" t="str">
        <f>"桑名市大字赤尾2031-1"</f>
        <v>桑名市大字赤尾2031-1</v>
      </c>
      <c r="D69" s="1" t="str">
        <f>"0594-32-4112  "</f>
        <v xml:space="preserve">0594-32-4112  </v>
      </c>
    </row>
    <row r="70" spans="1:4" x14ac:dyDescent="0.55000000000000004">
      <c r="A70" s="4">
        <v>2410105940</v>
      </c>
      <c r="B70" s="1" t="s">
        <v>84</v>
      </c>
      <c r="C70" s="1" t="s">
        <v>85</v>
      </c>
      <c r="D70" s="1" t="str">
        <f>"0594-27-1703  "</f>
        <v xml:space="preserve">0594-27-1703  </v>
      </c>
    </row>
    <row r="71" spans="1:4" x14ac:dyDescent="0.55000000000000004">
      <c r="A71" s="4">
        <v>2410105957</v>
      </c>
      <c r="B71" s="1" t="s">
        <v>86</v>
      </c>
      <c r="C71" s="1" t="s">
        <v>87</v>
      </c>
      <c r="D71" s="1" t="str">
        <f>"0594-31-3100  "</f>
        <v xml:space="preserve">0594-31-3100  </v>
      </c>
    </row>
    <row r="72" spans="1:4" x14ac:dyDescent="0.55000000000000004">
      <c r="A72" s="4">
        <v>2410105965</v>
      </c>
      <c r="B72" s="1" t="s">
        <v>88</v>
      </c>
      <c r="C72" s="1" t="s">
        <v>89</v>
      </c>
      <c r="D72" s="1" t="str">
        <f>"0594-32-7500  "</f>
        <v xml:space="preserve">0594-32-7500  </v>
      </c>
    </row>
    <row r="73" spans="1:4" x14ac:dyDescent="0.55000000000000004">
      <c r="A73" s="4">
        <v>2430100400</v>
      </c>
      <c r="B73" s="1" t="s">
        <v>1163</v>
      </c>
      <c r="C73" s="1" t="s">
        <v>2973</v>
      </c>
      <c r="D73" s="1" t="str">
        <f>"0594-23-5600  "</f>
        <v xml:space="preserve">0594-23-5600  </v>
      </c>
    </row>
    <row r="74" spans="1:4" x14ac:dyDescent="0.55000000000000004">
      <c r="A74" s="4">
        <v>2430100681</v>
      </c>
      <c r="B74" s="1" t="s">
        <v>1164</v>
      </c>
      <c r="C74" s="1" t="str">
        <f>"桑名市中央町2-34"</f>
        <v>桑名市中央町2-34</v>
      </c>
      <c r="D74" s="1" t="str">
        <f>"0594-24-0418  "</f>
        <v xml:space="preserve">0594-24-0418  </v>
      </c>
    </row>
    <row r="75" spans="1:4" x14ac:dyDescent="0.55000000000000004">
      <c r="A75" s="4">
        <v>2430100715</v>
      </c>
      <c r="B75" s="1" t="s">
        <v>1165</v>
      </c>
      <c r="C75" s="1" t="s">
        <v>1166</v>
      </c>
      <c r="D75" s="1" t="str">
        <f>"0594-23-3154  "</f>
        <v xml:space="preserve">0594-23-3154  </v>
      </c>
    </row>
    <row r="76" spans="1:4" x14ac:dyDescent="0.55000000000000004">
      <c r="A76" s="4">
        <v>2430100939</v>
      </c>
      <c r="B76" s="1" t="s">
        <v>1167</v>
      </c>
      <c r="C76" s="1" t="str">
        <f>"桑名市陽だまりの丘2-1501"</f>
        <v>桑名市陽だまりの丘2-1501</v>
      </c>
      <c r="D76" s="1" t="str">
        <f>"0594-31-8418  "</f>
        <v xml:space="preserve">0594-31-8418  </v>
      </c>
    </row>
    <row r="77" spans="1:4" x14ac:dyDescent="0.55000000000000004">
      <c r="A77" s="4">
        <v>2430101028</v>
      </c>
      <c r="B77" s="1" t="s">
        <v>1168</v>
      </c>
      <c r="C77" s="1" t="str">
        <f>"桑名市多度町多度854-2"</f>
        <v>桑名市多度町多度854-2</v>
      </c>
      <c r="D77" s="1" t="str">
        <f>"0594-48-3710  "</f>
        <v xml:space="preserve">0594-48-3710  </v>
      </c>
    </row>
    <row r="78" spans="1:4" x14ac:dyDescent="0.55000000000000004">
      <c r="A78" s="4">
        <v>2430105045</v>
      </c>
      <c r="B78" s="1" t="s">
        <v>1169</v>
      </c>
      <c r="C78" s="1" t="s">
        <v>2974</v>
      </c>
      <c r="D78" s="1" t="str">
        <f>"0594-22-8336  "</f>
        <v xml:space="preserve">0594-22-8336  </v>
      </c>
    </row>
    <row r="79" spans="1:4" x14ac:dyDescent="0.55000000000000004">
      <c r="A79" s="4">
        <v>2430105128</v>
      </c>
      <c r="B79" s="1" t="s">
        <v>1170</v>
      </c>
      <c r="C79" s="1" t="s">
        <v>2975</v>
      </c>
      <c r="D79" s="1" t="str">
        <f>"0594-25-1818  "</f>
        <v xml:space="preserve">0594-25-1818  </v>
      </c>
    </row>
    <row r="80" spans="1:4" x14ac:dyDescent="0.55000000000000004">
      <c r="A80" s="4">
        <v>2430105151</v>
      </c>
      <c r="B80" s="1" t="s">
        <v>1171</v>
      </c>
      <c r="C80" s="1" t="s">
        <v>2976</v>
      </c>
      <c r="D80" s="1" t="str">
        <f>"0594-42-1811  "</f>
        <v xml:space="preserve">0594-42-1811  </v>
      </c>
    </row>
    <row r="81" spans="1:4" x14ac:dyDescent="0.55000000000000004">
      <c r="A81" s="4" t="s">
        <v>2627</v>
      </c>
      <c r="B81" s="1" t="s">
        <v>2628</v>
      </c>
      <c r="C81" s="1" t="s">
        <v>2653</v>
      </c>
      <c r="D81" s="1" t="str">
        <f>"0594-45-0555  "</f>
        <v xml:space="preserve">0594-45-0555  </v>
      </c>
    </row>
    <row r="82" spans="1:4" x14ac:dyDescent="0.55000000000000004">
      <c r="A82" s="4">
        <v>2411400084</v>
      </c>
      <c r="B82" s="1" t="s">
        <v>985</v>
      </c>
      <c r="C82" s="1" t="s">
        <v>2922</v>
      </c>
      <c r="D82" s="1" t="str">
        <f>"0594-78-0037  "</f>
        <v xml:space="preserve">0594-78-0037  </v>
      </c>
    </row>
    <row r="83" spans="1:4" x14ac:dyDescent="0.55000000000000004">
      <c r="A83" s="4">
        <v>2411400126</v>
      </c>
      <c r="B83" s="1" t="s">
        <v>107</v>
      </c>
      <c r="C83" s="1" t="s">
        <v>2923</v>
      </c>
      <c r="D83" s="1" t="str">
        <f>"0594-72-2288  "</f>
        <v xml:space="preserve">0594-72-2288  </v>
      </c>
    </row>
    <row r="84" spans="1:4" x14ac:dyDescent="0.55000000000000004">
      <c r="A84" s="4">
        <v>2411400134</v>
      </c>
      <c r="B84" s="1" t="s">
        <v>986</v>
      </c>
      <c r="C84" s="1" t="str">
        <f>"いなべ市員弁町大泉新田55-1"</f>
        <v>いなべ市員弁町大泉新田55-1</v>
      </c>
      <c r="D84" s="1" t="str">
        <f>"0594-84-2233  "</f>
        <v xml:space="preserve">0594-84-2233  </v>
      </c>
    </row>
    <row r="85" spans="1:4" x14ac:dyDescent="0.55000000000000004">
      <c r="A85" s="4">
        <v>2411400175</v>
      </c>
      <c r="B85" s="1" t="s">
        <v>987</v>
      </c>
      <c r="C85" s="1" t="str">
        <f>"いなべ市員弁町大泉新田504-1"</f>
        <v>いなべ市員弁町大泉新田504-1</v>
      </c>
      <c r="D85" s="1" t="str">
        <f>"0594-74-6668  "</f>
        <v xml:space="preserve">0594-74-6668  </v>
      </c>
    </row>
    <row r="86" spans="1:4" x14ac:dyDescent="0.55000000000000004">
      <c r="A86" s="4">
        <v>2411400183</v>
      </c>
      <c r="B86" s="1" t="s">
        <v>988</v>
      </c>
      <c r="C86" s="1" t="str">
        <f>"いなべ市員弁町松之木148-3"</f>
        <v>いなべ市員弁町松之木148-3</v>
      </c>
      <c r="D86" s="1" t="str">
        <f>"0594-84-1035  "</f>
        <v xml:space="preserve">0594-84-1035  </v>
      </c>
    </row>
    <row r="87" spans="1:4" x14ac:dyDescent="0.55000000000000004">
      <c r="A87" s="4">
        <v>2411400209</v>
      </c>
      <c r="B87" s="1" t="s">
        <v>989</v>
      </c>
      <c r="C87" s="1" t="str">
        <f>"いなべ市北勢町麻生田3597-1"</f>
        <v>いなべ市北勢町麻生田3597-1</v>
      </c>
      <c r="D87" s="1" t="str">
        <f>"0594-82-1002  "</f>
        <v xml:space="preserve">0594-82-1002  </v>
      </c>
    </row>
    <row r="88" spans="1:4" x14ac:dyDescent="0.55000000000000004">
      <c r="A88" s="4">
        <v>2411400225</v>
      </c>
      <c r="B88" s="1" t="s">
        <v>990</v>
      </c>
      <c r="C88" s="1" t="str">
        <f>"いなべ市北勢町阿下喜2062-1"</f>
        <v>いなべ市北勢町阿下喜2062-1</v>
      </c>
      <c r="D88" s="1" t="str">
        <f>"0594-72-2013  "</f>
        <v xml:space="preserve">0594-72-2013  </v>
      </c>
    </row>
    <row r="89" spans="1:4" x14ac:dyDescent="0.55000000000000004">
      <c r="A89" s="4">
        <v>2411400258</v>
      </c>
      <c r="B89" s="1" t="s">
        <v>991</v>
      </c>
      <c r="C89" s="1" t="s">
        <v>992</v>
      </c>
      <c r="D89" s="1" t="str">
        <f>"0594-77-0311  "</f>
        <v xml:space="preserve">0594-77-0311  </v>
      </c>
    </row>
    <row r="90" spans="1:4" x14ac:dyDescent="0.55000000000000004">
      <c r="A90" s="4">
        <v>2411405018</v>
      </c>
      <c r="B90" s="1" t="s">
        <v>993</v>
      </c>
      <c r="C90" s="1" t="s">
        <v>994</v>
      </c>
      <c r="D90" s="1" t="str">
        <f>"0594-72-2000  "</f>
        <v xml:space="preserve">0594-72-2000  </v>
      </c>
    </row>
    <row r="91" spans="1:4" x14ac:dyDescent="0.55000000000000004">
      <c r="A91" s="4">
        <v>2411405034</v>
      </c>
      <c r="B91" s="1" t="s">
        <v>995</v>
      </c>
      <c r="C91" s="1" t="s">
        <v>2924</v>
      </c>
      <c r="D91" s="1" t="str">
        <f>"0594-72-2511  "</f>
        <v xml:space="preserve">0594-72-2511  </v>
      </c>
    </row>
    <row r="92" spans="1:4" x14ac:dyDescent="0.55000000000000004">
      <c r="A92" s="4">
        <v>2411405083</v>
      </c>
      <c r="B92" s="1" t="s">
        <v>996</v>
      </c>
      <c r="C92" s="1" t="s">
        <v>2925</v>
      </c>
      <c r="D92" s="1" t="str">
        <f>"0594-46-2012  "</f>
        <v xml:space="preserve">0594-46-2012  </v>
      </c>
    </row>
    <row r="93" spans="1:4" x14ac:dyDescent="0.55000000000000004">
      <c r="A93" s="4">
        <v>2411405091</v>
      </c>
      <c r="B93" s="1" t="s">
        <v>997</v>
      </c>
      <c r="C93" s="1" t="str">
        <f>"いなべ市北勢町中山9-1"</f>
        <v>いなべ市北勢町中山9-1</v>
      </c>
      <c r="D93" s="1" t="str">
        <f>"0594-72-3163  "</f>
        <v xml:space="preserve">0594-72-3163  </v>
      </c>
    </row>
    <row r="94" spans="1:4" x14ac:dyDescent="0.55000000000000004">
      <c r="A94" s="4">
        <v>2411405109</v>
      </c>
      <c r="B94" s="1" t="s">
        <v>998</v>
      </c>
      <c r="C94" s="1" t="s">
        <v>2926</v>
      </c>
      <c r="D94" s="1" t="str">
        <f>"0594-84-1700  "</f>
        <v xml:space="preserve">0594-84-1700  </v>
      </c>
    </row>
    <row r="95" spans="1:4" x14ac:dyDescent="0.55000000000000004">
      <c r="A95" s="4">
        <v>2411405117</v>
      </c>
      <c r="B95" s="1" t="s">
        <v>999</v>
      </c>
      <c r="C95" s="1" t="s">
        <v>2927</v>
      </c>
      <c r="D95" s="1" t="str">
        <f>"0594-77-0154  "</f>
        <v xml:space="preserve">0594-77-0154  </v>
      </c>
    </row>
    <row r="96" spans="1:4" x14ac:dyDescent="0.55000000000000004">
      <c r="A96" s="4">
        <v>2411405125</v>
      </c>
      <c r="B96" s="1" t="s">
        <v>1000</v>
      </c>
      <c r="C96" s="1" t="s">
        <v>1001</v>
      </c>
      <c r="D96" s="1" t="str">
        <f>"0594-37-6889  "</f>
        <v xml:space="preserve">0594-37-6889  </v>
      </c>
    </row>
    <row r="97" spans="1:4" x14ac:dyDescent="0.55000000000000004">
      <c r="A97" s="4">
        <v>2431400130</v>
      </c>
      <c r="B97" s="1" t="s">
        <v>1247</v>
      </c>
      <c r="C97" s="1" t="str">
        <f>"いなべ市北勢町麻生田3315-1"</f>
        <v>いなべ市北勢町麻生田3315-1</v>
      </c>
      <c r="D97" s="1" t="str">
        <f>"0594-72-6601  "</f>
        <v xml:space="preserve">0594-72-6601  </v>
      </c>
    </row>
    <row r="98" spans="1:4" x14ac:dyDescent="0.55000000000000004">
      <c r="A98" s="4">
        <v>2431400155</v>
      </c>
      <c r="B98" s="1" t="s">
        <v>1248</v>
      </c>
      <c r="C98" s="1" t="str">
        <f>"いなべ市大安町石榑東1853-7"</f>
        <v>いなべ市大安町石榑東1853-7</v>
      </c>
      <c r="D98" s="1" t="str">
        <f>"0594-78-4141  "</f>
        <v xml:space="preserve">0594-78-4141  </v>
      </c>
    </row>
    <row r="99" spans="1:4" x14ac:dyDescent="0.55000000000000004">
      <c r="A99" s="4">
        <v>2431405048</v>
      </c>
      <c r="B99" s="1" t="s">
        <v>1249</v>
      </c>
      <c r="C99" s="1" t="s">
        <v>1250</v>
      </c>
      <c r="D99" s="1" t="str">
        <f>"0594-78-4618  "</f>
        <v xml:space="preserve">0594-78-4618  </v>
      </c>
    </row>
    <row r="100" spans="1:4" x14ac:dyDescent="0.55000000000000004">
      <c r="A100" s="4">
        <v>2431405071</v>
      </c>
      <c r="B100" s="1" t="s">
        <v>1251</v>
      </c>
      <c r="C100" s="1" t="s">
        <v>1252</v>
      </c>
      <c r="D100" s="1" t="str">
        <f>"0594-72-7800  "</f>
        <v xml:space="preserve">0594-72-7800  </v>
      </c>
    </row>
    <row r="101" spans="1:4" x14ac:dyDescent="0.55000000000000004">
      <c r="A101" s="4">
        <v>2441405133</v>
      </c>
      <c r="B101" s="1" t="s">
        <v>2188</v>
      </c>
      <c r="C101" s="1" t="s">
        <v>2189</v>
      </c>
      <c r="D101" s="1" t="str">
        <f>"0594-72-8880  "</f>
        <v xml:space="preserve">0594-72-8880  </v>
      </c>
    </row>
    <row r="102" spans="1:4" x14ac:dyDescent="0.55000000000000004">
      <c r="A102" s="4">
        <v>2412000255</v>
      </c>
      <c r="B102" s="1" t="s">
        <v>1002</v>
      </c>
      <c r="C102" s="1" t="str">
        <f>"桑名郡木曽岬町大字西対海地258-1"</f>
        <v>桑名郡木曽岬町大字西対海地258-1</v>
      </c>
      <c r="D102" s="1" t="str">
        <f>"0567-68-3380  "</f>
        <v xml:space="preserve">0567-68-3380  </v>
      </c>
    </row>
    <row r="103" spans="1:4" x14ac:dyDescent="0.55000000000000004">
      <c r="A103" s="4">
        <v>2412005106</v>
      </c>
      <c r="B103" s="1" t="s">
        <v>1003</v>
      </c>
      <c r="C103" s="1" t="s">
        <v>2928</v>
      </c>
      <c r="D103" s="1" t="str">
        <f>"0567-68-7230  "</f>
        <v xml:space="preserve">0567-68-7230  </v>
      </c>
    </row>
    <row r="104" spans="1:4" x14ac:dyDescent="0.55000000000000004">
      <c r="A104" s="4">
        <v>2412100451</v>
      </c>
      <c r="B104" s="1" t="s">
        <v>1004</v>
      </c>
      <c r="C104" s="1" t="str">
        <f>"員弁郡東員町中上278-1"</f>
        <v>員弁郡東員町中上278-1</v>
      </c>
      <c r="D104" s="1" t="str">
        <f>"0594-76-0706  "</f>
        <v xml:space="preserve">0594-76-0706  </v>
      </c>
    </row>
    <row r="105" spans="1:4" x14ac:dyDescent="0.55000000000000004">
      <c r="A105" s="4">
        <v>2412100527</v>
      </c>
      <c r="B105" s="1" t="s">
        <v>1005</v>
      </c>
      <c r="C105" s="1" t="str">
        <f>"員弁郡東員町山田白草3076-1"</f>
        <v>員弁郡東員町山田白草3076-1</v>
      </c>
      <c r="D105" s="1" t="str">
        <f>"0594-86-0555  "</f>
        <v xml:space="preserve">0594-86-0555  </v>
      </c>
    </row>
    <row r="106" spans="1:4" x14ac:dyDescent="0.55000000000000004">
      <c r="A106" s="4">
        <v>2412100600</v>
      </c>
      <c r="B106" s="1" t="s">
        <v>1006</v>
      </c>
      <c r="C106" s="1" t="s">
        <v>2929</v>
      </c>
      <c r="D106" s="1" t="str">
        <f>"0594-86-2112  "</f>
        <v xml:space="preserve">0594-86-2112  </v>
      </c>
    </row>
    <row r="107" spans="1:4" x14ac:dyDescent="0.55000000000000004">
      <c r="A107" s="4">
        <v>2412100618</v>
      </c>
      <c r="B107" s="1" t="s">
        <v>1007</v>
      </c>
      <c r="C107" s="1" t="s">
        <v>2930</v>
      </c>
      <c r="D107" s="1" t="str">
        <f>"0594-82-7001  "</f>
        <v xml:space="preserve">0594-82-7001  </v>
      </c>
    </row>
    <row r="108" spans="1:4" x14ac:dyDescent="0.55000000000000004">
      <c r="A108" s="4">
        <v>2412100626</v>
      </c>
      <c r="B108" s="1" t="s">
        <v>1008</v>
      </c>
      <c r="C108" s="1" t="str">
        <f>"員弁郡東員町八幡新田139-1"</f>
        <v>員弁郡東員町八幡新田139-1</v>
      </c>
      <c r="D108" s="1" t="str">
        <f>"0594-86-1525  "</f>
        <v xml:space="preserve">0594-86-1525  </v>
      </c>
    </row>
    <row r="109" spans="1:4" x14ac:dyDescent="0.55000000000000004">
      <c r="A109" s="4">
        <v>2412100667</v>
      </c>
      <c r="B109" s="1" t="s">
        <v>1009</v>
      </c>
      <c r="C109" s="1" t="str">
        <f>"員弁郡東員町長深883-1"</f>
        <v>員弁郡東員町長深883-1</v>
      </c>
      <c r="D109" s="1" t="str">
        <f>"0594-82-7230  "</f>
        <v xml:space="preserve">0594-82-7230  </v>
      </c>
    </row>
    <row r="110" spans="1:4" x14ac:dyDescent="0.55000000000000004">
      <c r="A110" s="4">
        <v>2412105104</v>
      </c>
      <c r="B110" s="1" t="s">
        <v>1010</v>
      </c>
      <c r="C110" s="1" t="s">
        <v>2931</v>
      </c>
      <c r="D110" s="1" t="str">
        <f>"0594-76-2345  "</f>
        <v xml:space="preserve">0594-76-2345  </v>
      </c>
    </row>
    <row r="111" spans="1:4" x14ac:dyDescent="0.55000000000000004">
      <c r="A111" s="4">
        <v>2412105112</v>
      </c>
      <c r="B111" s="1" t="s">
        <v>1011</v>
      </c>
      <c r="C111" s="1" t="s">
        <v>2932</v>
      </c>
      <c r="D111" s="1" t="str">
        <f>"0594-76-5511  "</f>
        <v xml:space="preserve">0594-76-5511  </v>
      </c>
    </row>
    <row r="112" spans="1:4" x14ac:dyDescent="0.55000000000000004">
      <c r="A112" s="4">
        <v>2412105153</v>
      </c>
      <c r="B112" s="1" t="s">
        <v>1012</v>
      </c>
      <c r="C112" s="1" t="s">
        <v>2933</v>
      </c>
      <c r="D112" s="1" t="str">
        <f>"0594-76-5005  "</f>
        <v xml:space="preserve">0594-76-5005  </v>
      </c>
    </row>
    <row r="113" spans="1:4" x14ac:dyDescent="0.55000000000000004">
      <c r="A113" s="4">
        <v>2412105187</v>
      </c>
      <c r="B113" s="1" t="s">
        <v>1013</v>
      </c>
      <c r="C113" s="1" t="str">
        <f>"員弁郡東員町穴太1987-1"</f>
        <v>員弁郡東員町穴太1987-1</v>
      </c>
      <c r="D113" s="1" t="str">
        <f>"0594-76-9933  "</f>
        <v xml:space="preserve">0594-76-9933  </v>
      </c>
    </row>
    <row r="114" spans="1:4" x14ac:dyDescent="0.55000000000000004">
      <c r="A114" s="4">
        <v>2412105237</v>
      </c>
      <c r="B114" s="1" t="s">
        <v>1014</v>
      </c>
      <c r="C114" s="1" t="s">
        <v>1015</v>
      </c>
      <c r="D114" s="1" t="str">
        <f>"0594-87-7730  "</f>
        <v xml:space="preserve">0594-87-7730  </v>
      </c>
    </row>
    <row r="115" spans="1:4" x14ac:dyDescent="0.55000000000000004">
      <c r="A115" s="4">
        <v>2412105252</v>
      </c>
      <c r="B115" s="1" t="s">
        <v>1016</v>
      </c>
      <c r="C115" s="1" t="s">
        <v>1017</v>
      </c>
      <c r="D115" s="1" t="str">
        <f>"0594-41-3333  "</f>
        <v xml:space="preserve">0594-41-3333  </v>
      </c>
    </row>
    <row r="116" spans="1:4" x14ac:dyDescent="0.55000000000000004">
      <c r="A116" s="4">
        <v>2412105260</v>
      </c>
      <c r="B116" s="1" t="s">
        <v>1018</v>
      </c>
      <c r="C116" s="1" t="s">
        <v>1019</v>
      </c>
      <c r="D116" s="1" t="str">
        <f>"0594-82-6363  "</f>
        <v xml:space="preserve">0594-82-6363  </v>
      </c>
    </row>
    <row r="117" spans="1:4" x14ac:dyDescent="0.55000000000000004">
      <c r="A117" s="4">
        <v>2412200400</v>
      </c>
      <c r="B117" s="1" t="s">
        <v>1020</v>
      </c>
      <c r="C117" s="1" t="s">
        <v>1021</v>
      </c>
      <c r="D117" s="1" t="str">
        <f>"059-393-2007  "</f>
        <v xml:space="preserve">059-393-2007  </v>
      </c>
    </row>
    <row r="118" spans="1:4" x14ac:dyDescent="0.55000000000000004">
      <c r="A118" s="4">
        <v>2412200525</v>
      </c>
      <c r="B118" s="1" t="s">
        <v>1022</v>
      </c>
      <c r="C118" s="1" t="str">
        <f>"三重郡菰野町大字潤田字新起1198-1"</f>
        <v>三重郡菰野町大字潤田字新起1198-1</v>
      </c>
      <c r="D118" s="1" t="str">
        <f>"059-391-0555  "</f>
        <v xml:space="preserve">059-391-0555  </v>
      </c>
    </row>
    <row r="119" spans="1:4" x14ac:dyDescent="0.55000000000000004">
      <c r="A119" s="4">
        <v>2412200574</v>
      </c>
      <c r="B119" s="1" t="s">
        <v>1024</v>
      </c>
      <c r="C119" s="1" t="str">
        <f>"三重郡菰野町竹成2657-5"</f>
        <v>三重郡菰野町竹成2657-5</v>
      </c>
      <c r="D119" s="1" t="str">
        <f>"059-399-2225  "</f>
        <v xml:space="preserve">059-399-2225  </v>
      </c>
    </row>
    <row r="120" spans="1:4" x14ac:dyDescent="0.55000000000000004">
      <c r="A120" s="4">
        <v>2412200673</v>
      </c>
      <c r="B120" s="1" t="s">
        <v>1026</v>
      </c>
      <c r="C120" s="1" t="s">
        <v>2935</v>
      </c>
      <c r="D120" s="1" t="str">
        <f>"059-373-6667  "</f>
        <v xml:space="preserve">059-373-6667  </v>
      </c>
    </row>
    <row r="121" spans="1:4" x14ac:dyDescent="0.55000000000000004">
      <c r="A121" s="4">
        <v>2412200723</v>
      </c>
      <c r="B121" s="1" t="s">
        <v>1029</v>
      </c>
      <c r="C121" s="1" t="str">
        <f>"三重郡菰野町菰野987-1"</f>
        <v>三重郡菰野町菰野987-1</v>
      </c>
      <c r="D121" s="1" t="str">
        <f>"059-336-5200  "</f>
        <v xml:space="preserve">059-336-5200  </v>
      </c>
    </row>
    <row r="122" spans="1:4" x14ac:dyDescent="0.55000000000000004">
      <c r="A122" s="4">
        <v>2412200731</v>
      </c>
      <c r="B122" s="1" t="s">
        <v>1030</v>
      </c>
      <c r="C122" s="1" t="str">
        <f>"三重郡菰野町潤田字大工垣内835-1"</f>
        <v>三重郡菰野町潤田字大工垣内835-1</v>
      </c>
      <c r="D122" s="1" t="str">
        <f>"059-340-5535  "</f>
        <v xml:space="preserve">059-340-5535  </v>
      </c>
    </row>
    <row r="123" spans="1:4" x14ac:dyDescent="0.55000000000000004">
      <c r="A123" s="4">
        <v>2412205029</v>
      </c>
      <c r="B123" s="1" t="s">
        <v>1034</v>
      </c>
      <c r="C123" s="1" t="s">
        <v>1035</v>
      </c>
      <c r="D123" s="1" t="str">
        <f>"059-393-1212  "</f>
        <v xml:space="preserve">059-393-1212  </v>
      </c>
    </row>
    <row r="124" spans="1:4" x14ac:dyDescent="0.55000000000000004">
      <c r="A124" s="4">
        <v>2412205052</v>
      </c>
      <c r="B124" s="1" t="s">
        <v>1036</v>
      </c>
      <c r="C124" s="1" t="str">
        <f>"三重郡菰野町宿野1433-67"</f>
        <v>三重郡菰野町宿野1433-67</v>
      </c>
      <c r="D124" s="1" t="str">
        <f>"059-394-2511  "</f>
        <v xml:space="preserve">059-394-2511  </v>
      </c>
    </row>
    <row r="125" spans="1:4" x14ac:dyDescent="0.55000000000000004">
      <c r="A125" s="4">
        <v>2412205078</v>
      </c>
      <c r="B125" s="1" t="s">
        <v>1037</v>
      </c>
      <c r="C125" s="1" t="str">
        <f>"三重郡菰野町大字田光4465-2"</f>
        <v>三重郡菰野町大字田光4465-2</v>
      </c>
      <c r="D125" s="1" t="str">
        <f>"059-396-0061  "</f>
        <v xml:space="preserve">059-396-0061  </v>
      </c>
    </row>
    <row r="126" spans="1:4" x14ac:dyDescent="0.55000000000000004">
      <c r="A126" s="4">
        <v>2412205144</v>
      </c>
      <c r="B126" s="1" t="s">
        <v>1040</v>
      </c>
      <c r="C126" s="1" t="str">
        <f>"三重郡菰野町潤田2150-3"</f>
        <v>三重郡菰野町潤田2150-3</v>
      </c>
      <c r="D126" s="1" t="str">
        <f>"059-394-5577  "</f>
        <v xml:space="preserve">059-394-5577  </v>
      </c>
    </row>
    <row r="127" spans="1:4" x14ac:dyDescent="0.55000000000000004">
      <c r="A127" s="4">
        <v>2412205169</v>
      </c>
      <c r="B127" s="1" t="s">
        <v>1041</v>
      </c>
      <c r="C127" s="1" t="s">
        <v>2938</v>
      </c>
      <c r="D127" s="1" t="str">
        <f>"059-399-2800  "</f>
        <v xml:space="preserve">059-399-2800  </v>
      </c>
    </row>
    <row r="128" spans="1:4" x14ac:dyDescent="0.55000000000000004">
      <c r="A128" s="4">
        <v>2412205193</v>
      </c>
      <c r="B128" s="1" t="s">
        <v>1042</v>
      </c>
      <c r="C128" s="1" t="s">
        <v>1043</v>
      </c>
      <c r="D128" s="1" t="str">
        <f>"059-391-0333  "</f>
        <v xml:space="preserve">059-391-0333  </v>
      </c>
    </row>
    <row r="129" spans="1:4" x14ac:dyDescent="0.55000000000000004">
      <c r="A129" s="4">
        <v>2412205227</v>
      </c>
      <c r="B129" s="1" t="s">
        <v>1044</v>
      </c>
      <c r="C129" s="1" t="s">
        <v>1045</v>
      </c>
      <c r="D129" s="1" t="str">
        <f>"059-325-6537  "</f>
        <v xml:space="preserve">059-325-6537  </v>
      </c>
    </row>
    <row r="130" spans="1:4" x14ac:dyDescent="0.55000000000000004">
      <c r="A130" s="4">
        <v>2412205235</v>
      </c>
      <c r="B130" s="1" t="s">
        <v>1046</v>
      </c>
      <c r="C130" s="1" t="str">
        <f>"三重郡菰野町潤田1187-4"</f>
        <v>三重郡菰野町潤田1187-4</v>
      </c>
      <c r="D130" s="1" t="str">
        <f>"059-391-0363  "</f>
        <v xml:space="preserve">059-391-0363  </v>
      </c>
    </row>
    <row r="131" spans="1:4" x14ac:dyDescent="0.55000000000000004">
      <c r="A131" s="4">
        <v>2412205516</v>
      </c>
      <c r="B131" s="1" t="s">
        <v>1049</v>
      </c>
      <c r="C131" s="1" t="s">
        <v>1050</v>
      </c>
      <c r="D131" s="1" t="str">
        <f>"059-327-5400  "</f>
        <v xml:space="preserve">059-327-5400  </v>
      </c>
    </row>
    <row r="132" spans="1:4" x14ac:dyDescent="0.55000000000000004">
      <c r="A132" s="4">
        <v>2432200133</v>
      </c>
      <c r="B132" s="1" t="s">
        <v>1253</v>
      </c>
      <c r="C132" s="1" t="s">
        <v>2989</v>
      </c>
      <c r="D132" s="1" t="str">
        <f>"059-396-2255  "</f>
        <v xml:space="preserve">059-396-2255  </v>
      </c>
    </row>
    <row r="133" spans="1:4" x14ac:dyDescent="0.55000000000000004">
      <c r="A133" s="4">
        <v>2432200448</v>
      </c>
      <c r="B133" s="1" t="s">
        <v>1254</v>
      </c>
      <c r="C133" s="1" t="str">
        <f>"三重郡菰野町菰野986－7"</f>
        <v>三重郡菰野町菰野986－7</v>
      </c>
      <c r="D133" s="1" t="str">
        <f>"059-393-1888  "</f>
        <v xml:space="preserve">059-393-1888  </v>
      </c>
    </row>
    <row r="134" spans="1:4" x14ac:dyDescent="0.55000000000000004">
      <c r="A134" s="4">
        <v>2412200640</v>
      </c>
      <c r="B134" s="1" t="s">
        <v>1025</v>
      </c>
      <c r="C134" s="1" t="str">
        <f>"三重郡朝日町大字小向966-1"</f>
        <v>三重郡朝日町大字小向966-1</v>
      </c>
      <c r="D134" s="1" t="str">
        <f>"059-377-4161  "</f>
        <v xml:space="preserve">059-377-4161  </v>
      </c>
    </row>
    <row r="135" spans="1:4" x14ac:dyDescent="0.55000000000000004">
      <c r="A135" s="4">
        <v>2412200756</v>
      </c>
      <c r="B135" s="1" t="s">
        <v>1031</v>
      </c>
      <c r="C135" s="1" t="s">
        <v>1032</v>
      </c>
      <c r="D135" s="1" t="str">
        <f>"059-340-5100  "</f>
        <v xml:space="preserve">059-340-5100  </v>
      </c>
    </row>
    <row r="136" spans="1:4" x14ac:dyDescent="0.55000000000000004">
      <c r="A136" s="4">
        <v>2412205110</v>
      </c>
      <c r="B136" s="1" t="s">
        <v>1039</v>
      </c>
      <c r="C136" s="1" t="str">
        <f>"三重郡朝日町大字縄生544-1"</f>
        <v>三重郡朝日町大字縄生544-1</v>
      </c>
      <c r="D136" s="1" t="str">
        <f>"059-377-2256  "</f>
        <v xml:space="preserve">059-377-2256  </v>
      </c>
    </row>
    <row r="137" spans="1:4" x14ac:dyDescent="0.55000000000000004">
      <c r="A137" s="4">
        <v>2412205524</v>
      </c>
      <c r="B137" s="1" t="s">
        <v>1051</v>
      </c>
      <c r="C137" s="1" t="s">
        <v>1052</v>
      </c>
      <c r="D137" s="1" t="str">
        <f>"059-376-6667  "</f>
        <v xml:space="preserve">059-376-6667  </v>
      </c>
    </row>
    <row r="138" spans="1:4" x14ac:dyDescent="0.55000000000000004">
      <c r="A138" s="4">
        <v>2412200541</v>
      </c>
      <c r="B138" s="1" t="s">
        <v>1023</v>
      </c>
      <c r="C138" s="1" t="s">
        <v>2934</v>
      </c>
      <c r="D138" s="1" t="str">
        <f>"059-361-6788  "</f>
        <v xml:space="preserve">059-361-6788  </v>
      </c>
    </row>
    <row r="139" spans="1:4" x14ac:dyDescent="0.55000000000000004">
      <c r="A139" s="4">
        <v>2412200681</v>
      </c>
      <c r="B139" s="1" t="s">
        <v>1027</v>
      </c>
      <c r="C139" s="1" t="str">
        <f>"三重郡川越町豊田一色272-1"</f>
        <v>三重郡川越町豊田一色272-1</v>
      </c>
      <c r="D139" s="1" t="str">
        <f>"059-363-2485  "</f>
        <v xml:space="preserve">059-363-2485  </v>
      </c>
    </row>
    <row r="140" spans="1:4" x14ac:dyDescent="0.55000000000000004">
      <c r="A140" s="4">
        <v>2412200699</v>
      </c>
      <c r="B140" s="1" t="s">
        <v>1028</v>
      </c>
      <c r="C140" s="1" t="s">
        <v>2936</v>
      </c>
      <c r="D140" s="1" t="str">
        <f>"059-327-6610  "</f>
        <v xml:space="preserve">059-327-6610  </v>
      </c>
    </row>
    <row r="141" spans="1:4" x14ac:dyDescent="0.55000000000000004">
      <c r="A141" s="4">
        <v>2412205011</v>
      </c>
      <c r="B141" s="1" t="s">
        <v>1033</v>
      </c>
      <c r="C141" s="1" t="s">
        <v>2937</v>
      </c>
      <c r="D141" s="1" t="str">
        <f>"059-365-0776  "</f>
        <v xml:space="preserve">059-365-0776  </v>
      </c>
    </row>
    <row r="142" spans="1:4" x14ac:dyDescent="0.55000000000000004">
      <c r="A142" s="4">
        <v>2412205102</v>
      </c>
      <c r="B142" s="1" t="s">
        <v>1038</v>
      </c>
      <c r="C142" s="1" t="str">
        <f>"三重郡川越町豊田299-1"</f>
        <v>三重郡川越町豊田299-1</v>
      </c>
      <c r="D142" s="1" t="str">
        <f>"059-364-4103  "</f>
        <v xml:space="preserve">059-364-4103  </v>
      </c>
    </row>
    <row r="143" spans="1:4" x14ac:dyDescent="0.55000000000000004">
      <c r="A143" s="4">
        <v>2412205250</v>
      </c>
      <c r="B143" s="1" t="s">
        <v>1047</v>
      </c>
      <c r="C143" s="1" t="s">
        <v>1048</v>
      </c>
      <c r="D143" s="1" t="str">
        <f>"059-327-5652  "</f>
        <v xml:space="preserve">059-327-5652  </v>
      </c>
    </row>
    <row r="144" spans="1:4" x14ac:dyDescent="0.55000000000000004">
      <c r="A144" s="4">
        <v>2432200455</v>
      </c>
      <c r="B144" s="1" t="s">
        <v>1255</v>
      </c>
      <c r="C144" s="1" t="str">
        <f>"三重郡川越町豊田243-7-2F"</f>
        <v>三重郡川越町豊田243-7-2F</v>
      </c>
      <c r="D144" s="1" t="str">
        <f>"059-327-6480  "</f>
        <v xml:space="preserve">059-327-6480  </v>
      </c>
    </row>
    <row r="145" spans="1:4" x14ac:dyDescent="0.55000000000000004">
      <c r="A145" s="4">
        <v>2410202515</v>
      </c>
      <c r="B145" s="1" t="s">
        <v>90</v>
      </c>
      <c r="C145" s="1" t="str">
        <f>"四日市市中町8-13"</f>
        <v>四日市市中町8-13</v>
      </c>
      <c r="D145" s="1" t="str">
        <f>"059-352-9161  "</f>
        <v xml:space="preserve">059-352-9161  </v>
      </c>
    </row>
    <row r="146" spans="1:4" x14ac:dyDescent="0.55000000000000004">
      <c r="A146" s="4">
        <v>2410202598</v>
      </c>
      <c r="B146" s="1" t="s">
        <v>91</v>
      </c>
      <c r="C146" s="1" t="str">
        <f>"四日市市山城町1107-2"</f>
        <v>四日市市山城町1107-2</v>
      </c>
      <c r="D146" s="1" t="str">
        <f>"059-337-1131  "</f>
        <v xml:space="preserve">059-337-1131  </v>
      </c>
    </row>
    <row r="147" spans="1:4" x14ac:dyDescent="0.55000000000000004">
      <c r="A147" s="4">
        <v>2410202689</v>
      </c>
      <c r="B147" s="1" t="s">
        <v>92</v>
      </c>
      <c r="C147" s="1" t="str">
        <f>"四日市市生桑町108-2"</f>
        <v>四日市市生桑町108-2</v>
      </c>
      <c r="D147" s="1" t="str">
        <f>"0593-33-2221  "</f>
        <v xml:space="preserve">0593-33-2221  </v>
      </c>
    </row>
    <row r="148" spans="1:4" x14ac:dyDescent="0.55000000000000004">
      <c r="A148" s="4">
        <v>2410202838</v>
      </c>
      <c r="B148" s="1" t="s">
        <v>93</v>
      </c>
      <c r="C148" s="1" t="s">
        <v>2662</v>
      </c>
      <c r="D148" s="1" t="str">
        <f>"059-345-2456  "</f>
        <v xml:space="preserve">059-345-2456  </v>
      </c>
    </row>
    <row r="149" spans="1:4" x14ac:dyDescent="0.55000000000000004">
      <c r="A149" s="4">
        <v>2410203034</v>
      </c>
      <c r="B149" s="1" t="s">
        <v>94</v>
      </c>
      <c r="C149" s="1" t="str">
        <f>"四日市市下之宮町150-1"</f>
        <v>四日市市下之宮町150-1</v>
      </c>
      <c r="D149" s="1" t="str">
        <f>"059-363-3788  "</f>
        <v xml:space="preserve">059-363-3788  </v>
      </c>
    </row>
    <row r="150" spans="1:4" x14ac:dyDescent="0.55000000000000004">
      <c r="A150" s="4">
        <v>2410203075</v>
      </c>
      <c r="B150" s="1" t="s">
        <v>95</v>
      </c>
      <c r="C150" s="1" t="s">
        <v>2663</v>
      </c>
      <c r="D150" s="1" t="str">
        <f>"059-328-2680  "</f>
        <v xml:space="preserve">059-328-2680  </v>
      </c>
    </row>
    <row r="151" spans="1:4" x14ac:dyDescent="0.55000000000000004">
      <c r="A151" s="4">
        <v>2410203174</v>
      </c>
      <c r="B151" s="1" t="s">
        <v>96</v>
      </c>
      <c r="C151" s="1" t="str">
        <f>"四日市市九の城町4-16"</f>
        <v>四日市市九の城町4-16</v>
      </c>
      <c r="D151" s="1" t="str">
        <f>"059-355-3030  "</f>
        <v xml:space="preserve">059-355-3030  </v>
      </c>
    </row>
    <row r="152" spans="1:4" x14ac:dyDescent="0.55000000000000004">
      <c r="A152" s="4">
        <v>2410203208</v>
      </c>
      <c r="B152" s="1" t="s">
        <v>97</v>
      </c>
      <c r="C152" s="1" t="str">
        <f>"四日市市浮橋2-19-7"</f>
        <v>四日市市浮橋2-19-7</v>
      </c>
      <c r="D152" s="1" t="str">
        <f>"059-322-6511  "</f>
        <v xml:space="preserve">059-322-6511  </v>
      </c>
    </row>
    <row r="153" spans="1:4" x14ac:dyDescent="0.55000000000000004">
      <c r="A153" s="4">
        <v>2410203240</v>
      </c>
      <c r="B153" s="1" t="s">
        <v>98</v>
      </c>
      <c r="C153" s="1" t="str">
        <f>"四日市市あさけが丘2-1-112"</f>
        <v>四日市市あさけが丘2-1-112</v>
      </c>
      <c r="D153" s="1" t="str">
        <f>"059-337-3417  "</f>
        <v xml:space="preserve">059-337-3417  </v>
      </c>
    </row>
    <row r="154" spans="1:4" x14ac:dyDescent="0.55000000000000004">
      <c r="A154" s="4">
        <v>2410203265</v>
      </c>
      <c r="B154" s="1" t="s">
        <v>99</v>
      </c>
      <c r="C154" s="1" t="str">
        <f>"四日市市ときわ五丁目1-19"</f>
        <v>四日市市ときわ五丁目1-19</v>
      </c>
      <c r="D154" s="1" t="str">
        <f>"059-355-5600  "</f>
        <v xml:space="preserve">059-355-5600  </v>
      </c>
    </row>
    <row r="155" spans="1:4" x14ac:dyDescent="0.55000000000000004">
      <c r="A155" s="4">
        <v>2410203380</v>
      </c>
      <c r="B155" s="1" t="s">
        <v>100</v>
      </c>
      <c r="C155" s="1" t="str">
        <f>"四日市市垂坂町字五反田162-1"</f>
        <v>四日市市垂坂町字五反田162-1</v>
      </c>
      <c r="D155" s="1" t="str">
        <f>"059-333-5511  "</f>
        <v xml:space="preserve">059-333-5511  </v>
      </c>
    </row>
    <row r="156" spans="1:4" x14ac:dyDescent="0.55000000000000004">
      <c r="A156" s="4">
        <v>2410203513</v>
      </c>
      <c r="B156" s="1" t="s">
        <v>101</v>
      </c>
      <c r="C156" s="1" t="s">
        <v>2664</v>
      </c>
      <c r="D156" s="1" t="str">
        <f>"059-357-1600  "</f>
        <v xml:space="preserve">059-357-1600  </v>
      </c>
    </row>
    <row r="157" spans="1:4" x14ac:dyDescent="0.55000000000000004">
      <c r="A157" s="4">
        <v>2410203596</v>
      </c>
      <c r="B157" s="1" t="s">
        <v>102</v>
      </c>
      <c r="C157" s="1" t="s">
        <v>2665</v>
      </c>
      <c r="D157" s="1" t="str">
        <f>"059-331-3918  "</f>
        <v xml:space="preserve">059-331-3918  </v>
      </c>
    </row>
    <row r="158" spans="1:4" x14ac:dyDescent="0.55000000000000004">
      <c r="A158" s="4">
        <v>2410203612</v>
      </c>
      <c r="B158" s="1" t="s">
        <v>103</v>
      </c>
      <c r="C158" s="1" t="str">
        <f>"四日市市松原町8-11"</f>
        <v>四日市市松原町8-11</v>
      </c>
      <c r="D158" s="1" t="str">
        <f>"059-365-6151  "</f>
        <v xml:space="preserve">059-365-6151  </v>
      </c>
    </row>
    <row r="159" spans="1:4" x14ac:dyDescent="0.55000000000000004">
      <c r="A159" s="4">
        <v>2410203653</v>
      </c>
      <c r="B159" s="1" t="s">
        <v>104</v>
      </c>
      <c r="C159" s="1" t="str">
        <f>"四日市市蒔田4-2-2"</f>
        <v>四日市市蒔田4-2-2</v>
      </c>
      <c r="D159" s="1" t="str">
        <f>"059-361-2800  "</f>
        <v xml:space="preserve">059-361-2800  </v>
      </c>
    </row>
    <row r="160" spans="1:4" x14ac:dyDescent="0.55000000000000004">
      <c r="A160" s="4">
        <v>2410203695</v>
      </c>
      <c r="B160" s="1" t="s">
        <v>105</v>
      </c>
      <c r="C160" s="1" t="str">
        <f>"四日市市智積町6030-1"</f>
        <v>四日市市智積町6030-1</v>
      </c>
      <c r="D160" s="1" t="str">
        <f>"059-327-1155  "</f>
        <v xml:space="preserve">059-327-1155  </v>
      </c>
    </row>
    <row r="161" spans="1:4" x14ac:dyDescent="0.55000000000000004">
      <c r="A161" s="4">
        <v>2410203703</v>
      </c>
      <c r="B161" s="1" t="s">
        <v>106</v>
      </c>
      <c r="C161" s="1" t="str">
        <f>"四日市市河原田町2355-1"</f>
        <v>四日市市河原田町2355-1</v>
      </c>
      <c r="D161" s="1" t="str">
        <f>"059-346-5472  "</f>
        <v xml:space="preserve">059-346-5472  </v>
      </c>
    </row>
    <row r="162" spans="1:4" x14ac:dyDescent="0.55000000000000004">
      <c r="A162" s="4">
        <v>2410203711</v>
      </c>
      <c r="B162" s="1" t="s">
        <v>107</v>
      </c>
      <c r="C162" s="1" t="str">
        <f>"四日市市大矢知町字上沢1055-1"</f>
        <v>四日市市大矢知町字上沢1055-1</v>
      </c>
      <c r="D162" s="1" t="str">
        <f>"059-363-6611  "</f>
        <v xml:space="preserve">059-363-6611  </v>
      </c>
    </row>
    <row r="163" spans="1:4" x14ac:dyDescent="0.55000000000000004">
      <c r="A163" s="4">
        <v>2410203794</v>
      </c>
      <c r="B163" s="1" t="s">
        <v>108</v>
      </c>
      <c r="C163" s="1" t="s">
        <v>2666</v>
      </c>
      <c r="D163" s="1" t="str">
        <f>"059-330-4600  "</f>
        <v xml:space="preserve">059-330-4600  </v>
      </c>
    </row>
    <row r="164" spans="1:4" x14ac:dyDescent="0.55000000000000004">
      <c r="A164" s="4">
        <v>2410203810</v>
      </c>
      <c r="B164" s="1" t="s">
        <v>109</v>
      </c>
      <c r="C164" s="1" t="str">
        <f>"四日市市城山町1-11"</f>
        <v>四日市市城山町1-11</v>
      </c>
      <c r="D164" s="1" t="str">
        <f>"059-330-5555  "</f>
        <v xml:space="preserve">059-330-5555  </v>
      </c>
    </row>
    <row r="165" spans="1:4" x14ac:dyDescent="0.55000000000000004">
      <c r="A165" s="4">
        <v>2410203877</v>
      </c>
      <c r="B165" s="1" t="s">
        <v>110</v>
      </c>
      <c r="C165" s="1" t="str">
        <f>"四日市市茂福783-3"</f>
        <v>四日市市茂福783-3</v>
      </c>
      <c r="D165" s="1" t="str">
        <f>"059-361-5566  "</f>
        <v xml:space="preserve">059-361-5566  </v>
      </c>
    </row>
    <row r="166" spans="1:4" x14ac:dyDescent="0.55000000000000004">
      <c r="A166" s="4">
        <v>2410204032</v>
      </c>
      <c r="B166" s="1" t="s">
        <v>111</v>
      </c>
      <c r="C166" s="1" t="str">
        <f>"四日市市大宮西町10-6"</f>
        <v>四日市市大宮西町10-6</v>
      </c>
      <c r="D166" s="1" t="str">
        <f>"059-331-2626  "</f>
        <v xml:space="preserve">059-331-2626  </v>
      </c>
    </row>
    <row r="167" spans="1:4" x14ac:dyDescent="0.55000000000000004">
      <c r="A167" s="4">
        <v>2410204040</v>
      </c>
      <c r="B167" s="1" t="s">
        <v>112</v>
      </c>
      <c r="C167" s="1" t="str">
        <f>"四日市市采女町字名倉1798-15"</f>
        <v>四日市市采女町字名倉1798-15</v>
      </c>
      <c r="D167" s="1" t="str">
        <f>"059-349-1166  "</f>
        <v xml:space="preserve">059-349-1166  </v>
      </c>
    </row>
    <row r="168" spans="1:4" x14ac:dyDescent="0.55000000000000004">
      <c r="A168" s="4">
        <v>2410204115</v>
      </c>
      <c r="B168" s="1" t="s">
        <v>113</v>
      </c>
      <c r="C168" s="1" t="s">
        <v>2667</v>
      </c>
      <c r="D168" s="1" t="str">
        <f>"059-321-0411  "</f>
        <v xml:space="preserve">059-321-0411  </v>
      </c>
    </row>
    <row r="169" spans="1:4" x14ac:dyDescent="0.55000000000000004">
      <c r="A169" s="4">
        <v>2410204149</v>
      </c>
      <c r="B169" s="1" t="s">
        <v>114</v>
      </c>
      <c r="C169" s="1" t="str">
        <f>"四日市市富田一色町30-59"</f>
        <v>四日市市富田一色町30-59</v>
      </c>
      <c r="D169" s="1" t="str">
        <f>"059-361-5001  "</f>
        <v xml:space="preserve">059-361-5001  </v>
      </c>
    </row>
    <row r="170" spans="1:4" x14ac:dyDescent="0.55000000000000004">
      <c r="A170" s="4">
        <v>2410204156</v>
      </c>
      <c r="B170" s="1" t="s">
        <v>115</v>
      </c>
      <c r="C170" s="1" t="s">
        <v>2668</v>
      </c>
      <c r="D170" s="1" t="str">
        <f>"059-363-0611  "</f>
        <v xml:space="preserve">059-363-0611  </v>
      </c>
    </row>
    <row r="171" spans="1:4" x14ac:dyDescent="0.55000000000000004">
      <c r="A171" s="4">
        <v>2410204230</v>
      </c>
      <c r="B171" s="1" t="s">
        <v>116</v>
      </c>
      <c r="C171" s="1" t="s">
        <v>2669</v>
      </c>
      <c r="D171" s="1" t="str">
        <f>"059-320-0011  "</f>
        <v xml:space="preserve">059-320-0011  </v>
      </c>
    </row>
    <row r="172" spans="1:4" x14ac:dyDescent="0.55000000000000004">
      <c r="A172" s="4">
        <v>2410204263</v>
      </c>
      <c r="B172" s="1" t="s">
        <v>117</v>
      </c>
      <c r="C172" s="1" t="s">
        <v>2670</v>
      </c>
      <c r="D172" s="1" t="str">
        <f>"059-332-7911  "</f>
        <v xml:space="preserve">059-332-7911  </v>
      </c>
    </row>
    <row r="173" spans="1:4" x14ac:dyDescent="0.55000000000000004">
      <c r="A173" s="4">
        <v>2410204297</v>
      </c>
      <c r="B173" s="1" t="s">
        <v>118</v>
      </c>
      <c r="C173" s="1" t="s">
        <v>2671</v>
      </c>
      <c r="D173" s="1" t="str">
        <f>"059-321-3027  "</f>
        <v xml:space="preserve">059-321-3027  </v>
      </c>
    </row>
    <row r="174" spans="1:4" x14ac:dyDescent="0.55000000000000004">
      <c r="A174" s="4">
        <v>2410204362</v>
      </c>
      <c r="B174" s="1" t="s">
        <v>119</v>
      </c>
      <c r="C174" s="1" t="s">
        <v>2672</v>
      </c>
      <c r="D174" s="1" t="str">
        <f>"059-326-1134  "</f>
        <v xml:space="preserve">059-326-1134  </v>
      </c>
    </row>
    <row r="175" spans="1:4" x14ac:dyDescent="0.55000000000000004">
      <c r="A175" s="4">
        <v>2410204388</v>
      </c>
      <c r="B175" s="1" t="s">
        <v>120</v>
      </c>
      <c r="C175" s="1" t="str">
        <f>"四日市市西阿倉川304-1"</f>
        <v>四日市市西阿倉川304-1</v>
      </c>
      <c r="D175" s="1" t="str">
        <f>"059-330-7070  "</f>
        <v xml:space="preserve">059-330-7070  </v>
      </c>
    </row>
    <row r="176" spans="1:4" x14ac:dyDescent="0.55000000000000004">
      <c r="A176" s="4">
        <v>2410204420</v>
      </c>
      <c r="B176" s="1" t="s">
        <v>121</v>
      </c>
      <c r="C176" s="1" t="s">
        <v>2673</v>
      </c>
      <c r="D176" s="1" t="str">
        <f>"059-359-0321  "</f>
        <v xml:space="preserve">059-359-0321  </v>
      </c>
    </row>
    <row r="177" spans="1:4" x14ac:dyDescent="0.55000000000000004">
      <c r="A177" s="4">
        <v>2410204487</v>
      </c>
      <c r="B177" s="1" t="s">
        <v>122</v>
      </c>
      <c r="C177" s="1" t="str">
        <f>"四日市市新正4-3-19"</f>
        <v>四日市市新正4-3-19</v>
      </c>
      <c r="D177" s="1" t="str">
        <f>"059-354-3322  "</f>
        <v xml:space="preserve">059-354-3322  </v>
      </c>
    </row>
    <row r="178" spans="1:4" x14ac:dyDescent="0.55000000000000004">
      <c r="A178" s="4">
        <v>2410204511</v>
      </c>
      <c r="B178" s="1" t="s">
        <v>123</v>
      </c>
      <c r="C178" s="1" t="str">
        <f>"四日市市九の城町1-9"</f>
        <v>四日市市九の城町1-9</v>
      </c>
      <c r="D178" s="1" t="str">
        <f>"059-351-6445  "</f>
        <v xml:space="preserve">059-351-6445  </v>
      </c>
    </row>
    <row r="179" spans="1:4" x14ac:dyDescent="0.55000000000000004">
      <c r="A179" s="4">
        <v>2410204578</v>
      </c>
      <c r="B179" s="1" t="s">
        <v>124</v>
      </c>
      <c r="C179" s="1" t="s">
        <v>2674</v>
      </c>
      <c r="D179" s="1" t="str">
        <f>"059-320-1001  "</f>
        <v xml:space="preserve">059-320-1001  </v>
      </c>
    </row>
    <row r="180" spans="1:4" x14ac:dyDescent="0.55000000000000004">
      <c r="A180" s="4">
        <v>2410204586</v>
      </c>
      <c r="B180" s="1" t="s">
        <v>125</v>
      </c>
      <c r="C180" s="1" t="str">
        <f>"四日市市石塚町5-6"</f>
        <v>四日市市石塚町5-6</v>
      </c>
      <c r="D180" s="1" t="str">
        <f>"059-355-1112  "</f>
        <v xml:space="preserve">059-355-1112  </v>
      </c>
    </row>
    <row r="181" spans="1:4" x14ac:dyDescent="0.55000000000000004">
      <c r="A181" s="4">
        <v>2410204602</v>
      </c>
      <c r="B181" s="1" t="s">
        <v>126</v>
      </c>
      <c r="C181" s="1" t="str">
        <f>"四日市市下海老町108-2"</f>
        <v>四日市市下海老町108-2</v>
      </c>
      <c r="D181" s="1" t="str">
        <f>"059-337-8741  "</f>
        <v xml:space="preserve">059-337-8741  </v>
      </c>
    </row>
    <row r="182" spans="1:4" x14ac:dyDescent="0.55000000000000004">
      <c r="A182" s="4">
        <v>2410204628</v>
      </c>
      <c r="B182" s="1" t="s">
        <v>127</v>
      </c>
      <c r="C182" s="1" t="str">
        <f>"四日市市堀木2丁目4-5"</f>
        <v>四日市市堀木2丁目4-5</v>
      </c>
      <c r="D182" s="1" t="str">
        <f>"059-328-4780  "</f>
        <v xml:space="preserve">059-328-4780  </v>
      </c>
    </row>
    <row r="183" spans="1:4" x14ac:dyDescent="0.55000000000000004">
      <c r="A183" s="4">
        <v>2410204636</v>
      </c>
      <c r="B183" s="1" t="s">
        <v>128</v>
      </c>
      <c r="C183" s="1" t="str">
        <f>"四日市市大字茂福785-1"</f>
        <v>四日市市大字茂福785-1</v>
      </c>
      <c r="D183" s="1" t="str">
        <f>"059-366-1115  "</f>
        <v xml:space="preserve">059-366-1115  </v>
      </c>
    </row>
    <row r="184" spans="1:4" x14ac:dyDescent="0.55000000000000004">
      <c r="A184" s="4">
        <v>2410204644</v>
      </c>
      <c r="B184" s="1" t="s">
        <v>129</v>
      </c>
      <c r="C184" s="1" t="s">
        <v>2675</v>
      </c>
      <c r="D184" s="1" t="str">
        <f>"059-334-8110  "</f>
        <v xml:space="preserve">059-334-8110  </v>
      </c>
    </row>
    <row r="185" spans="1:4" x14ac:dyDescent="0.55000000000000004">
      <c r="A185" s="4">
        <v>2410204651</v>
      </c>
      <c r="B185" s="1" t="s">
        <v>130</v>
      </c>
      <c r="C185" s="1" t="str">
        <f>"四日市市羽津中2丁目2-6"</f>
        <v>四日市市羽津中2丁目2-6</v>
      </c>
      <c r="D185" s="1" t="str">
        <f>"059-330-0330  "</f>
        <v xml:space="preserve">059-330-0330  </v>
      </c>
    </row>
    <row r="186" spans="1:4" x14ac:dyDescent="0.55000000000000004">
      <c r="A186" s="4">
        <v>2410204677</v>
      </c>
      <c r="B186" s="1" t="s">
        <v>131</v>
      </c>
      <c r="C186" s="1" t="str">
        <f>"四日市市西伊倉町3-2"</f>
        <v>四日市市西伊倉町3-2</v>
      </c>
      <c r="D186" s="1" t="str">
        <f>"059-351-0810  "</f>
        <v xml:space="preserve">059-351-0810  </v>
      </c>
    </row>
    <row r="187" spans="1:4" x14ac:dyDescent="0.55000000000000004">
      <c r="A187" s="4">
        <v>2410204693</v>
      </c>
      <c r="B187" s="1" t="s">
        <v>132</v>
      </c>
      <c r="C187" s="1" t="s">
        <v>2676</v>
      </c>
      <c r="D187" s="1" t="str">
        <f>"059-333-2383  "</f>
        <v xml:space="preserve">059-333-2383  </v>
      </c>
    </row>
    <row r="188" spans="1:4" x14ac:dyDescent="0.55000000000000004">
      <c r="A188" s="4">
        <v>2410204727</v>
      </c>
      <c r="B188" s="1" t="s">
        <v>133</v>
      </c>
      <c r="C188" s="1" t="str">
        <f>"四日市市貝家町266-3"</f>
        <v>四日市市貝家町266-3</v>
      </c>
      <c r="D188" s="1" t="str">
        <f>"059-336-5672  "</f>
        <v xml:space="preserve">059-336-5672  </v>
      </c>
    </row>
    <row r="189" spans="1:4" x14ac:dyDescent="0.55000000000000004">
      <c r="A189" s="4">
        <v>2410204743</v>
      </c>
      <c r="B189" s="1" t="s">
        <v>134</v>
      </c>
      <c r="C189" s="1" t="str">
        <f>"四日市市浜田町12-25-1"</f>
        <v>四日市市浜田町12-25-1</v>
      </c>
      <c r="D189" s="1" t="str">
        <f>"059-356-5600  "</f>
        <v xml:space="preserve">059-356-5600  </v>
      </c>
    </row>
    <row r="190" spans="1:4" x14ac:dyDescent="0.55000000000000004">
      <c r="A190" s="4">
        <v>2410204750</v>
      </c>
      <c r="B190" s="1" t="s">
        <v>135</v>
      </c>
      <c r="C190" s="1" t="s">
        <v>2677</v>
      </c>
      <c r="D190" s="1" t="str">
        <f>"059-331-8081  "</f>
        <v xml:space="preserve">059-331-8081  </v>
      </c>
    </row>
    <row r="191" spans="1:4" x14ac:dyDescent="0.55000000000000004">
      <c r="A191" s="4">
        <v>2410204768</v>
      </c>
      <c r="B191" s="1" t="s">
        <v>136</v>
      </c>
      <c r="C191" s="1" t="str">
        <f>"四日市市楠町南五味塚1246-2"</f>
        <v>四日市市楠町南五味塚1246-2</v>
      </c>
      <c r="D191" s="1" t="str">
        <f>"059-397-2076  "</f>
        <v xml:space="preserve">059-397-2076  </v>
      </c>
    </row>
    <row r="192" spans="1:4" x14ac:dyDescent="0.55000000000000004">
      <c r="A192" s="4">
        <v>2410204776</v>
      </c>
      <c r="B192" s="1" t="s">
        <v>137</v>
      </c>
      <c r="C192" s="1" t="str">
        <f>"四日市市波木町801-1"</f>
        <v>四日市市波木町801-1</v>
      </c>
      <c r="D192" s="1" t="str">
        <f>"059-323-1500  "</f>
        <v xml:space="preserve">059-323-1500  </v>
      </c>
    </row>
    <row r="193" spans="1:4" x14ac:dyDescent="0.55000000000000004">
      <c r="A193" s="4">
        <v>2410204792</v>
      </c>
      <c r="B193" s="1" t="s">
        <v>138</v>
      </c>
      <c r="C193" s="1" t="str">
        <f>"四日市市諏訪栄町5-8 ローレルタワーシュロア四日市203号"</f>
        <v>四日市市諏訪栄町5-8 ローレルタワーシュロア四日市203号</v>
      </c>
      <c r="D193" s="1" t="str">
        <f>"059-336-5900  "</f>
        <v xml:space="preserve">059-336-5900  </v>
      </c>
    </row>
    <row r="194" spans="1:4" x14ac:dyDescent="0.55000000000000004">
      <c r="A194" s="4">
        <v>2410204842</v>
      </c>
      <c r="B194" s="1" t="s">
        <v>139</v>
      </c>
      <c r="C194" s="1" t="str">
        <f>"四日市市小杉町平松480-1"</f>
        <v>四日市市小杉町平松480-1</v>
      </c>
      <c r="D194" s="1" t="str">
        <f>"059-333-1385  "</f>
        <v xml:space="preserve">059-333-1385  </v>
      </c>
    </row>
    <row r="195" spans="1:4" x14ac:dyDescent="0.55000000000000004">
      <c r="A195" s="4">
        <v>2410204875</v>
      </c>
      <c r="B195" s="1" t="s">
        <v>140</v>
      </c>
      <c r="C195" s="1" t="str">
        <f>"四日市市生桑町582-5"</f>
        <v>四日市市生桑町582-5</v>
      </c>
      <c r="D195" s="1" t="str">
        <f>"059-332-3456  "</f>
        <v xml:space="preserve">059-332-3456  </v>
      </c>
    </row>
    <row r="196" spans="1:4" x14ac:dyDescent="0.55000000000000004">
      <c r="A196" s="4">
        <v>2410204883</v>
      </c>
      <c r="B196" s="1" t="s">
        <v>141</v>
      </c>
      <c r="C196" s="1" t="str">
        <f>"四日市市高角町1563-10"</f>
        <v>四日市市高角町1563-10</v>
      </c>
      <c r="D196" s="1" t="str">
        <f>"059-326-1112  "</f>
        <v xml:space="preserve">059-326-1112  </v>
      </c>
    </row>
    <row r="197" spans="1:4" x14ac:dyDescent="0.55000000000000004">
      <c r="A197" s="4">
        <v>2410204891</v>
      </c>
      <c r="B197" s="1" t="s">
        <v>142</v>
      </c>
      <c r="C197" s="1" t="str">
        <f>"四日市市泊山崎町2-14"</f>
        <v>四日市市泊山崎町2-14</v>
      </c>
      <c r="D197" s="1" t="str">
        <f>"059-347-1000  "</f>
        <v xml:space="preserve">059-347-1000  </v>
      </c>
    </row>
    <row r="198" spans="1:4" x14ac:dyDescent="0.55000000000000004">
      <c r="A198" s="4">
        <v>2410204925</v>
      </c>
      <c r="B198" s="1" t="s">
        <v>143</v>
      </c>
      <c r="C198" s="1" t="str">
        <f>"四日市市赤堀2丁目5-24　2階"</f>
        <v>四日市市赤堀2丁目5-24　2階</v>
      </c>
      <c r="D198" s="1" t="str">
        <f>"059-327-7679  "</f>
        <v xml:space="preserve">059-327-7679  </v>
      </c>
    </row>
    <row r="199" spans="1:4" x14ac:dyDescent="0.55000000000000004">
      <c r="A199" s="4">
        <v>2410204941</v>
      </c>
      <c r="B199" s="1" t="s">
        <v>144</v>
      </c>
      <c r="C199" s="1" t="str">
        <f>"四日市市高角町1556-1"</f>
        <v>四日市市高角町1556-1</v>
      </c>
      <c r="D199" s="1" t="str">
        <f>"059-325-4146  "</f>
        <v xml:space="preserve">059-325-4146  </v>
      </c>
    </row>
    <row r="200" spans="1:4" x14ac:dyDescent="0.55000000000000004">
      <c r="A200" s="4">
        <v>2410204958</v>
      </c>
      <c r="B200" s="1" t="s">
        <v>145</v>
      </c>
      <c r="C200" s="1" t="s">
        <v>2678</v>
      </c>
      <c r="D200" s="1" t="str">
        <f>"059-336-6000  "</f>
        <v xml:space="preserve">059-336-6000  </v>
      </c>
    </row>
    <row r="201" spans="1:4" x14ac:dyDescent="0.55000000000000004">
      <c r="A201" s="4">
        <v>2410204982</v>
      </c>
      <c r="B201" s="1" t="s">
        <v>146</v>
      </c>
      <c r="C201" s="1" t="s">
        <v>147</v>
      </c>
      <c r="D201" s="1" t="str">
        <f>"059-338-8710  "</f>
        <v xml:space="preserve">059-338-8710  </v>
      </c>
    </row>
    <row r="202" spans="1:4" x14ac:dyDescent="0.55000000000000004">
      <c r="A202" s="4">
        <v>2410205013</v>
      </c>
      <c r="B202" s="1" t="s">
        <v>148</v>
      </c>
      <c r="C202" s="1" t="s">
        <v>2679</v>
      </c>
      <c r="D202" s="1" t="str">
        <f>"059-331-2000  "</f>
        <v xml:space="preserve">059-331-2000  </v>
      </c>
    </row>
    <row r="203" spans="1:4" x14ac:dyDescent="0.55000000000000004">
      <c r="A203" s="4">
        <v>2410205047</v>
      </c>
      <c r="B203" s="1" t="s">
        <v>149</v>
      </c>
      <c r="C203" s="1" t="str">
        <f>"四日市市芝田二丁目2-37"</f>
        <v>四日市市芝田二丁目2-37</v>
      </c>
      <c r="D203" s="1" t="str">
        <f>"059-354-1111  "</f>
        <v xml:space="preserve">059-354-1111  </v>
      </c>
    </row>
    <row r="204" spans="1:4" x14ac:dyDescent="0.55000000000000004">
      <c r="A204" s="4">
        <v>2410205112</v>
      </c>
      <c r="B204" s="1" t="s">
        <v>150</v>
      </c>
      <c r="C204" s="1" t="str">
        <f>"四日市市富田浜町26-14"</f>
        <v>四日市市富田浜町26-14</v>
      </c>
      <c r="D204" s="1" t="str">
        <f>"059-365-0023  "</f>
        <v xml:space="preserve">059-365-0023  </v>
      </c>
    </row>
    <row r="205" spans="1:4" x14ac:dyDescent="0.55000000000000004">
      <c r="A205" s="4">
        <v>2410205237</v>
      </c>
      <c r="B205" s="1" t="s">
        <v>151</v>
      </c>
      <c r="C205" s="1" t="s">
        <v>2680</v>
      </c>
      <c r="D205" s="1" t="str">
        <f>"059-345-2356  "</f>
        <v xml:space="preserve">059-345-2356  </v>
      </c>
    </row>
    <row r="206" spans="1:4" x14ac:dyDescent="0.55000000000000004">
      <c r="A206" s="4">
        <v>2410205286</v>
      </c>
      <c r="B206" s="1" t="s">
        <v>152</v>
      </c>
      <c r="C206" s="1" t="str">
        <f>"四日市市小古曽3丁目5-33"</f>
        <v>四日市市小古曽3丁目5-33</v>
      </c>
      <c r="D206" s="1" t="str">
        <f>"059-345-0511  "</f>
        <v xml:space="preserve">059-345-0511  </v>
      </c>
    </row>
    <row r="207" spans="1:4" x14ac:dyDescent="0.55000000000000004">
      <c r="A207" s="4">
        <v>2410205336</v>
      </c>
      <c r="B207" s="1" t="s">
        <v>153</v>
      </c>
      <c r="C207" s="1" t="s">
        <v>2681</v>
      </c>
      <c r="D207" s="1" t="str">
        <f>"059-354-1771  "</f>
        <v xml:space="preserve">059-354-1771  </v>
      </c>
    </row>
    <row r="208" spans="1:4" x14ac:dyDescent="0.55000000000000004">
      <c r="A208" s="4">
        <v>2410205419</v>
      </c>
      <c r="B208" s="1" t="s">
        <v>154</v>
      </c>
      <c r="C208" s="1" t="str">
        <f>"四日市市山田町5538-1"</f>
        <v>四日市市山田町5538-1</v>
      </c>
      <c r="D208" s="1" t="str">
        <f>"059-328-1260  "</f>
        <v xml:space="preserve">059-328-1260  </v>
      </c>
    </row>
    <row r="209" spans="1:4" x14ac:dyDescent="0.55000000000000004">
      <c r="A209" s="4">
        <v>2410205435</v>
      </c>
      <c r="B209" s="1" t="s">
        <v>155</v>
      </c>
      <c r="C209" s="1" t="str">
        <f>"四日市市朝日町1-15"</f>
        <v>四日市市朝日町1-15</v>
      </c>
      <c r="D209" s="1" t="str">
        <f>"059-353-3313  "</f>
        <v xml:space="preserve">059-353-3313  </v>
      </c>
    </row>
    <row r="210" spans="1:4" x14ac:dyDescent="0.55000000000000004">
      <c r="A210" s="4">
        <v>2410205450</v>
      </c>
      <c r="B210" s="1" t="s">
        <v>156</v>
      </c>
      <c r="C210" s="1" t="str">
        <f>"四日市市下海老町163-1"</f>
        <v>四日市市下海老町163-1</v>
      </c>
      <c r="D210" s="1" t="str">
        <f>"059-326-6333  "</f>
        <v xml:space="preserve">059-326-6333  </v>
      </c>
    </row>
    <row r="211" spans="1:4" x14ac:dyDescent="0.55000000000000004">
      <c r="A211" s="4">
        <v>2410205476</v>
      </c>
      <c r="B211" s="1" t="s">
        <v>157</v>
      </c>
      <c r="C211" s="1" t="s">
        <v>2682</v>
      </c>
      <c r="D211" s="1" t="str">
        <f>"059-346-2558  "</f>
        <v xml:space="preserve">059-346-2558  </v>
      </c>
    </row>
    <row r="212" spans="1:4" x14ac:dyDescent="0.55000000000000004">
      <c r="A212" s="4">
        <v>2410205484</v>
      </c>
      <c r="B212" s="1" t="s">
        <v>158</v>
      </c>
      <c r="C212" s="1" t="str">
        <f>"四日市市水沢町638－3"</f>
        <v>四日市市水沢町638－3</v>
      </c>
      <c r="D212" s="1" t="str">
        <f>"059-329-3111  "</f>
        <v xml:space="preserve">059-329-3111  </v>
      </c>
    </row>
    <row r="213" spans="1:4" x14ac:dyDescent="0.55000000000000004">
      <c r="A213" s="4">
        <v>2410205492</v>
      </c>
      <c r="B213" s="1" t="s">
        <v>159</v>
      </c>
      <c r="C213" s="1" t="str">
        <f>"四日市市栄町9-6"</f>
        <v>四日市市栄町9-6</v>
      </c>
      <c r="D213" s="1" t="str">
        <f>"059-352-3282  "</f>
        <v xml:space="preserve">059-352-3282  </v>
      </c>
    </row>
    <row r="214" spans="1:4" x14ac:dyDescent="0.55000000000000004">
      <c r="A214" s="4">
        <v>2410205518</v>
      </c>
      <c r="B214" s="1" t="s">
        <v>160</v>
      </c>
      <c r="C214" s="1" t="str">
        <f>"四日市市日永西3-1-21"</f>
        <v>四日市市日永西3-1-21</v>
      </c>
      <c r="D214" s="1" t="str">
        <f>"059-347-1611  "</f>
        <v xml:space="preserve">059-347-1611  </v>
      </c>
    </row>
    <row r="215" spans="1:4" x14ac:dyDescent="0.55000000000000004">
      <c r="A215" s="4">
        <v>2410205542</v>
      </c>
      <c r="B215" s="1" t="s">
        <v>161</v>
      </c>
      <c r="C215" s="1" t="str">
        <f>"四日市市泊山崎町3-22"</f>
        <v>四日市市泊山崎町3-22</v>
      </c>
      <c r="D215" s="1" t="str">
        <f>"059-345-0906  "</f>
        <v xml:space="preserve">059-345-0906  </v>
      </c>
    </row>
    <row r="216" spans="1:4" x14ac:dyDescent="0.55000000000000004">
      <c r="A216" s="4">
        <v>2410205559</v>
      </c>
      <c r="B216" s="1" t="s">
        <v>162</v>
      </c>
      <c r="C216" s="1" t="s">
        <v>2683</v>
      </c>
      <c r="D216" s="1" t="str">
        <f>"059-347-1188  "</f>
        <v xml:space="preserve">059-347-1188  </v>
      </c>
    </row>
    <row r="217" spans="1:4" x14ac:dyDescent="0.55000000000000004">
      <c r="A217" s="4">
        <v>2410205567</v>
      </c>
      <c r="B217" s="1" t="s">
        <v>163</v>
      </c>
      <c r="C217" s="1" t="str">
        <f>"四日市市高角町734-1"</f>
        <v>四日市市高角町734-1</v>
      </c>
      <c r="D217" s="1" t="str">
        <f>"059-326-6666  "</f>
        <v xml:space="preserve">059-326-6666  </v>
      </c>
    </row>
    <row r="218" spans="1:4" x14ac:dyDescent="0.55000000000000004">
      <c r="A218" s="4">
        <v>2410205575</v>
      </c>
      <c r="B218" s="1" t="s">
        <v>164</v>
      </c>
      <c r="C218" s="1" t="s">
        <v>2684</v>
      </c>
      <c r="D218" s="1" t="str">
        <f>"059-332-8155  "</f>
        <v xml:space="preserve">059-332-8155  </v>
      </c>
    </row>
    <row r="219" spans="1:4" x14ac:dyDescent="0.55000000000000004">
      <c r="A219" s="4">
        <v>2410205583</v>
      </c>
      <c r="B219" s="1" t="s">
        <v>165</v>
      </c>
      <c r="C219" s="1" t="str">
        <f>"四日市市富田一丁目9-3"</f>
        <v>四日市市富田一丁目9-3</v>
      </c>
      <c r="D219" s="1" t="str">
        <f>"059-364-0006  "</f>
        <v xml:space="preserve">059-364-0006  </v>
      </c>
    </row>
    <row r="220" spans="1:4" x14ac:dyDescent="0.55000000000000004">
      <c r="A220" s="4">
        <v>2410205591</v>
      </c>
      <c r="B220" s="1" t="s">
        <v>166</v>
      </c>
      <c r="C220" s="1" t="s">
        <v>2685</v>
      </c>
      <c r="D220" s="1" t="str">
        <f>"059-365-0278  "</f>
        <v xml:space="preserve">059-365-0278  </v>
      </c>
    </row>
    <row r="221" spans="1:4" x14ac:dyDescent="0.55000000000000004">
      <c r="A221" s="4">
        <v>2410205633</v>
      </c>
      <c r="B221" s="1" t="s">
        <v>167</v>
      </c>
      <c r="C221" s="1" t="str">
        <f>"四日市市幸町6-9"</f>
        <v>四日市市幸町6-9</v>
      </c>
      <c r="D221" s="1" t="str">
        <f>"059-352-2211  "</f>
        <v xml:space="preserve">059-352-2211  </v>
      </c>
    </row>
    <row r="222" spans="1:4" x14ac:dyDescent="0.55000000000000004">
      <c r="A222" s="4">
        <v>2410205690</v>
      </c>
      <c r="B222" s="1" t="s">
        <v>168</v>
      </c>
      <c r="C222" s="1" t="str">
        <f>"四日市市桜町554-3"</f>
        <v>四日市市桜町554-3</v>
      </c>
      <c r="D222" s="1" t="str">
        <f>"059-326-2066  "</f>
        <v xml:space="preserve">059-326-2066  </v>
      </c>
    </row>
    <row r="223" spans="1:4" x14ac:dyDescent="0.55000000000000004">
      <c r="A223" s="4">
        <v>2410205757</v>
      </c>
      <c r="B223" s="1" t="s">
        <v>169</v>
      </c>
      <c r="C223" s="1" t="str">
        <f>"四日市市末永町5-16"</f>
        <v>四日市市末永町5-16</v>
      </c>
      <c r="D223" s="1" t="str">
        <f>"059-331-6985  "</f>
        <v xml:space="preserve">059-331-6985  </v>
      </c>
    </row>
    <row r="224" spans="1:4" x14ac:dyDescent="0.55000000000000004">
      <c r="A224" s="4">
        <v>2410205823</v>
      </c>
      <c r="B224" s="1" t="s">
        <v>170</v>
      </c>
      <c r="C224" s="1" t="str">
        <f>"四日市市松本三丁目13-2"</f>
        <v>四日市市松本三丁目13-2</v>
      </c>
      <c r="D224" s="1" t="str">
        <f>"059-355-4133  "</f>
        <v xml:space="preserve">059-355-4133  </v>
      </c>
    </row>
    <row r="225" spans="1:4" x14ac:dyDescent="0.55000000000000004">
      <c r="A225" s="4">
        <v>2410205831</v>
      </c>
      <c r="B225" s="1" t="s">
        <v>171</v>
      </c>
      <c r="C225" s="1" t="s">
        <v>2686</v>
      </c>
      <c r="D225" s="1" t="str">
        <f>"059-326-1151  "</f>
        <v xml:space="preserve">059-326-1151  </v>
      </c>
    </row>
    <row r="226" spans="1:4" x14ac:dyDescent="0.55000000000000004">
      <c r="A226" s="4">
        <v>2410205849</v>
      </c>
      <c r="B226" s="1" t="s">
        <v>172</v>
      </c>
      <c r="C226" s="1" t="str">
        <f>"四日市市中納屋町4-1"</f>
        <v>四日市市中納屋町4-1</v>
      </c>
      <c r="D226" s="1" t="str">
        <f>"059-353-9261  "</f>
        <v xml:space="preserve">059-353-9261  </v>
      </c>
    </row>
    <row r="227" spans="1:4" x14ac:dyDescent="0.55000000000000004">
      <c r="A227" s="4">
        <v>2410205856</v>
      </c>
      <c r="B227" s="1" t="s">
        <v>173</v>
      </c>
      <c r="C227" s="1" t="str">
        <f>"四日市市東坂部町86-1"</f>
        <v>四日市市東坂部町86-1</v>
      </c>
      <c r="D227" s="1" t="str">
        <f>"059-331-6121  "</f>
        <v xml:space="preserve">059-331-6121  </v>
      </c>
    </row>
    <row r="228" spans="1:4" x14ac:dyDescent="0.55000000000000004">
      <c r="A228" s="4">
        <v>2410205864</v>
      </c>
      <c r="B228" s="1" t="s">
        <v>174</v>
      </c>
      <c r="C228" s="1" t="str">
        <f>"四日市市千代田町307-1"</f>
        <v>四日市市千代田町307-1</v>
      </c>
      <c r="D228" s="1" t="str">
        <f>"059-363-4666  "</f>
        <v xml:space="preserve">059-363-4666  </v>
      </c>
    </row>
    <row r="229" spans="1:4" x14ac:dyDescent="0.55000000000000004">
      <c r="A229" s="4">
        <v>2410205872</v>
      </c>
      <c r="B229" s="1" t="s">
        <v>175</v>
      </c>
      <c r="C229" s="1" t="str">
        <f>"四日市市桜町1278-2"</f>
        <v>四日市市桜町1278-2</v>
      </c>
      <c r="D229" s="1" t="str">
        <f>"059-326-8000  "</f>
        <v xml:space="preserve">059-326-8000  </v>
      </c>
    </row>
    <row r="230" spans="1:4" x14ac:dyDescent="0.55000000000000004">
      <c r="A230" s="4">
        <v>2410205906</v>
      </c>
      <c r="B230" s="1" t="s">
        <v>176</v>
      </c>
      <c r="C230" s="1" t="s">
        <v>2687</v>
      </c>
      <c r="D230" s="1" t="str">
        <f>"059-321-3336  "</f>
        <v xml:space="preserve">059-321-3336  </v>
      </c>
    </row>
    <row r="231" spans="1:4" x14ac:dyDescent="0.55000000000000004">
      <c r="A231" s="4">
        <v>2410205914</v>
      </c>
      <c r="B231" s="1" t="s">
        <v>177</v>
      </c>
      <c r="C231" s="1" t="str">
        <f>"四日市市西浦1-2-8"</f>
        <v>四日市市西浦1-2-8</v>
      </c>
      <c r="D231" s="1" t="str">
        <f>"059-355-5656  "</f>
        <v xml:space="preserve">059-355-5656  </v>
      </c>
    </row>
    <row r="232" spans="1:4" x14ac:dyDescent="0.55000000000000004">
      <c r="A232" s="4">
        <v>2410205922</v>
      </c>
      <c r="B232" s="1" t="s">
        <v>178</v>
      </c>
      <c r="C232" s="1" t="s">
        <v>2688</v>
      </c>
      <c r="D232" s="1" t="str">
        <f>"059-321-0080  "</f>
        <v xml:space="preserve">059-321-0080  </v>
      </c>
    </row>
    <row r="233" spans="1:4" x14ac:dyDescent="0.55000000000000004">
      <c r="A233" s="4">
        <v>2410205948</v>
      </c>
      <c r="B233" s="1" t="s">
        <v>179</v>
      </c>
      <c r="C233" s="1" t="str">
        <f>"四日市市ときわ四丁目4-13"</f>
        <v>四日市市ときわ四丁目4-13</v>
      </c>
      <c r="D233" s="1" t="str">
        <f>"059-355-5011  "</f>
        <v xml:space="preserve">059-355-5011  </v>
      </c>
    </row>
    <row r="234" spans="1:4" x14ac:dyDescent="0.55000000000000004">
      <c r="A234" s="4">
        <v>2410205955</v>
      </c>
      <c r="B234" s="1" t="s">
        <v>180</v>
      </c>
      <c r="C234" s="1" t="s">
        <v>2689</v>
      </c>
      <c r="D234" s="1" t="str">
        <f>"059-321-0201  "</f>
        <v xml:space="preserve">059-321-0201  </v>
      </c>
    </row>
    <row r="235" spans="1:4" x14ac:dyDescent="0.55000000000000004">
      <c r="A235" s="4">
        <v>2410205989</v>
      </c>
      <c r="B235" s="1" t="s">
        <v>181</v>
      </c>
      <c r="C235" s="1" t="str">
        <f>"四日市市生桑町菰池458-1"</f>
        <v>四日市市生桑町菰池458-1</v>
      </c>
      <c r="D235" s="1" t="str">
        <f>"059-330-6000  "</f>
        <v xml:space="preserve">059-330-6000  </v>
      </c>
    </row>
    <row r="236" spans="1:4" x14ac:dyDescent="0.55000000000000004">
      <c r="A236" s="4">
        <v>2410205997</v>
      </c>
      <c r="B236" s="1" t="s">
        <v>182</v>
      </c>
      <c r="C236" s="1" t="str">
        <f>"四日市市中部12-5"</f>
        <v>四日市市中部12-5</v>
      </c>
      <c r="D236" s="1" t="str">
        <f>"059-352-3604  "</f>
        <v xml:space="preserve">059-352-3604  </v>
      </c>
    </row>
    <row r="237" spans="1:4" x14ac:dyDescent="0.55000000000000004">
      <c r="A237" s="4">
        <v>2410210005</v>
      </c>
      <c r="B237" s="1" t="s">
        <v>183</v>
      </c>
      <c r="C237" s="1" t="s">
        <v>184</v>
      </c>
      <c r="D237" s="1" t="str">
        <f>"059-331-3322  "</f>
        <v xml:space="preserve">059-331-3322  </v>
      </c>
    </row>
    <row r="238" spans="1:4" x14ac:dyDescent="0.55000000000000004">
      <c r="A238" s="4">
        <v>2410210013</v>
      </c>
      <c r="B238" s="1" t="s">
        <v>185</v>
      </c>
      <c r="C238" s="1" t="str">
        <f>"四日市市上海老町字東大沢1633-140"</f>
        <v>四日市市上海老町字東大沢1633-140</v>
      </c>
      <c r="D238" s="1" t="str">
        <f>"059-325-2277  "</f>
        <v xml:space="preserve">059-325-2277  </v>
      </c>
    </row>
    <row r="239" spans="1:4" x14ac:dyDescent="0.55000000000000004">
      <c r="A239" s="4">
        <v>2410210021</v>
      </c>
      <c r="B239" s="1" t="s">
        <v>186</v>
      </c>
      <c r="C239" s="1" t="str">
        <f>"四日市市富州原町2-40イオンモール四日市北"</f>
        <v>四日市市富州原町2-40イオンモール四日市北</v>
      </c>
      <c r="D239" s="1" t="str">
        <f>"059-325-7185  "</f>
        <v xml:space="preserve">059-325-7185  </v>
      </c>
    </row>
    <row r="240" spans="1:4" x14ac:dyDescent="0.55000000000000004">
      <c r="A240" s="4">
        <v>2410210039</v>
      </c>
      <c r="B240" s="1" t="s">
        <v>187</v>
      </c>
      <c r="C240" s="1" t="s">
        <v>188</v>
      </c>
      <c r="D240" s="1" t="str">
        <f>"059-340-4112  "</f>
        <v xml:space="preserve">059-340-4112  </v>
      </c>
    </row>
    <row r="241" spans="1:4" x14ac:dyDescent="0.55000000000000004">
      <c r="A241" s="4">
        <v>2410210047</v>
      </c>
      <c r="B241" s="1" t="s">
        <v>189</v>
      </c>
      <c r="C241" s="1" t="s">
        <v>190</v>
      </c>
      <c r="D241" s="1" t="str">
        <f>"059-326-1181  "</f>
        <v xml:space="preserve">059-326-1181  </v>
      </c>
    </row>
    <row r="242" spans="1:4" x14ac:dyDescent="0.55000000000000004">
      <c r="A242" s="4">
        <v>2410210054</v>
      </c>
      <c r="B242" s="1" t="s">
        <v>191</v>
      </c>
      <c r="C242" s="1" t="s">
        <v>192</v>
      </c>
      <c r="D242" s="1" t="str">
        <f>"0259-327-7581 "</f>
        <v xml:space="preserve">0259-327-7581 </v>
      </c>
    </row>
    <row r="243" spans="1:4" x14ac:dyDescent="0.55000000000000004">
      <c r="A243" s="4">
        <v>2410210070</v>
      </c>
      <c r="B243" s="1" t="s">
        <v>193</v>
      </c>
      <c r="C243" s="1" t="str">
        <f>"四日市市西浦一丁目4番22-1号"</f>
        <v>四日市市西浦一丁目4番22-1号</v>
      </c>
      <c r="D243" s="1" t="str">
        <f>"059-358-0921  "</f>
        <v xml:space="preserve">059-358-0921  </v>
      </c>
    </row>
    <row r="244" spans="1:4" x14ac:dyDescent="0.55000000000000004">
      <c r="A244" s="4">
        <v>2410210088</v>
      </c>
      <c r="B244" s="1" t="s">
        <v>194</v>
      </c>
      <c r="C244" s="1" t="s">
        <v>195</v>
      </c>
      <c r="D244" s="1" t="str">
        <f>"059-340-6606  "</f>
        <v xml:space="preserve">059-340-6606  </v>
      </c>
    </row>
    <row r="245" spans="1:4" x14ac:dyDescent="0.55000000000000004">
      <c r="A245" s="4">
        <v>2410215012</v>
      </c>
      <c r="B245" s="1" t="s">
        <v>196</v>
      </c>
      <c r="C245" s="1" t="str">
        <f>"四日市市富州原町16-16"</f>
        <v>四日市市富州原町16-16</v>
      </c>
      <c r="D245" s="1" t="str">
        <f>"059-365-0658  "</f>
        <v xml:space="preserve">059-365-0658  </v>
      </c>
    </row>
    <row r="246" spans="1:4" x14ac:dyDescent="0.55000000000000004">
      <c r="A246" s="4">
        <v>2410215020</v>
      </c>
      <c r="B246" s="1" t="s">
        <v>197</v>
      </c>
      <c r="C246" s="1" t="str">
        <f>"四日市市高見台1-22-1"</f>
        <v>四日市市高見台1-22-1</v>
      </c>
      <c r="D246" s="1" t="str">
        <f>"059-339-1118  "</f>
        <v xml:space="preserve">059-339-1118  </v>
      </c>
    </row>
    <row r="247" spans="1:4" x14ac:dyDescent="0.55000000000000004">
      <c r="A247" s="4">
        <v>2410215038</v>
      </c>
      <c r="B247" s="1" t="s">
        <v>198</v>
      </c>
      <c r="C247" s="1" t="s">
        <v>2690</v>
      </c>
      <c r="D247" s="1" t="str">
        <f>"059-323-1000  "</f>
        <v xml:space="preserve">059-323-1000  </v>
      </c>
    </row>
    <row r="248" spans="1:4" x14ac:dyDescent="0.55000000000000004">
      <c r="A248" s="4">
        <v>2410215046</v>
      </c>
      <c r="B248" s="1" t="s">
        <v>199</v>
      </c>
      <c r="C248" s="1" t="s">
        <v>2691</v>
      </c>
      <c r="D248" s="1" t="str">
        <f>"059-331-3845  "</f>
        <v xml:space="preserve">059-331-3845  </v>
      </c>
    </row>
    <row r="249" spans="1:4" x14ac:dyDescent="0.55000000000000004">
      <c r="A249" s="4">
        <v>2410215053</v>
      </c>
      <c r="B249" s="1" t="s">
        <v>200</v>
      </c>
      <c r="C249" s="1" t="str">
        <f>"四日市市鵜の森1丁目9-3"</f>
        <v>四日市市鵜の森1丁目9-3</v>
      </c>
      <c r="D249" s="1" t="str">
        <f>"059-351-3387  "</f>
        <v xml:space="preserve">059-351-3387  </v>
      </c>
    </row>
    <row r="250" spans="1:4" x14ac:dyDescent="0.55000000000000004">
      <c r="A250" s="4">
        <v>2410215087</v>
      </c>
      <c r="B250" s="1" t="s">
        <v>201</v>
      </c>
      <c r="C250" s="1" t="str">
        <f>"四日市市馳出町3丁目6-3"</f>
        <v>四日市市馳出町3丁目6-3</v>
      </c>
      <c r="D250" s="1" t="str">
        <f>"059-348-1800  "</f>
        <v xml:space="preserve">059-348-1800  </v>
      </c>
    </row>
    <row r="251" spans="1:4" x14ac:dyDescent="0.55000000000000004">
      <c r="A251" s="4">
        <v>2410215111</v>
      </c>
      <c r="B251" s="1" t="s">
        <v>202</v>
      </c>
      <c r="C251" s="1" t="s">
        <v>2692</v>
      </c>
      <c r="D251" s="1" t="str">
        <f>"059-327-0777  "</f>
        <v xml:space="preserve">059-327-0777  </v>
      </c>
    </row>
    <row r="252" spans="1:4" x14ac:dyDescent="0.55000000000000004">
      <c r="A252" s="4">
        <v>2410215129</v>
      </c>
      <c r="B252" s="1" t="s">
        <v>203</v>
      </c>
      <c r="C252" s="1" t="s">
        <v>2693</v>
      </c>
      <c r="D252" s="1" t="str">
        <f>"059-352-8539  "</f>
        <v xml:space="preserve">059-352-8539  </v>
      </c>
    </row>
    <row r="253" spans="1:4" x14ac:dyDescent="0.55000000000000004">
      <c r="A253" s="4">
        <v>2410215137</v>
      </c>
      <c r="B253" s="1" t="s">
        <v>204</v>
      </c>
      <c r="C253" s="1" t="str">
        <f>"四日市市八田1丁目13-17"</f>
        <v>四日市市八田1丁目13-17</v>
      </c>
      <c r="D253" s="1" t="str">
        <f>"059-332-2277  "</f>
        <v xml:space="preserve">059-332-2277  </v>
      </c>
    </row>
    <row r="254" spans="1:4" x14ac:dyDescent="0.55000000000000004">
      <c r="A254" s="4">
        <v>2410215145</v>
      </c>
      <c r="B254" s="1" t="s">
        <v>205</v>
      </c>
      <c r="C254" s="1" t="str">
        <f>"四日市市野田2-9-12"</f>
        <v>四日市市野田2-9-12</v>
      </c>
      <c r="D254" s="1" t="str">
        <f>"059-332-5100  "</f>
        <v xml:space="preserve">059-332-5100  </v>
      </c>
    </row>
    <row r="255" spans="1:4" x14ac:dyDescent="0.55000000000000004">
      <c r="A255" s="4">
        <v>2410215186</v>
      </c>
      <c r="B255" s="1" t="s">
        <v>206</v>
      </c>
      <c r="C255" s="1" t="s">
        <v>2694</v>
      </c>
      <c r="D255" s="1" t="str">
        <f>"059-345-0028  "</f>
        <v xml:space="preserve">059-345-0028  </v>
      </c>
    </row>
    <row r="256" spans="1:4" x14ac:dyDescent="0.55000000000000004">
      <c r="A256" s="4">
        <v>2410215194</v>
      </c>
      <c r="B256" s="1" t="s">
        <v>207</v>
      </c>
      <c r="C256" s="1" t="s">
        <v>2695</v>
      </c>
      <c r="D256" s="1" t="str">
        <f>"059-365-7226  "</f>
        <v xml:space="preserve">059-365-7226  </v>
      </c>
    </row>
    <row r="257" spans="1:4" x14ac:dyDescent="0.55000000000000004">
      <c r="A257" s="4">
        <v>2410215202</v>
      </c>
      <c r="B257" s="1" t="s">
        <v>208</v>
      </c>
      <c r="C257" s="1" t="s">
        <v>2696</v>
      </c>
      <c r="D257" s="1" t="str">
        <f>"059-365-5252  "</f>
        <v xml:space="preserve">059-365-5252  </v>
      </c>
    </row>
    <row r="258" spans="1:4" x14ac:dyDescent="0.55000000000000004">
      <c r="A258" s="4">
        <v>2410215210</v>
      </c>
      <c r="B258" s="1" t="s">
        <v>209</v>
      </c>
      <c r="C258" s="1" t="s">
        <v>2697</v>
      </c>
      <c r="D258" s="1" t="str">
        <f>"059-322-9538  "</f>
        <v xml:space="preserve">059-322-9538  </v>
      </c>
    </row>
    <row r="259" spans="1:4" x14ac:dyDescent="0.55000000000000004">
      <c r="A259" s="4">
        <v>2410215228</v>
      </c>
      <c r="B259" s="1" t="s">
        <v>210</v>
      </c>
      <c r="C259" s="1" t="s">
        <v>2698</v>
      </c>
      <c r="D259" s="1" t="str">
        <f>"059-326-8738  "</f>
        <v xml:space="preserve">059-326-8738  </v>
      </c>
    </row>
    <row r="260" spans="1:4" x14ac:dyDescent="0.55000000000000004">
      <c r="A260" s="4">
        <v>2410215236</v>
      </c>
      <c r="B260" s="1" t="s">
        <v>211</v>
      </c>
      <c r="C260" s="1" t="str">
        <f>"四日市市富田浜元町1-16"</f>
        <v>四日市市富田浜元町1-16</v>
      </c>
      <c r="D260" s="1" t="str">
        <f>"059-365-0001  "</f>
        <v xml:space="preserve">059-365-0001  </v>
      </c>
    </row>
    <row r="261" spans="1:4" x14ac:dyDescent="0.55000000000000004">
      <c r="A261" s="4">
        <v>2410215244</v>
      </c>
      <c r="B261" s="1" t="s">
        <v>212</v>
      </c>
      <c r="C261" s="1" t="s">
        <v>2699</v>
      </c>
      <c r="D261" s="1" t="str">
        <f>"059-349-5500  "</f>
        <v xml:space="preserve">059-349-5500  </v>
      </c>
    </row>
    <row r="262" spans="1:4" x14ac:dyDescent="0.55000000000000004">
      <c r="A262" s="4">
        <v>2410215251</v>
      </c>
      <c r="B262" s="1" t="s">
        <v>213</v>
      </c>
      <c r="C262" s="1" t="str">
        <f>"四日市市赤水町1274-3"</f>
        <v>四日市市赤水町1274-3</v>
      </c>
      <c r="D262" s="1" t="str">
        <f>"059-327-1515  "</f>
        <v xml:space="preserve">059-327-1515  </v>
      </c>
    </row>
    <row r="263" spans="1:4" x14ac:dyDescent="0.55000000000000004">
      <c r="A263" s="4">
        <v>2410215277</v>
      </c>
      <c r="B263" s="1" t="s">
        <v>214</v>
      </c>
      <c r="C263" s="1" t="str">
        <f>"四日市市羽津中2丁目1-10"</f>
        <v>四日市市羽津中2丁目1-10</v>
      </c>
      <c r="D263" s="1" t="str">
        <f>"059-330-5582  "</f>
        <v xml:space="preserve">059-330-5582  </v>
      </c>
    </row>
    <row r="264" spans="1:4" x14ac:dyDescent="0.55000000000000004">
      <c r="A264" s="4">
        <v>2410215285</v>
      </c>
      <c r="B264" s="1" t="s">
        <v>215</v>
      </c>
      <c r="C264" s="1" t="str">
        <f>"四日市市下之宮町329-1"</f>
        <v>四日市市下之宮町329-1</v>
      </c>
      <c r="D264" s="1" t="str">
        <f>"059-364-1877  "</f>
        <v xml:space="preserve">059-364-1877  </v>
      </c>
    </row>
    <row r="265" spans="1:4" x14ac:dyDescent="0.55000000000000004">
      <c r="A265" s="4">
        <v>2410215327</v>
      </c>
      <c r="B265" s="1" t="s">
        <v>216</v>
      </c>
      <c r="C265" s="1" t="s">
        <v>2700</v>
      </c>
      <c r="D265" s="1" t="str">
        <f>"059-336-3600  "</f>
        <v xml:space="preserve">059-336-3600  </v>
      </c>
    </row>
    <row r="266" spans="1:4" x14ac:dyDescent="0.55000000000000004">
      <c r="A266" s="4">
        <v>2410215335</v>
      </c>
      <c r="B266" s="1" t="s">
        <v>217</v>
      </c>
      <c r="C266" s="1" t="str">
        <f>"四日市市川島町5969-7"</f>
        <v>四日市市川島町5969-7</v>
      </c>
      <c r="D266" s="1" t="str">
        <f>"059-320-2110  "</f>
        <v xml:space="preserve">059-320-2110  </v>
      </c>
    </row>
    <row r="267" spans="1:4" x14ac:dyDescent="0.55000000000000004">
      <c r="A267" s="4">
        <v>2410215343</v>
      </c>
      <c r="B267" s="1" t="s">
        <v>218</v>
      </c>
      <c r="C267" s="1" t="str">
        <f>"四日市市楠町南五味塚160-4"</f>
        <v>四日市市楠町南五味塚160-4</v>
      </c>
      <c r="D267" s="1" t="str">
        <f>"059-397-2401  "</f>
        <v xml:space="preserve">059-397-2401  </v>
      </c>
    </row>
    <row r="268" spans="1:4" x14ac:dyDescent="0.55000000000000004">
      <c r="A268" s="4">
        <v>2410215376</v>
      </c>
      <c r="B268" s="1" t="s">
        <v>219</v>
      </c>
      <c r="C268" s="1" t="str">
        <f>"四日市市楠町小倉417-5"</f>
        <v>四日市市楠町小倉417-5</v>
      </c>
      <c r="D268" s="1" t="str">
        <f>"059-398-3000  "</f>
        <v xml:space="preserve">059-398-3000  </v>
      </c>
    </row>
    <row r="269" spans="1:4" x14ac:dyDescent="0.55000000000000004">
      <c r="A269" s="4">
        <v>2410215392</v>
      </c>
      <c r="B269" s="1" t="s">
        <v>220</v>
      </c>
      <c r="C269" s="1" t="str">
        <f>"四日市市桜台1-31-3"</f>
        <v>四日市市桜台1-31-3</v>
      </c>
      <c r="D269" s="1" t="str">
        <f>"059-326-7272  "</f>
        <v xml:space="preserve">059-326-7272  </v>
      </c>
    </row>
    <row r="270" spans="1:4" x14ac:dyDescent="0.55000000000000004">
      <c r="A270" s="4">
        <v>2410215400</v>
      </c>
      <c r="B270" s="1" t="s">
        <v>221</v>
      </c>
      <c r="C270" s="1" t="str">
        <f>"四日市市中川原2丁目3-8"</f>
        <v>四日市市中川原2丁目3-8</v>
      </c>
      <c r="D270" s="1" t="str">
        <f>"059-350-7775  "</f>
        <v xml:space="preserve">059-350-7775  </v>
      </c>
    </row>
    <row r="271" spans="1:4" x14ac:dyDescent="0.55000000000000004">
      <c r="A271" s="4">
        <v>2410215426</v>
      </c>
      <c r="B271" s="1" t="s">
        <v>222</v>
      </c>
      <c r="C271" s="1" t="str">
        <f>"四日市市日永西5丁目20-10"</f>
        <v>四日市市日永西5丁目20-10</v>
      </c>
      <c r="D271" s="1" t="str">
        <f>"059-346-8733  "</f>
        <v xml:space="preserve">059-346-8733  </v>
      </c>
    </row>
    <row r="272" spans="1:4" x14ac:dyDescent="0.55000000000000004">
      <c r="A272" s="4">
        <v>2410215434</v>
      </c>
      <c r="B272" s="1" t="s">
        <v>223</v>
      </c>
      <c r="C272" s="1" t="s">
        <v>2701</v>
      </c>
      <c r="D272" s="1" t="str">
        <f>"059-357-0561  "</f>
        <v xml:space="preserve">059-357-0561  </v>
      </c>
    </row>
    <row r="273" spans="1:4" x14ac:dyDescent="0.55000000000000004">
      <c r="A273" s="4">
        <v>2410215442</v>
      </c>
      <c r="B273" s="1" t="s">
        <v>224</v>
      </c>
      <c r="C273" s="1" t="s">
        <v>2702</v>
      </c>
      <c r="D273" s="1" t="str">
        <f>"059-350-5555  "</f>
        <v xml:space="preserve">059-350-5555  </v>
      </c>
    </row>
    <row r="274" spans="1:4" x14ac:dyDescent="0.55000000000000004">
      <c r="A274" s="4">
        <v>2410215459</v>
      </c>
      <c r="B274" s="1" t="s">
        <v>225</v>
      </c>
      <c r="C274" s="1" t="str">
        <f>"四日市市天カ須賀四丁目6-8"</f>
        <v>四日市市天カ須賀四丁目6-8</v>
      </c>
      <c r="D274" s="1" t="str">
        <f>"059-361-7755  "</f>
        <v xml:space="preserve">059-361-7755  </v>
      </c>
    </row>
    <row r="275" spans="1:4" x14ac:dyDescent="0.55000000000000004">
      <c r="A275" s="4">
        <v>2410215467</v>
      </c>
      <c r="B275" s="1" t="s">
        <v>226</v>
      </c>
      <c r="C275" s="1" t="str">
        <f>"四日市市生桑町1642-91"</f>
        <v>四日市市生桑町1642-91</v>
      </c>
      <c r="D275" s="1" t="str">
        <f>"059-332-6789  "</f>
        <v xml:space="preserve">059-332-6789  </v>
      </c>
    </row>
    <row r="276" spans="1:4" x14ac:dyDescent="0.55000000000000004">
      <c r="A276" s="4">
        <v>2410215509</v>
      </c>
      <c r="B276" s="1" t="s">
        <v>227</v>
      </c>
      <c r="C276" s="1" t="str">
        <f>"四日市市松本3-9-11"</f>
        <v>四日市市松本3-9-11</v>
      </c>
      <c r="D276" s="1" t="str">
        <f>"059-359-2000  "</f>
        <v xml:space="preserve">059-359-2000  </v>
      </c>
    </row>
    <row r="277" spans="1:4" x14ac:dyDescent="0.55000000000000004">
      <c r="A277" s="4">
        <v>2410215525</v>
      </c>
      <c r="B277" s="1" t="s">
        <v>228</v>
      </c>
      <c r="C277" s="1" t="str">
        <f>"四日市市小古曽町2717-1"</f>
        <v>四日市市小古曽町2717-1</v>
      </c>
      <c r="D277" s="1" t="str">
        <f>"059-349-0100  "</f>
        <v xml:space="preserve">059-349-0100  </v>
      </c>
    </row>
    <row r="278" spans="1:4" x14ac:dyDescent="0.55000000000000004">
      <c r="A278" s="4">
        <v>2410215558</v>
      </c>
      <c r="B278" s="1" t="s">
        <v>229</v>
      </c>
      <c r="C278" s="1" t="s">
        <v>2703</v>
      </c>
      <c r="D278" s="1" t="str">
        <f>"059-333-8080  "</f>
        <v xml:space="preserve">059-333-8080  </v>
      </c>
    </row>
    <row r="279" spans="1:4" x14ac:dyDescent="0.55000000000000004">
      <c r="A279" s="4">
        <v>2410215566</v>
      </c>
      <c r="B279" s="1" t="s">
        <v>230</v>
      </c>
      <c r="C279" s="1" t="str">
        <f>"四日市市高角町694-1"</f>
        <v>四日市市高角町694-1</v>
      </c>
      <c r="D279" s="1" t="str">
        <f>"059-325-3511  "</f>
        <v xml:space="preserve">059-325-3511  </v>
      </c>
    </row>
    <row r="280" spans="1:4" x14ac:dyDescent="0.55000000000000004">
      <c r="A280" s="4">
        <v>2410215582</v>
      </c>
      <c r="B280" s="1" t="s">
        <v>231</v>
      </c>
      <c r="C280" s="1" t="s">
        <v>2704</v>
      </c>
      <c r="D280" s="1" t="str">
        <f>"059-333-6471  "</f>
        <v xml:space="preserve">059-333-6471  </v>
      </c>
    </row>
    <row r="281" spans="1:4" x14ac:dyDescent="0.55000000000000004">
      <c r="A281" s="4">
        <v>2410215590</v>
      </c>
      <c r="B281" s="1" t="s">
        <v>232</v>
      </c>
      <c r="C281" s="1" t="s">
        <v>381</v>
      </c>
      <c r="D281" s="1" t="str">
        <f>"059-336-2404  "</f>
        <v xml:space="preserve">059-336-2404  </v>
      </c>
    </row>
    <row r="282" spans="1:4" x14ac:dyDescent="0.55000000000000004">
      <c r="A282" s="4">
        <v>2410215608</v>
      </c>
      <c r="B282" s="1" t="s">
        <v>233</v>
      </c>
      <c r="C282" s="1" t="str">
        <f>"四日市市日永西1丁目30-12"</f>
        <v>四日市市日永西1丁目30-12</v>
      </c>
      <c r="D282" s="1" t="str">
        <f>"059-320-3030  "</f>
        <v xml:space="preserve">059-320-3030  </v>
      </c>
    </row>
    <row r="283" spans="1:4" x14ac:dyDescent="0.55000000000000004">
      <c r="A283" s="4">
        <v>2410215624</v>
      </c>
      <c r="B283" s="1" t="s">
        <v>234</v>
      </c>
      <c r="C283" s="1" t="s">
        <v>2705</v>
      </c>
      <c r="D283" s="1" t="str">
        <f>"059-349-1811  "</f>
        <v xml:space="preserve">059-349-1811  </v>
      </c>
    </row>
    <row r="284" spans="1:4" x14ac:dyDescent="0.55000000000000004">
      <c r="A284" s="4">
        <v>2410215632</v>
      </c>
      <c r="B284" s="1" t="s">
        <v>235</v>
      </c>
      <c r="C284" s="1" t="s">
        <v>2706</v>
      </c>
      <c r="D284" s="1" t="str">
        <f>"059-345-2321  "</f>
        <v xml:space="preserve">059-345-2321  </v>
      </c>
    </row>
    <row r="285" spans="1:4" x14ac:dyDescent="0.55000000000000004">
      <c r="A285" s="4">
        <v>2410215640</v>
      </c>
      <c r="B285" s="1" t="s">
        <v>236</v>
      </c>
      <c r="C285" s="1" t="s">
        <v>2707</v>
      </c>
      <c r="D285" s="1" t="str">
        <f>"059-325-2255  "</f>
        <v xml:space="preserve">059-325-2255  </v>
      </c>
    </row>
    <row r="286" spans="1:4" x14ac:dyDescent="0.55000000000000004">
      <c r="A286" s="4">
        <v>2410215665</v>
      </c>
      <c r="B286" s="1" t="s">
        <v>237</v>
      </c>
      <c r="C286" s="1" t="str">
        <f>"四日市市大字茂福781-1"</f>
        <v>四日市市大字茂福781-1</v>
      </c>
      <c r="D286" s="1" t="str">
        <f>"059-361-0202  "</f>
        <v xml:space="preserve">059-361-0202  </v>
      </c>
    </row>
    <row r="287" spans="1:4" x14ac:dyDescent="0.55000000000000004">
      <c r="A287" s="4">
        <v>2410215673</v>
      </c>
      <c r="B287" s="1" t="s">
        <v>238</v>
      </c>
      <c r="C287" s="1" t="s">
        <v>2708</v>
      </c>
      <c r="D287" s="1" t="str">
        <f>"059-347-1118  "</f>
        <v xml:space="preserve">059-347-1118  </v>
      </c>
    </row>
    <row r="288" spans="1:4" x14ac:dyDescent="0.55000000000000004">
      <c r="A288" s="4">
        <v>2410215699</v>
      </c>
      <c r="B288" s="1" t="s">
        <v>239</v>
      </c>
      <c r="C288" s="1" t="str">
        <f>"四日市市清水町1-12"</f>
        <v>四日市市清水町1-12</v>
      </c>
      <c r="D288" s="1" t="str">
        <f>"059-333-6662  "</f>
        <v xml:space="preserve">059-333-6662  </v>
      </c>
    </row>
    <row r="289" spans="1:4" x14ac:dyDescent="0.55000000000000004">
      <c r="A289" s="4">
        <v>2410215707</v>
      </c>
      <c r="B289" s="1" t="s">
        <v>240</v>
      </c>
      <c r="C289" s="1" t="s">
        <v>2709</v>
      </c>
      <c r="D289" s="1" t="str">
        <f>"059-328-4109  "</f>
        <v xml:space="preserve">059-328-4109  </v>
      </c>
    </row>
    <row r="290" spans="1:4" x14ac:dyDescent="0.55000000000000004">
      <c r="A290" s="4">
        <v>2410215715</v>
      </c>
      <c r="B290" s="1" t="s">
        <v>241</v>
      </c>
      <c r="C290" s="1" t="s">
        <v>2710</v>
      </c>
      <c r="D290" s="1" t="str">
        <f>"059-325-2500  "</f>
        <v xml:space="preserve">059-325-2500  </v>
      </c>
    </row>
    <row r="291" spans="1:4" x14ac:dyDescent="0.55000000000000004">
      <c r="A291" s="4">
        <v>2410215749</v>
      </c>
      <c r="B291" s="1" t="s">
        <v>242</v>
      </c>
      <c r="C291" s="1" t="str">
        <f>"四日市市諏訪町4-5四日市諏訪町ビル4階"</f>
        <v>四日市市諏訪町4-5四日市諏訪町ビル4階</v>
      </c>
      <c r="D291" s="1" t="str">
        <f>"059-356-8880  "</f>
        <v xml:space="preserve">059-356-8880  </v>
      </c>
    </row>
    <row r="292" spans="1:4" x14ac:dyDescent="0.55000000000000004">
      <c r="A292" s="4">
        <v>2410215756</v>
      </c>
      <c r="B292" s="1" t="s">
        <v>243</v>
      </c>
      <c r="C292" s="1" t="str">
        <f>"四日市市久保田2丁目1-2"</f>
        <v>四日市市久保田2丁目1-2</v>
      </c>
      <c r="D292" s="1" t="str">
        <f>"059-355-2980  "</f>
        <v xml:space="preserve">059-355-2980  </v>
      </c>
    </row>
    <row r="293" spans="1:4" x14ac:dyDescent="0.55000000000000004">
      <c r="A293" s="4">
        <v>2410215772</v>
      </c>
      <c r="B293" s="1" t="s">
        <v>244</v>
      </c>
      <c r="C293" s="1" t="s">
        <v>2711</v>
      </c>
      <c r="D293" s="1" t="str">
        <f>"059-326-3000  "</f>
        <v xml:space="preserve">059-326-3000  </v>
      </c>
    </row>
    <row r="294" spans="1:4" x14ac:dyDescent="0.55000000000000004">
      <c r="A294" s="4">
        <v>2410215780</v>
      </c>
      <c r="B294" s="1" t="s">
        <v>245</v>
      </c>
      <c r="C294" s="1" t="str">
        <f>"四日市市諏訪栄町5-8ローレルタワーシュロア四日市1階"</f>
        <v>四日市市諏訪栄町5-8ローレルタワーシュロア四日市1階</v>
      </c>
      <c r="D294" s="1" t="str">
        <f>"059-355-0717  "</f>
        <v xml:space="preserve">059-355-0717  </v>
      </c>
    </row>
    <row r="295" spans="1:4" x14ac:dyDescent="0.55000000000000004">
      <c r="A295" s="4">
        <v>2410215798</v>
      </c>
      <c r="B295" s="1" t="s">
        <v>246</v>
      </c>
      <c r="C295" s="1" t="s">
        <v>2712</v>
      </c>
      <c r="D295" s="1" t="str">
        <f>"059-351-2466  "</f>
        <v xml:space="preserve">059-351-2466  </v>
      </c>
    </row>
    <row r="296" spans="1:4" x14ac:dyDescent="0.55000000000000004">
      <c r="A296" s="4">
        <v>2410215806</v>
      </c>
      <c r="B296" s="1" t="s">
        <v>247</v>
      </c>
      <c r="C296" s="1" t="str">
        <f>"四日市市日永西5丁目20-11"</f>
        <v>四日市市日永西5丁目20-11</v>
      </c>
      <c r="D296" s="1" t="str">
        <f>"059-346-8800  "</f>
        <v xml:space="preserve">059-346-8800  </v>
      </c>
    </row>
    <row r="297" spans="1:4" x14ac:dyDescent="0.55000000000000004">
      <c r="A297" s="4">
        <v>2410215814</v>
      </c>
      <c r="B297" s="1" t="s">
        <v>248</v>
      </c>
      <c r="C297" s="1" t="str">
        <f>"四日市市生桑町196-1"</f>
        <v>四日市市生桑町196-1</v>
      </c>
      <c r="D297" s="1" t="str">
        <f>"059-330-0198  "</f>
        <v xml:space="preserve">059-330-0198  </v>
      </c>
    </row>
    <row r="298" spans="1:4" x14ac:dyDescent="0.55000000000000004">
      <c r="A298" s="4">
        <v>2410215830</v>
      </c>
      <c r="B298" s="1" t="s">
        <v>249</v>
      </c>
      <c r="C298" s="1" t="str">
        <f>"四日市市楠町小倉768-1"</f>
        <v>四日市市楠町小倉768-1</v>
      </c>
      <c r="D298" s="1" t="str">
        <f>"059-398-3100  "</f>
        <v xml:space="preserve">059-398-3100  </v>
      </c>
    </row>
    <row r="299" spans="1:4" x14ac:dyDescent="0.55000000000000004">
      <c r="A299" s="4">
        <v>2410215848</v>
      </c>
      <c r="B299" s="1" t="s">
        <v>250</v>
      </c>
      <c r="C299" s="1" t="str">
        <f>"四日市市城西町3-17-1"</f>
        <v>四日市市城西町3-17-1</v>
      </c>
      <c r="D299" s="1" t="str">
        <f>"059-359-0008  "</f>
        <v xml:space="preserve">059-359-0008  </v>
      </c>
    </row>
    <row r="300" spans="1:4" x14ac:dyDescent="0.55000000000000004">
      <c r="A300" s="4">
        <v>2410215854</v>
      </c>
      <c r="B300" s="1" t="s">
        <v>251</v>
      </c>
      <c r="C300" s="1" t="str">
        <f>"四日市市小杉新町153-7"</f>
        <v>四日市市小杉新町153-7</v>
      </c>
      <c r="D300" s="1" t="str">
        <f>"059-334-0187  "</f>
        <v xml:space="preserve">059-334-0187  </v>
      </c>
    </row>
    <row r="301" spans="1:4" x14ac:dyDescent="0.55000000000000004">
      <c r="A301" s="4">
        <v>2410215855</v>
      </c>
      <c r="B301" s="1" t="s">
        <v>252</v>
      </c>
      <c r="C301" s="1" t="s">
        <v>253</v>
      </c>
      <c r="D301" s="1" t="str">
        <f>"059-325-3776  "</f>
        <v xml:space="preserve">059-325-3776  </v>
      </c>
    </row>
    <row r="302" spans="1:4" x14ac:dyDescent="0.55000000000000004">
      <c r="A302" s="4">
        <v>2410215863</v>
      </c>
      <c r="B302" s="1" t="s">
        <v>254</v>
      </c>
      <c r="C302" s="1" t="s">
        <v>2713</v>
      </c>
      <c r="D302" s="1" t="str">
        <f>"059-351-9974  "</f>
        <v xml:space="preserve">059-351-9974  </v>
      </c>
    </row>
    <row r="303" spans="1:4" x14ac:dyDescent="0.55000000000000004">
      <c r="A303" s="4">
        <v>2410215889</v>
      </c>
      <c r="B303" s="1" t="s">
        <v>255</v>
      </c>
      <c r="C303" s="1" t="s">
        <v>2714</v>
      </c>
      <c r="D303" s="1" t="str">
        <f>"059-356-4100  "</f>
        <v xml:space="preserve">059-356-4100  </v>
      </c>
    </row>
    <row r="304" spans="1:4" x14ac:dyDescent="0.55000000000000004">
      <c r="A304" s="4">
        <v>2410215921</v>
      </c>
      <c r="B304" s="1" t="s">
        <v>256</v>
      </c>
      <c r="C304" s="1" t="s">
        <v>257</v>
      </c>
      <c r="D304" s="1" t="str">
        <f>"059-330-0105  "</f>
        <v xml:space="preserve">059-330-0105  </v>
      </c>
    </row>
    <row r="305" spans="1:4" x14ac:dyDescent="0.55000000000000004">
      <c r="A305" s="4">
        <v>2410215947</v>
      </c>
      <c r="B305" s="1" t="s">
        <v>258</v>
      </c>
      <c r="C305" s="1" t="str">
        <f>"四日市市垂坂町413－1"</f>
        <v>四日市市垂坂町413－1</v>
      </c>
      <c r="D305" s="1" t="str">
        <f>"059-330-5222  "</f>
        <v xml:space="preserve">059-330-5222  </v>
      </c>
    </row>
    <row r="306" spans="1:4" x14ac:dyDescent="0.55000000000000004">
      <c r="A306" s="4">
        <v>2410215962</v>
      </c>
      <c r="B306" s="1" t="s">
        <v>259</v>
      </c>
      <c r="C306" s="1" t="s">
        <v>2715</v>
      </c>
      <c r="D306" s="1" t="str">
        <f>"059-327-6766  "</f>
        <v xml:space="preserve">059-327-6766  </v>
      </c>
    </row>
    <row r="307" spans="1:4" x14ac:dyDescent="0.55000000000000004">
      <c r="A307" s="4">
        <v>2410215988</v>
      </c>
      <c r="B307" s="1" t="s">
        <v>260</v>
      </c>
      <c r="C307" s="1" t="s">
        <v>261</v>
      </c>
      <c r="D307" s="1" t="str">
        <f>"059-325-3377  "</f>
        <v xml:space="preserve">059-325-3377  </v>
      </c>
    </row>
    <row r="308" spans="1:4" x14ac:dyDescent="0.55000000000000004">
      <c r="A308" s="4">
        <v>2430201851</v>
      </c>
      <c r="B308" s="1" t="s">
        <v>1172</v>
      </c>
      <c r="C308" s="1" t="str">
        <f>"四日市市諏訪町3-15"</f>
        <v>四日市市諏訪町3-15</v>
      </c>
      <c r="D308" s="1" t="str">
        <f>"059-353-6226  "</f>
        <v xml:space="preserve">059-353-6226  </v>
      </c>
    </row>
    <row r="309" spans="1:4" x14ac:dyDescent="0.55000000000000004">
      <c r="A309" s="4">
        <v>2430202313</v>
      </c>
      <c r="B309" s="1" t="s">
        <v>1173</v>
      </c>
      <c r="C309" s="1" t="s">
        <v>2977</v>
      </c>
      <c r="D309" s="1" t="str">
        <f>"059-345-8877  "</f>
        <v xml:space="preserve">059-345-8877  </v>
      </c>
    </row>
    <row r="310" spans="1:4" x14ac:dyDescent="0.55000000000000004">
      <c r="A310" s="4">
        <v>2430202370</v>
      </c>
      <c r="B310" s="1" t="s">
        <v>1174</v>
      </c>
      <c r="C310" s="1" t="str">
        <f>"四日市市松原町34-10"</f>
        <v>四日市市松原町34-10</v>
      </c>
      <c r="D310" s="1" t="str">
        <f>"059-366-0500  "</f>
        <v xml:space="preserve">059-366-0500  </v>
      </c>
    </row>
    <row r="311" spans="1:4" x14ac:dyDescent="0.55000000000000004">
      <c r="A311" s="4">
        <v>2430202412</v>
      </c>
      <c r="B311" s="1" t="s">
        <v>1175</v>
      </c>
      <c r="C311" s="1" t="str">
        <f>"四日市市高角町2732-1"</f>
        <v>四日市市高角町2732-1</v>
      </c>
      <c r="D311" s="1" t="str">
        <f>"059-325-2377  "</f>
        <v xml:space="preserve">059-325-2377  </v>
      </c>
    </row>
    <row r="312" spans="1:4" x14ac:dyDescent="0.55000000000000004">
      <c r="A312" s="4">
        <v>2430202826</v>
      </c>
      <c r="B312" s="1" t="s">
        <v>1176</v>
      </c>
      <c r="C312" s="1" t="str">
        <f>"四日市市野田二丁目5-18"</f>
        <v>四日市市野田二丁目5-18</v>
      </c>
      <c r="D312" s="1" t="str">
        <f>"059-334-8255  "</f>
        <v xml:space="preserve">059-334-8255  </v>
      </c>
    </row>
    <row r="313" spans="1:4" x14ac:dyDescent="0.55000000000000004">
      <c r="A313" s="4">
        <v>2430203253</v>
      </c>
      <c r="B313" s="1" t="s">
        <v>1177</v>
      </c>
      <c r="C313" s="1" t="str">
        <f>"四日市市大字泊村1241-5"</f>
        <v>四日市市大字泊村1241-5</v>
      </c>
      <c r="D313" s="1" t="str">
        <f>"059-329-6480  "</f>
        <v xml:space="preserve">059-329-6480  </v>
      </c>
    </row>
    <row r="314" spans="1:4" x14ac:dyDescent="0.55000000000000004">
      <c r="A314" s="4">
        <v>2430203287</v>
      </c>
      <c r="B314" s="1" t="s">
        <v>1178</v>
      </c>
      <c r="C314" s="1" t="s">
        <v>1179</v>
      </c>
      <c r="D314" s="1" t="str">
        <f>"059-361-7778  "</f>
        <v xml:space="preserve">059-361-7778  </v>
      </c>
    </row>
    <row r="315" spans="1:4" x14ac:dyDescent="0.55000000000000004">
      <c r="A315" s="4">
        <v>2430203345</v>
      </c>
      <c r="B315" s="1" t="s">
        <v>1180</v>
      </c>
      <c r="C315" s="1" t="str">
        <f>"四日市市室山町613-8エクセレント室山B102"</f>
        <v>四日市市室山町613-8エクセレント室山B102</v>
      </c>
      <c r="D315" s="1" t="str">
        <f>"059-342-1424  "</f>
        <v xml:space="preserve">059-342-1424  </v>
      </c>
    </row>
    <row r="316" spans="1:4" x14ac:dyDescent="0.55000000000000004">
      <c r="A316" s="4">
        <v>2430205027</v>
      </c>
      <c r="B316" s="1" t="s">
        <v>1181</v>
      </c>
      <c r="C316" s="1" t="str">
        <f>"四日市市芝田二丁目2-37"</f>
        <v>四日市市芝田二丁目2-37</v>
      </c>
      <c r="D316" s="1" t="str">
        <f>"059-354-1111  "</f>
        <v xml:space="preserve">059-354-1111  </v>
      </c>
    </row>
    <row r="317" spans="1:4" x14ac:dyDescent="0.55000000000000004">
      <c r="A317" s="4">
        <v>2430205282</v>
      </c>
      <c r="B317" s="1" t="s">
        <v>1182</v>
      </c>
      <c r="C317" s="1" t="str">
        <f>"四日市市安島1-2-18　三誠ビル7F"</f>
        <v>四日市市安島1-2-18　三誠ビル7F</v>
      </c>
      <c r="D317" s="1" t="str">
        <f>"059-355-3313  "</f>
        <v xml:space="preserve">059-355-3313  </v>
      </c>
    </row>
    <row r="318" spans="1:4" x14ac:dyDescent="0.55000000000000004">
      <c r="A318" s="4">
        <v>2430205431</v>
      </c>
      <c r="B318" s="1" t="s">
        <v>1183</v>
      </c>
      <c r="C318" s="1" t="str">
        <f>"四日市市安島二丁目10-9"</f>
        <v>四日市市安島二丁目10-9</v>
      </c>
      <c r="D318" s="1" t="str">
        <f>"059-351-5539  "</f>
        <v xml:space="preserve">059-351-5539  </v>
      </c>
    </row>
    <row r="319" spans="1:4" x14ac:dyDescent="0.55000000000000004">
      <c r="A319" s="4">
        <v>2430205449</v>
      </c>
      <c r="B319" s="1" t="s">
        <v>1184</v>
      </c>
      <c r="C319" s="1" t="str">
        <f>"四日市市楠町南五味塚290-2"</f>
        <v>四日市市楠町南五味塚290-2</v>
      </c>
      <c r="D319" s="1" t="str">
        <f>"059-397-2146  "</f>
        <v xml:space="preserve">059-397-2146  </v>
      </c>
    </row>
    <row r="320" spans="1:4" x14ac:dyDescent="0.55000000000000004">
      <c r="A320" s="4">
        <v>2430205530</v>
      </c>
      <c r="B320" s="1" t="s">
        <v>1185</v>
      </c>
      <c r="C320" s="1" t="str">
        <f>"四日市市西浦1-7-15"</f>
        <v>四日市市西浦1-7-15</v>
      </c>
      <c r="D320" s="1" t="str">
        <f>"059-351-0044  "</f>
        <v xml:space="preserve">059-351-0044  </v>
      </c>
    </row>
    <row r="321" spans="1:4" x14ac:dyDescent="0.55000000000000004">
      <c r="A321" s="4">
        <v>2430205555</v>
      </c>
      <c r="B321" s="1" t="s">
        <v>1186</v>
      </c>
      <c r="C321" s="1" t="s">
        <v>2978</v>
      </c>
      <c r="D321" s="1" t="str">
        <f>"059-361-5100  "</f>
        <v xml:space="preserve">059-361-5100  </v>
      </c>
    </row>
    <row r="322" spans="1:4" x14ac:dyDescent="0.55000000000000004">
      <c r="A322" s="4">
        <v>2430205571</v>
      </c>
      <c r="B322" s="1" t="s">
        <v>1187</v>
      </c>
      <c r="C322" s="1" t="s">
        <v>2979</v>
      </c>
      <c r="D322" s="1" t="str">
        <f>"059-340-5400  "</f>
        <v xml:space="preserve">059-340-5400  </v>
      </c>
    </row>
    <row r="323" spans="1:4" x14ac:dyDescent="0.55000000000000004">
      <c r="A323" s="4">
        <v>2430205613</v>
      </c>
      <c r="B323" s="1" t="s">
        <v>1188</v>
      </c>
      <c r="C323" s="1" t="str">
        <f>"四日市市生桑町菰池458-1"</f>
        <v>四日市市生桑町菰池458-1</v>
      </c>
      <c r="D323" s="1" t="str">
        <f>"059-330-6000  "</f>
        <v xml:space="preserve">059-330-6000  </v>
      </c>
    </row>
    <row r="324" spans="1:4" x14ac:dyDescent="0.55000000000000004">
      <c r="A324" s="4">
        <v>2430205696</v>
      </c>
      <c r="B324" s="1" t="s">
        <v>1189</v>
      </c>
      <c r="C324" s="1" t="str">
        <f>"四日市市富田2-9-20"</f>
        <v>四日市市富田2-9-20</v>
      </c>
      <c r="D324" s="1" t="str">
        <f>"059-365-1344  "</f>
        <v xml:space="preserve">059-365-1344  </v>
      </c>
    </row>
    <row r="325" spans="1:4" x14ac:dyDescent="0.55000000000000004">
      <c r="A325" s="4">
        <v>2430205720</v>
      </c>
      <c r="B325" s="1" t="s">
        <v>1190</v>
      </c>
      <c r="C325" s="1" t="str">
        <f>"四日市市富田3丁目1-1"</f>
        <v>四日市市富田3丁目1-1</v>
      </c>
      <c r="D325" s="1" t="str">
        <f>"059-363-0012  "</f>
        <v xml:space="preserve">059-363-0012  </v>
      </c>
    </row>
    <row r="326" spans="1:4" x14ac:dyDescent="0.55000000000000004">
      <c r="A326" s="4">
        <v>2410300756</v>
      </c>
      <c r="B326" s="1" t="s">
        <v>262</v>
      </c>
      <c r="C326" s="1" t="str">
        <f>"鈴鹿市白子本町11-33"</f>
        <v>鈴鹿市白子本町11-33</v>
      </c>
      <c r="D326" s="1" t="str">
        <f>"059-387-5312  "</f>
        <v xml:space="preserve">059-387-5312  </v>
      </c>
    </row>
    <row r="327" spans="1:4" x14ac:dyDescent="0.55000000000000004">
      <c r="A327" s="4">
        <v>2410300939</v>
      </c>
      <c r="B327" s="1" t="s">
        <v>263</v>
      </c>
      <c r="C327" s="1" t="s">
        <v>2716</v>
      </c>
      <c r="D327" s="1" t="str">
        <f>"059-383-1338  "</f>
        <v xml:space="preserve">059-383-1338  </v>
      </c>
    </row>
    <row r="328" spans="1:4" x14ac:dyDescent="0.55000000000000004">
      <c r="A328" s="4">
        <v>2410301333</v>
      </c>
      <c r="B328" s="1" t="s">
        <v>265</v>
      </c>
      <c r="C328" s="1" t="str">
        <f>"鈴鹿市神戸1-19-4"</f>
        <v>鈴鹿市神戸1-19-4</v>
      </c>
      <c r="D328" s="1" t="str">
        <f>"059-383-1770  "</f>
        <v xml:space="preserve">059-383-1770  </v>
      </c>
    </row>
    <row r="329" spans="1:4" x14ac:dyDescent="0.55000000000000004">
      <c r="A329" s="4">
        <v>2410301408</v>
      </c>
      <c r="B329" s="1" t="s">
        <v>107</v>
      </c>
      <c r="C329" s="1" t="s">
        <v>2717</v>
      </c>
      <c r="D329" s="1" t="str">
        <f>"059-379-3868  "</f>
        <v xml:space="preserve">059-379-3868  </v>
      </c>
    </row>
    <row r="330" spans="1:4" x14ac:dyDescent="0.55000000000000004">
      <c r="A330" s="4">
        <v>2410301432</v>
      </c>
      <c r="B330" s="1" t="s">
        <v>266</v>
      </c>
      <c r="C330" s="1" t="str">
        <f>"鈴鹿市神戸3丁目5-11"</f>
        <v>鈴鹿市神戸3丁目5-11</v>
      </c>
      <c r="D330" s="1" t="str">
        <f>"059-382-6110  "</f>
        <v xml:space="preserve">059-382-6110  </v>
      </c>
    </row>
    <row r="331" spans="1:4" x14ac:dyDescent="0.55000000000000004">
      <c r="A331" s="4">
        <v>2410301598</v>
      </c>
      <c r="B331" s="1" t="s">
        <v>267</v>
      </c>
      <c r="C331" s="1" t="str">
        <f>"鈴鹿市南江島町23-1"</f>
        <v>鈴鹿市南江島町23-1</v>
      </c>
      <c r="D331" s="1" t="str">
        <f>"059-387-0070  "</f>
        <v xml:space="preserve">059-387-0070  </v>
      </c>
    </row>
    <row r="332" spans="1:4" x14ac:dyDescent="0.55000000000000004">
      <c r="A332" s="4">
        <v>2410301648</v>
      </c>
      <c r="B332" s="1" t="s">
        <v>268</v>
      </c>
      <c r="C332" s="1" t="s">
        <v>269</v>
      </c>
      <c r="D332" s="1" t="str">
        <f>"059-382-0548  "</f>
        <v xml:space="preserve">059-382-0548  </v>
      </c>
    </row>
    <row r="333" spans="1:4" x14ac:dyDescent="0.55000000000000004">
      <c r="A333" s="4">
        <v>2410301671</v>
      </c>
      <c r="B333" s="1" t="s">
        <v>270</v>
      </c>
      <c r="C333" s="1" t="str">
        <f>"鈴鹿市岸岡町3385-1"</f>
        <v>鈴鹿市岸岡町3385-1</v>
      </c>
      <c r="D333" s="1" t="str">
        <f>"059-388-1682  "</f>
        <v xml:space="preserve">059-388-1682  </v>
      </c>
    </row>
    <row r="334" spans="1:4" x14ac:dyDescent="0.55000000000000004">
      <c r="A334" s="4">
        <v>2410301689</v>
      </c>
      <c r="B334" s="1" t="s">
        <v>271</v>
      </c>
      <c r="C334" s="1" t="s">
        <v>2718</v>
      </c>
      <c r="D334" s="1" t="str">
        <f>"059-388-4000  "</f>
        <v xml:space="preserve">059-388-4000  </v>
      </c>
    </row>
    <row r="335" spans="1:4" x14ac:dyDescent="0.55000000000000004">
      <c r="A335" s="4">
        <v>2410301713</v>
      </c>
      <c r="B335" s="1" t="s">
        <v>272</v>
      </c>
      <c r="C335" s="1" t="str">
        <f>"鈴鹿市神戸1丁目8-11"</f>
        <v>鈴鹿市神戸1丁目8-11</v>
      </c>
      <c r="D335" s="1" t="str">
        <f>"059-382-0758  "</f>
        <v xml:space="preserve">059-382-0758  </v>
      </c>
    </row>
    <row r="336" spans="1:4" x14ac:dyDescent="0.55000000000000004">
      <c r="A336" s="4">
        <v>2410301820</v>
      </c>
      <c r="B336" s="1" t="s">
        <v>273</v>
      </c>
      <c r="C336" s="1" t="s">
        <v>2719</v>
      </c>
      <c r="D336" s="1" t="str">
        <f>"059-381-0808  "</f>
        <v xml:space="preserve">059-381-0808  </v>
      </c>
    </row>
    <row r="337" spans="1:4" x14ac:dyDescent="0.55000000000000004">
      <c r="A337" s="4">
        <v>2410301887</v>
      </c>
      <c r="B337" s="1" t="s">
        <v>274</v>
      </c>
      <c r="C337" s="1" t="str">
        <f>"鈴鹿市平田東町13-26"</f>
        <v>鈴鹿市平田東町13-26</v>
      </c>
      <c r="D337" s="1" t="str">
        <f>"059-375-2600  "</f>
        <v xml:space="preserve">059-375-2600  </v>
      </c>
    </row>
    <row r="338" spans="1:4" x14ac:dyDescent="0.55000000000000004">
      <c r="A338" s="4">
        <v>2410301895</v>
      </c>
      <c r="B338" s="1" t="s">
        <v>275</v>
      </c>
      <c r="C338" s="1" t="str">
        <f>"鈴鹿市矢橋1丁目4-12"</f>
        <v>鈴鹿市矢橋1丁目4-12</v>
      </c>
      <c r="D338" s="1" t="str">
        <f>"059-381-0333  "</f>
        <v xml:space="preserve">059-381-0333  </v>
      </c>
    </row>
    <row r="339" spans="1:4" x14ac:dyDescent="0.55000000000000004">
      <c r="A339" s="4">
        <v>2410301911</v>
      </c>
      <c r="B339" s="1" t="s">
        <v>276</v>
      </c>
      <c r="C339" s="1" t="str">
        <f>"鈴鹿市柳町1658-1"</f>
        <v>鈴鹿市柳町1658-1</v>
      </c>
      <c r="D339" s="1" t="str">
        <f>"059-381-1199  "</f>
        <v xml:space="preserve">059-381-1199  </v>
      </c>
    </row>
    <row r="340" spans="1:4" x14ac:dyDescent="0.55000000000000004">
      <c r="A340" s="4">
        <v>2410301929</v>
      </c>
      <c r="B340" s="1" t="s">
        <v>277</v>
      </c>
      <c r="C340" s="1" t="str">
        <f>"鈴鹿市東旭が丘1-6-8"</f>
        <v>鈴鹿市東旭が丘1-6-8</v>
      </c>
      <c r="D340" s="1" t="str">
        <f>"059-368-3933  "</f>
        <v xml:space="preserve">059-368-3933  </v>
      </c>
    </row>
    <row r="341" spans="1:4" x14ac:dyDescent="0.55000000000000004">
      <c r="A341" s="4">
        <v>2410301937</v>
      </c>
      <c r="B341" s="1" t="s">
        <v>278</v>
      </c>
      <c r="C341" s="1" t="str">
        <f>"鈴鹿市神戸2-21-15"</f>
        <v>鈴鹿市神戸2-21-15</v>
      </c>
      <c r="D341" s="1" t="str">
        <f>"059-381-1500  "</f>
        <v xml:space="preserve">059-381-1500  </v>
      </c>
    </row>
    <row r="342" spans="1:4" x14ac:dyDescent="0.55000000000000004">
      <c r="A342" s="4">
        <v>2410302000</v>
      </c>
      <c r="B342" s="1" t="s">
        <v>279</v>
      </c>
      <c r="C342" s="1" t="str">
        <f>"鈴鹿市長太旭町3-6-33"</f>
        <v>鈴鹿市長太旭町3-6-33</v>
      </c>
      <c r="D342" s="1" t="str">
        <f>"059-385-0337  "</f>
        <v xml:space="preserve">059-385-0337  </v>
      </c>
    </row>
    <row r="343" spans="1:4" x14ac:dyDescent="0.55000000000000004">
      <c r="A343" s="4">
        <v>2410302018</v>
      </c>
      <c r="B343" s="1" t="s">
        <v>280</v>
      </c>
      <c r="C343" s="1" t="str">
        <f>"鈴鹿市寺家4丁目18-17"</f>
        <v>鈴鹿市寺家4丁目18-17</v>
      </c>
      <c r="D343" s="1" t="str">
        <f>"059-368-0003  "</f>
        <v xml:space="preserve">059-368-0003  </v>
      </c>
    </row>
    <row r="344" spans="1:4" x14ac:dyDescent="0.55000000000000004">
      <c r="A344" s="4">
        <v>2410302075</v>
      </c>
      <c r="B344" s="1" t="s">
        <v>281</v>
      </c>
      <c r="C344" s="1" t="str">
        <f>"鈴鹿市野町東1-11-10"</f>
        <v>鈴鹿市野町東1-11-10</v>
      </c>
      <c r="D344" s="1" t="str">
        <f>"059-380-5006  "</f>
        <v xml:space="preserve">059-380-5006  </v>
      </c>
    </row>
    <row r="345" spans="1:4" x14ac:dyDescent="0.55000000000000004">
      <c r="A345" s="4">
        <v>2410302083</v>
      </c>
      <c r="B345" s="1" t="s">
        <v>282</v>
      </c>
      <c r="C345" s="1" t="str">
        <f>"鈴鹿市飯野寺家町817-3"</f>
        <v>鈴鹿市飯野寺家町817-3</v>
      </c>
      <c r="D345" s="1" t="str">
        <f>"059-369-0001  "</f>
        <v xml:space="preserve">059-369-0001  </v>
      </c>
    </row>
    <row r="346" spans="1:4" x14ac:dyDescent="0.55000000000000004">
      <c r="A346" s="4">
        <v>2410302109</v>
      </c>
      <c r="B346" s="1" t="s">
        <v>283</v>
      </c>
      <c r="C346" s="1" t="str">
        <f>"鈴鹿市柳町1657-1"</f>
        <v>鈴鹿市柳町1657-1</v>
      </c>
      <c r="D346" s="1" t="str">
        <f>"059-381-3535  "</f>
        <v xml:space="preserve">059-381-3535  </v>
      </c>
    </row>
    <row r="347" spans="1:4" x14ac:dyDescent="0.55000000000000004">
      <c r="A347" s="4">
        <v>2410302166</v>
      </c>
      <c r="B347" s="1" t="s">
        <v>284</v>
      </c>
      <c r="C347" s="1" t="str">
        <f>"鈴鹿市安塚町宮塚1651-3"</f>
        <v>鈴鹿市安塚町宮塚1651-3</v>
      </c>
      <c r="D347" s="1" t="str">
        <f>"059-381-0600  "</f>
        <v xml:space="preserve">059-381-0600  </v>
      </c>
    </row>
    <row r="348" spans="1:4" x14ac:dyDescent="0.55000000000000004">
      <c r="A348" s="4">
        <v>2410302174</v>
      </c>
      <c r="B348" s="1" t="s">
        <v>285</v>
      </c>
      <c r="C348" s="1" t="str">
        <f>"鈴鹿市中箕田町1124-6"</f>
        <v>鈴鹿市中箕田町1124-6</v>
      </c>
      <c r="D348" s="1" t="str">
        <f>"059-395-0007  "</f>
        <v xml:space="preserve">059-395-0007  </v>
      </c>
    </row>
    <row r="349" spans="1:4" x14ac:dyDescent="0.55000000000000004">
      <c r="A349" s="4">
        <v>2410302182</v>
      </c>
      <c r="B349" s="1" t="s">
        <v>286</v>
      </c>
      <c r="C349" s="1" t="str">
        <f>"鈴鹿市柳町字森1664-1"</f>
        <v>鈴鹿市柳町字森1664-1</v>
      </c>
      <c r="D349" s="1" t="str">
        <f>"059-369-2323  "</f>
        <v xml:space="preserve">059-369-2323  </v>
      </c>
    </row>
    <row r="350" spans="1:4" x14ac:dyDescent="0.55000000000000004">
      <c r="A350" s="4">
        <v>2410302190</v>
      </c>
      <c r="B350" s="1" t="s">
        <v>287</v>
      </c>
      <c r="C350" s="1" t="str">
        <f>"鈴鹿市住吉2丁目17-7"</f>
        <v>鈴鹿市住吉2丁目17-7</v>
      </c>
      <c r="D350" s="1" t="str">
        <f>"059-375-6111  "</f>
        <v xml:space="preserve">059-375-6111  </v>
      </c>
    </row>
    <row r="351" spans="1:4" x14ac:dyDescent="0.55000000000000004">
      <c r="A351" s="4">
        <v>2410302216</v>
      </c>
      <c r="B351" s="1" t="s">
        <v>288</v>
      </c>
      <c r="C351" s="1" t="str">
        <f>"鈴鹿市庄野東3丁目1-30"</f>
        <v>鈴鹿市庄野東3丁目1-30</v>
      </c>
      <c r="D351" s="1" t="str">
        <f>"059-375-2266  "</f>
        <v xml:space="preserve">059-375-2266  </v>
      </c>
    </row>
    <row r="352" spans="1:4" x14ac:dyDescent="0.55000000000000004">
      <c r="A352" s="4">
        <v>2410302240</v>
      </c>
      <c r="B352" s="1" t="s">
        <v>289</v>
      </c>
      <c r="C352" s="1" t="str">
        <f>"鈴鹿市御薗町5328-1"</f>
        <v>鈴鹿市御薗町5328-1</v>
      </c>
      <c r="D352" s="1" t="str">
        <f>"059-372-8778  "</f>
        <v xml:space="preserve">059-372-8778  </v>
      </c>
    </row>
    <row r="353" spans="1:4" x14ac:dyDescent="0.55000000000000004">
      <c r="A353" s="4">
        <v>2410302265</v>
      </c>
      <c r="B353" s="1" t="s">
        <v>290</v>
      </c>
      <c r="C353" s="1" t="s">
        <v>2720</v>
      </c>
      <c r="D353" s="1" t="str">
        <f>"059-371-6990  "</f>
        <v xml:space="preserve">059-371-6990  </v>
      </c>
    </row>
    <row r="354" spans="1:4" x14ac:dyDescent="0.55000000000000004">
      <c r="A354" s="4">
        <v>2410302273</v>
      </c>
      <c r="B354" s="1" t="s">
        <v>291</v>
      </c>
      <c r="C354" s="1" t="str">
        <f>"鈴鹿市東旭が丘二丁目17-8"</f>
        <v>鈴鹿市東旭が丘二丁目17-8</v>
      </c>
      <c r="D354" s="1" t="str">
        <f>"059-380-0777  "</f>
        <v xml:space="preserve">059-380-0777  </v>
      </c>
    </row>
    <row r="355" spans="1:4" x14ac:dyDescent="0.55000000000000004">
      <c r="A355" s="4">
        <v>2410302299</v>
      </c>
      <c r="B355" s="1" t="s">
        <v>292</v>
      </c>
      <c r="C355" s="1" t="s">
        <v>2721</v>
      </c>
      <c r="D355" s="1" t="str">
        <f>"059-370-5234  "</f>
        <v xml:space="preserve">059-370-5234  </v>
      </c>
    </row>
    <row r="356" spans="1:4" x14ac:dyDescent="0.55000000000000004">
      <c r="A356" s="4">
        <v>2410302315</v>
      </c>
      <c r="B356" s="1" t="s">
        <v>293</v>
      </c>
      <c r="C356" s="1" t="str">
        <f>"鈴鹿市北江島町15-21"</f>
        <v>鈴鹿市北江島町15-21</v>
      </c>
      <c r="D356" s="1" t="str">
        <f>"059-387-0851  "</f>
        <v xml:space="preserve">059-387-0851  </v>
      </c>
    </row>
    <row r="357" spans="1:4" x14ac:dyDescent="0.55000000000000004">
      <c r="A357" s="4">
        <v>2410302323</v>
      </c>
      <c r="B357" s="1" t="s">
        <v>294</v>
      </c>
      <c r="C357" s="1" t="str">
        <f>"鈴鹿市野村町165-1"</f>
        <v>鈴鹿市野村町165-1</v>
      </c>
      <c r="D357" s="1" t="str">
        <f>"059-380-1600  "</f>
        <v xml:space="preserve">059-380-1600  </v>
      </c>
    </row>
    <row r="358" spans="1:4" x14ac:dyDescent="0.55000000000000004">
      <c r="A358" s="4">
        <v>2410302331</v>
      </c>
      <c r="B358" s="1" t="s">
        <v>295</v>
      </c>
      <c r="C358" s="1" t="str">
        <f>"鈴鹿市庄野羽山4-1-2"</f>
        <v>鈴鹿市庄野羽山4-1-2</v>
      </c>
      <c r="D358" s="1" t="str">
        <f>"059-370-1800  "</f>
        <v xml:space="preserve">059-370-1800  </v>
      </c>
    </row>
    <row r="359" spans="1:4" x14ac:dyDescent="0.55000000000000004">
      <c r="A359" s="4">
        <v>2410302349</v>
      </c>
      <c r="B359" s="1" t="s">
        <v>296</v>
      </c>
      <c r="C359" s="1" t="str">
        <f>"鈴鹿市東磯山三丁目19-25"</f>
        <v>鈴鹿市東磯山三丁目19-25</v>
      </c>
      <c r="D359" s="1" t="str">
        <f>"059-386-1117  "</f>
        <v xml:space="preserve">059-386-1117  </v>
      </c>
    </row>
    <row r="360" spans="1:4" x14ac:dyDescent="0.55000000000000004">
      <c r="A360" s="4">
        <v>2410302364</v>
      </c>
      <c r="B360" s="1" t="s">
        <v>297</v>
      </c>
      <c r="C360" s="1" t="str">
        <f>"鈴鹿市野村町200-2"</f>
        <v>鈴鹿市野村町200-2</v>
      </c>
      <c r="D360" s="1" t="str">
        <f>"059-380-4146  "</f>
        <v xml:space="preserve">059-380-4146  </v>
      </c>
    </row>
    <row r="361" spans="1:4" x14ac:dyDescent="0.55000000000000004">
      <c r="A361" s="4">
        <v>2410302398</v>
      </c>
      <c r="B361" s="1" t="s">
        <v>298</v>
      </c>
      <c r="C361" s="1" t="s">
        <v>299</v>
      </c>
      <c r="D361" s="1" t="str">
        <f>"059-380-2211  "</f>
        <v xml:space="preserve">059-380-2211  </v>
      </c>
    </row>
    <row r="362" spans="1:4" x14ac:dyDescent="0.55000000000000004">
      <c r="A362" s="4">
        <v>2410302406</v>
      </c>
      <c r="B362" s="1" t="s">
        <v>300</v>
      </c>
      <c r="C362" s="1" t="str">
        <f>"鈴鹿市白子3-14-5"</f>
        <v>鈴鹿市白子3-14-5</v>
      </c>
      <c r="D362" s="1" t="str">
        <f>"059-386-6211  "</f>
        <v xml:space="preserve">059-386-6211  </v>
      </c>
    </row>
    <row r="363" spans="1:4" x14ac:dyDescent="0.55000000000000004">
      <c r="A363" s="4">
        <v>2410302414</v>
      </c>
      <c r="B363" s="1" t="s">
        <v>301</v>
      </c>
      <c r="C363" s="1" t="str">
        <f>"鈴鹿市三日市三丁目3-1"</f>
        <v>鈴鹿市三日市三丁目3-1</v>
      </c>
      <c r="D363" s="1" t="str">
        <f>"059-373-7688  "</f>
        <v xml:space="preserve">059-373-7688  </v>
      </c>
    </row>
    <row r="364" spans="1:4" x14ac:dyDescent="0.55000000000000004">
      <c r="A364" s="4">
        <v>2410302430</v>
      </c>
      <c r="B364" s="1" t="s">
        <v>302</v>
      </c>
      <c r="C364" s="1" t="s">
        <v>2722</v>
      </c>
      <c r="D364" s="1" t="str">
        <f>"059-384-5111  "</f>
        <v xml:space="preserve">059-384-5111  </v>
      </c>
    </row>
    <row r="365" spans="1:4" x14ac:dyDescent="0.55000000000000004">
      <c r="A365" s="4">
        <v>2410302455</v>
      </c>
      <c r="B365" s="1" t="s">
        <v>303</v>
      </c>
      <c r="C365" s="1" t="str">
        <f>"鈴鹿市野村町字道喜163-1"</f>
        <v>鈴鹿市野村町字道喜163-1</v>
      </c>
      <c r="D365" s="1" t="str">
        <f>"059-380-1300  "</f>
        <v xml:space="preserve">059-380-1300  </v>
      </c>
    </row>
    <row r="366" spans="1:4" x14ac:dyDescent="0.55000000000000004">
      <c r="A366" s="4">
        <v>2410302463</v>
      </c>
      <c r="B366" s="1" t="s">
        <v>304</v>
      </c>
      <c r="C366" s="1" t="str">
        <f>"鈴鹿市三日市町1962-1"</f>
        <v>鈴鹿市三日市町1962-1</v>
      </c>
      <c r="D366" s="1" t="str">
        <f>"059-382-2111  "</f>
        <v xml:space="preserve">059-382-2111  </v>
      </c>
    </row>
    <row r="367" spans="1:4" x14ac:dyDescent="0.55000000000000004">
      <c r="A367" s="4">
        <v>2410302489</v>
      </c>
      <c r="B367" s="1" t="s">
        <v>305</v>
      </c>
      <c r="C367" s="1" t="s">
        <v>306</v>
      </c>
      <c r="D367" s="1" t="str">
        <f>"059-382-7272  "</f>
        <v xml:space="preserve">059-382-7272  </v>
      </c>
    </row>
    <row r="368" spans="1:4" x14ac:dyDescent="0.55000000000000004">
      <c r="A368" s="4">
        <v>2410302505</v>
      </c>
      <c r="B368" s="1" t="s">
        <v>307</v>
      </c>
      <c r="C368" s="1" t="str">
        <f>"鈴鹿市柳町1659-1"</f>
        <v>鈴鹿市柳町1659-1</v>
      </c>
      <c r="D368" s="1" t="str">
        <f>"059-381-3387  "</f>
        <v xml:space="preserve">059-381-3387  </v>
      </c>
    </row>
    <row r="369" spans="1:4" x14ac:dyDescent="0.55000000000000004">
      <c r="A369" s="4">
        <v>2410302554</v>
      </c>
      <c r="B369" s="1" t="s">
        <v>308</v>
      </c>
      <c r="C369" s="1" t="s">
        <v>309</v>
      </c>
      <c r="D369" s="1" t="str">
        <f>"059-373-6672  "</f>
        <v xml:space="preserve">059-373-6672  </v>
      </c>
    </row>
    <row r="370" spans="1:4" x14ac:dyDescent="0.55000000000000004">
      <c r="A370" s="4">
        <v>2410302562</v>
      </c>
      <c r="B370" s="1" t="s">
        <v>310</v>
      </c>
      <c r="C370" s="1" t="str">
        <f>"鈴鹿市中瀬古町203-7"</f>
        <v>鈴鹿市中瀬古町203-7</v>
      </c>
      <c r="D370" s="1" t="str">
        <f>"059-372-0212  "</f>
        <v xml:space="preserve">059-372-0212  </v>
      </c>
    </row>
    <row r="371" spans="1:4" x14ac:dyDescent="0.55000000000000004">
      <c r="A371" s="4">
        <v>2410302570</v>
      </c>
      <c r="B371" s="1" t="s">
        <v>311</v>
      </c>
      <c r="C371" s="1" t="str">
        <f>"鈴鹿市南玉垣町2852-3"</f>
        <v>鈴鹿市南玉垣町2852-3</v>
      </c>
      <c r="D371" s="1" t="str">
        <f>"059-373-6100  "</f>
        <v xml:space="preserve">059-373-6100  </v>
      </c>
    </row>
    <row r="372" spans="1:4" x14ac:dyDescent="0.55000000000000004">
      <c r="A372" s="4">
        <v>2410302612</v>
      </c>
      <c r="B372" s="1" t="s">
        <v>312</v>
      </c>
      <c r="C372" s="1" t="s">
        <v>313</v>
      </c>
      <c r="D372" s="1" t="str">
        <f>"059-388-0606  "</f>
        <v xml:space="preserve">059-388-0606  </v>
      </c>
    </row>
    <row r="373" spans="1:4" x14ac:dyDescent="0.55000000000000004">
      <c r="A373" s="4">
        <v>2410302620</v>
      </c>
      <c r="B373" s="1" t="s">
        <v>314</v>
      </c>
      <c r="C373" s="1" t="str">
        <f>"鈴鹿市加佐登3丁目10-37"</f>
        <v>鈴鹿市加佐登3丁目10-37</v>
      </c>
      <c r="D373" s="1" t="str">
        <f>"059-392-7196  "</f>
        <v xml:space="preserve">059-392-7196  </v>
      </c>
    </row>
    <row r="374" spans="1:4" x14ac:dyDescent="0.55000000000000004">
      <c r="A374" s="4">
        <v>2410302638</v>
      </c>
      <c r="B374" s="1" t="s">
        <v>315</v>
      </c>
      <c r="C374" s="1" t="str">
        <f>"鈴鹿市南江島町4-15"</f>
        <v>鈴鹿市南江島町4-15</v>
      </c>
      <c r="D374" s="1" t="str">
        <f>"059-386-1611  "</f>
        <v xml:space="preserve">059-386-1611  </v>
      </c>
    </row>
    <row r="375" spans="1:4" x14ac:dyDescent="0.55000000000000004">
      <c r="A375" s="4">
        <v>2410302646</v>
      </c>
      <c r="B375" s="1" t="s">
        <v>316</v>
      </c>
      <c r="C375" s="1" t="str">
        <f>"鈴鹿市北玉垣町823-3"</f>
        <v>鈴鹿市北玉垣町823-3</v>
      </c>
      <c r="D375" s="1" t="str">
        <f>"059-389-6161  "</f>
        <v xml:space="preserve">059-389-6161  </v>
      </c>
    </row>
    <row r="376" spans="1:4" x14ac:dyDescent="0.55000000000000004">
      <c r="A376" s="4">
        <v>2410305052</v>
      </c>
      <c r="B376" s="1" t="s">
        <v>317</v>
      </c>
      <c r="C376" s="1" t="str">
        <f>"鈴鹿市安塚町字山之花1275-53"</f>
        <v>鈴鹿市安塚町字山之花1275-53</v>
      </c>
      <c r="D376" s="1" t="str">
        <f>"059-382-1311  "</f>
        <v xml:space="preserve">059-382-1311  </v>
      </c>
    </row>
    <row r="377" spans="1:4" x14ac:dyDescent="0.55000000000000004">
      <c r="A377" s="4">
        <v>2410305060</v>
      </c>
      <c r="B377" s="1" t="s">
        <v>318</v>
      </c>
      <c r="C377" s="1" t="str">
        <f>"鈴鹿市神戸三丁目12-10"</f>
        <v>鈴鹿市神戸三丁目12-10</v>
      </c>
      <c r="D377" s="1" t="str">
        <f>"059-382-0330  "</f>
        <v xml:space="preserve">059-382-0330  </v>
      </c>
    </row>
    <row r="378" spans="1:4" x14ac:dyDescent="0.55000000000000004">
      <c r="A378" s="4">
        <v>2410305128</v>
      </c>
      <c r="B378" s="1" t="s">
        <v>319</v>
      </c>
      <c r="C378" s="1" t="str">
        <f>"鈴鹿市岸岡町589-2"</f>
        <v>鈴鹿市岸岡町589-2</v>
      </c>
      <c r="D378" s="1" t="str">
        <f>"059-382-1401  "</f>
        <v xml:space="preserve">059-382-1401  </v>
      </c>
    </row>
    <row r="379" spans="1:4" x14ac:dyDescent="0.55000000000000004">
      <c r="A379" s="4">
        <v>2410305144</v>
      </c>
      <c r="B379" s="1" t="s">
        <v>320</v>
      </c>
      <c r="C379" s="1" t="s">
        <v>2723</v>
      </c>
      <c r="D379" s="1" t="str">
        <f>"059-382-1385  "</f>
        <v xml:space="preserve">059-382-1385  </v>
      </c>
    </row>
    <row r="380" spans="1:4" x14ac:dyDescent="0.55000000000000004">
      <c r="A380" s="4">
        <v>2410305177</v>
      </c>
      <c r="B380" s="1" t="s">
        <v>321</v>
      </c>
      <c r="C380" s="1" t="s">
        <v>322</v>
      </c>
      <c r="D380" s="1" t="str">
        <f>"059-375-1212  "</f>
        <v xml:space="preserve">059-375-1212  </v>
      </c>
    </row>
    <row r="381" spans="1:4" x14ac:dyDescent="0.55000000000000004">
      <c r="A381" s="4">
        <v>2410305201</v>
      </c>
      <c r="B381" s="1" t="s">
        <v>323</v>
      </c>
      <c r="C381" s="1" t="s">
        <v>2724</v>
      </c>
      <c r="D381" s="1" t="str">
        <f>"059-378-1417  "</f>
        <v xml:space="preserve">059-378-1417  </v>
      </c>
    </row>
    <row r="382" spans="1:4" x14ac:dyDescent="0.55000000000000004">
      <c r="A382" s="4">
        <v>2410305227</v>
      </c>
      <c r="B382" s="1" t="s">
        <v>324</v>
      </c>
      <c r="C382" s="1" t="s">
        <v>2725</v>
      </c>
      <c r="D382" s="1" t="str">
        <f>"059-386-2012  "</f>
        <v xml:space="preserve">059-386-2012  </v>
      </c>
    </row>
    <row r="383" spans="1:4" x14ac:dyDescent="0.55000000000000004">
      <c r="A383" s="4">
        <v>2410305235</v>
      </c>
      <c r="B383" s="1" t="s">
        <v>325</v>
      </c>
      <c r="C383" s="1" t="str">
        <f>"鈴鹿市白子駅前12-25"</f>
        <v>鈴鹿市白子駅前12-25</v>
      </c>
      <c r="D383" s="1" t="str">
        <f>"059-386-7768  "</f>
        <v xml:space="preserve">059-386-7768  </v>
      </c>
    </row>
    <row r="384" spans="1:4" x14ac:dyDescent="0.55000000000000004">
      <c r="A384" s="4">
        <v>2410305243</v>
      </c>
      <c r="B384" s="1" t="s">
        <v>326</v>
      </c>
      <c r="C384" s="1" t="str">
        <f>"鈴鹿市加佐登2-20-1"</f>
        <v>鈴鹿市加佐登2-20-1</v>
      </c>
      <c r="D384" s="1" t="str">
        <f>"059-379-3900  "</f>
        <v xml:space="preserve">059-379-3900  </v>
      </c>
    </row>
    <row r="385" spans="1:4" x14ac:dyDescent="0.55000000000000004">
      <c r="A385" s="4">
        <v>2410305318</v>
      </c>
      <c r="B385" s="1" t="s">
        <v>327</v>
      </c>
      <c r="C385" s="1" t="str">
        <f>"鈴鹿市神戸1-11-2　１F"</f>
        <v>鈴鹿市神戸1-11-2　１F</v>
      </c>
      <c r="D385" s="1" t="str">
        <f>"059-383-0011  "</f>
        <v xml:space="preserve">059-383-0011  </v>
      </c>
    </row>
    <row r="386" spans="1:4" x14ac:dyDescent="0.55000000000000004">
      <c r="A386" s="4">
        <v>2410305326</v>
      </c>
      <c r="B386" s="1" t="s">
        <v>328</v>
      </c>
      <c r="C386" s="1" t="str">
        <f>"鈴鹿市西条4-48"</f>
        <v>鈴鹿市西条4-48</v>
      </c>
      <c r="D386" s="1" t="str">
        <f>"059-383-7666  "</f>
        <v xml:space="preserve">059-383-7666  </v>
      </c>
    </row>
    <row r="387" spans="1:4" x14ac:dyDescent="0.55000000000000004">
      <c r="A387" s="4">
        <v>2410305334</v>
      </c>
      <c r="B387" s="1" t="s">
        <v>329</v>
      </c>
      <c r="C387" s="1" t="s">
        <v>2726</v>
      </c>
      <c r="D387" s="1" t="str">
        <f>"059-383-3933  "</f>
        <v xml:space="preserve">059-383-3933  </v>
      </c>
    </row>
    <row r="388" spans="1:4" x14ac:dyDescent="0.55000000000000004">
      <c r="A388" s="4">
        <v>2410305359</v>
      </c>
      <c r="B388" s="1" t="s">
        <v>330</v>
      </c>
      <c r="C388" s="1" t="str">
        <f>"鈴鹿市白子1-1-7"</f>
        <v>鈴鹿市白子1-1-7</v>
      </c>
      <c r="D388" s="1" t="str">
        <f>"059-386-0362  "</f>
        <v xml:space="preserve">059-386-0362  </v>
      </c>
    </row>
    <row r="389" spans="1:4" x14ac:dyDescent="0.55000000000000004">
      <c r="A389" s="4">
        <v>2410305367</v>
      </c>
      <c r="B389" s="1" t="s">
        <v>331</v>
      </c>
      <c r="C389" s="1" t="str">
        <f>"鈴鹿市白子四丁目13-19"</f>
        <v>鈴鹿市白子四丁目13-19</v>
      </c>
      <c r="D389" s="1" t="str">
        <f>"059-387-6789  "</f>
        <v xml:space="preserve">059-387-6789  </v>
      </c>
    </row>
    <row r="390" spans="1:4" x14ac:dyDescent="0.55000000000000004">
      <c r="A390" s="4">
        <v>2410305391</v>
      </c>
      <c r="B390" s="1" t="s">
        <v>332</v>
      </c>
      <c r="C390" s="1" t="s">
        <v>2727</v>
      </c>
      <c r="D390" s="1" t="str">
        <f>"059-378-3113  "</f>
        <v xml:space="preserve">059-378-3113  </v>
      </c>
    </row>
    <row r="391" spans="1:4" x14ac:dyDescent="0.55000000000000004">
      <c r="A391" s="4">
        <v>2410305417</v>
      </c>
      <c r="B391" s="1" t="s">
        <v>333</v>
      </c>
      <c r="C391" s="1" t="str">
        <f>"鈴鹿市岸岡町16-7"</f>
        <v>鈴鹿市岸岡町16-7</v>
      </c>
      <c r="D391" s="1" t="str">
        <f>"059-387-2090  "</f>
        <v xml:space="preserve">059-387-2090  </v>
      </c>
    </row>
    <row r="392" spans="1:4" x14ac:dyDescent="0.55000000000000004">
      <c r="A392" s="4">
        <v>2410305425</v>
      </c>
      <c r="B392" s="1" t="s">
        <v>334</v>
      </c>
      <c r="C392" s="1" t="str">
        <f>"鈴鹿市白子本町9-28"</f>
        <v>鈴鹿市白子本町9-28</v>
      </c>
      <c r="D392" s="1" t="str">
        <f>"059-386-0007  "</f>
        <v xml:space="preserve">059-386-0007  </v>
      </c>
    </row>
    <row r="393" spans="1:4" x14ac:dyDescent="0.55000000000000004">
      <c r="A393" s="4">
        <v>2410305433</v>
      </c>
      <c r="B393" s="1" t="s">
        <v>335</v>
      </c>
      <c r="C393" s="1" t="str">
        <f>"鈴鹿市西條町910-1"</f>
        <v>鈴鹿市西條町910-1</v>
      </c>
      <c r="D393" s="1" t="str">
        <f>"059-382-2633  "</f>
        <v xml:space="preserve">059-382-2633  </v>
      </c>
    </row>
    <row r="394" spans="1:4" x14ac:dyDescent="0.55000000000000004">
      <c r="A394" s="4">
        <v>2410305441</v>
      </c>
      <c r="B394" s="1" t="s">
        <v>336</v>
      </c>
      <c r="C394" s="1" t="s">
        <v>337</v>
      </c>
      <c r="D394" s="1" t="str">
        <f>"059-382-1504  "</f>
        <v xml:space="preserve">059-382-1504  </v>
      </c>
    </row>
    <row r="395" spans="1:4" x14ac:dyDescent="0.55000000000000004">
      <c r="A395" s="4">
        <v>2410305466</v>
      </c>
      <c r="B395" s="1" t="s">
        <v>338</v>
      </c>
      <c r="C395" s="1" t="str">
        <f>"鈴鹿市中江島町14-18"</f>
        <v>鈴鹿市中江島町14-18</v>
      </c>
      <c r="D395" s="1" t="str">
        <f>"059-388-3115  "</f>
        <v xml:space="preserve">059-388-3115  </v>
      </c>
    </row>
    <row r="396" spans="1:4" x14ac:dyDescent="0.55000000000000004">
      <c r="A396" s="4">
        <v>2410305482</v>
      </c>
      <c r="B396" s="1" t="s">
        <v>339</v>
      </c>
      <c r="C396" s="1" t="str">
        <f>"鈴鹿市東旭が丘3-2-10"</f>
        <v>鈴鹿市東旭が丘3-2-10</v>
      </c>
      <c r="D396" s="1" t="str">
        <f>"059-386-1222  "</f>
        <v xml:space="preserve">059-386-1222  </v>
      </c>
    </row>
    <row r="397" spans="1:4" x14ac:dyDescent="0.55000000000000004">
      <c r="A397" s="4">
        <v>2410305508</v>
      </c>
      <c r="B397" s="1" t="s">
        <v>340</v>
      </c>
      <c r="C397" s="1" t="s">
        <v>2728</v>
      </c>
      <c r="D397" s="1" t="str">
        <f>"059-383-1661  "</f>
        <v xml:space="preserve">059-383-1661  </v>
      </c>
    </row>
    <row r="398" spans="1:4" x14ac:dyDescent="0.55000000000000004">
      <c r="A398" s="4">
        <v>2410305532</v>
      </c>
      <c r="B398" s="1" t="s">
        <v>341</v>
      </c>
      <c r="C398" s="1" t="str">
        <f>"鈴鹿市長太栄町3丁目16-23"</f>
        <v>鈴鹿市長太栄町3丁目16-23</v>
      </c>
      <c r="D398" s="1" t="str">
        <f>"059-385-5313  "</f>
        <v xml:space="preserve">059-385-5313  </v>
      </c>
    </row>
    <row r="399" spans="1:4" x14ac:dyDescent="0.55000000000000004">
      <c r="A399" s="4">
        <v>2410305540</v>
      </c>
      <c r="B399" s="1" t="s">
        <v>342</v>
      </c>
      <c r="C399" s="1" t="str">
        <f>"鈴鹿市南江島町10-27"</f>
        <v>鈴鹿市南江島町10-27</v>
      </c>
      <c r="D399" s="1" t="str">
        <f>"059-386-7886  "</f>
        <v xml:space="preserve">059-386-7886  </v>
      </c>
    </row>
    <row r="400" spans="1:4" x14ac:dyDescent="0.55000000000000004">
      <c r="A400" s="4">
        <v>2410305557</v>
      </c>
      <c r="B400" s="1" t="s">
        <v>343</v>
      </c>
      <c r="C400" s="1" t="s">
        <v>2729</v>
      </c>
      <c r="D400" s="1" t="str">
        <f>"059-375-1155  "</f>
        <v xml:space="preserve">059-375-1155  </v>
      </c>
    </row>
    <row r="401" spans="1:4" x14ac:dyDescent="0.55000000000000004">
      <c r="A401" s="4">
        <v>2410305565</v>
      </c>
      <c r="B401" s="1" t="s">
        <v>344</v>
      </c>
      <c r="C401" s="1" t="str">
        <f>"鈴鹿市秋永町652-1"</f>
        <v>鈴鹿市秋永町652-1</v>
      </c>
      <c r="D401" s="1" t="str">
        <f>"059-380-1800  "</f>
        <v xml:space="preserve">059-380-1800  </v>
      </c>
    </row>
    <row r="402" spans="1:4" x14ac:dyDescent="0.55000000000000004">
      <c r="A402" s="4">
        <v>2410305573</v>
      </c>
      <c r="B402" s="1" t="s">
        <v>345</v>
      </c>
      <c r="C402" s="1" t="s">
        <v>2730</v>
      </c>
      <c r="D402" s="1" t="str">
        <f>"059-388-8988  "</f>
        <v xml:space="preserve">059-388-8988  </v>
      </c>
    </row>
    <row r="403" spans="1:4" x14ac:dyDescent="0.55000000000000004">
      <c r="A403" s="4">
        <v>2410305581</v>
      </c>
      <c r="B403" s="1" t="s">
        <v>346</v>
      </c>
      <c r="C403" s="1" t="str">
        <f>"鈴鹿市石薬師町2089-10"</f>
        <v>鈴鹿市石薬師町2089-10</v>
      </c>
      <c r="D403" s="1" t="str">
        <f>"059-374-5500  "</f>
        <v xml:space="preserve">059-374-5500  </v>
      </c>
    </row>
    <row r="404" spans="1:4" x14ac:dyDescent="0.55000000000000004">
      <c r="A404" s="4">
        <v>2410305599</v>
      </c>
      <c r="B404" s="1" t="s">
        <v>347</v>
      </c>
      <c r="C404" s="1" t="str">
        <f>"鈴鹿市南江島町5-8"</f>
        <v>鈴鹿市南江島町5-8</v>
      </c>
      <c r="D404" s="1" t="str">
        <f>"059-388-8778  "</f>
        <v xml:space="preserve">059-388-8778  </v>
      </c>
    </row>
    <row r="405" spans="1:4" x14ac:dyDescent="0.55000000000000004">
      <c r="A405" s="4">
        <v>2410305607</v>
      </c>
      <c r="B405" s="1" t="s">
        <v>348</v>
      </c>
      <c r="C405" s="1" t="str">
        <f>"鈴鹿市国府町1520-6"</f>
        <v>鈴鹿市国府町1520-6</v>
      </c>
      <c r="D405" s="1" t="str">
        <f>"059-378-7008  "</f>
        <v xml:space="preserve">059-378-7008  </v>
      </c>
    </row>
    <row r="406" spans="1:4" x14ac:dyDescent="0.55000000000000004">
      <c r="A406" s="4">
        <v>2410305615</v>
      </c>
      <c r="B406" s="1" t="s">
        <v>349</v>
      </c>
      <c r="C406" s="1" t="s">
        <v>2731</v>
      </c>
      <c r="D406" s="1" t="str">
        <f>"059-380-2600  "</f>
        <v xml:space="preserve">059-380-2600  </v>
      </c>
    </row>
    <row r="407" spans="1:4" x14ac:dyDescent="0.55000000000000004">
      <c r="A407" s="4">
        <v>2410305623</v>
      </c>
      <c r="B407" s="1" t="s">
        <v>350</v>
      </c>
      <c r="C407" s="1" t="str">
        <f>"鈴鹿市東旭が丘一丁目6-21"</f>
        <v>鈴鹿市東旭が丘一丁目6-21</v>
      </c>
      <c r="D407" s="1" t="str">
        <f>"059-368-0055  "</f>
        <v xml:space="preserve">059-368-0055  </v>
      </c>
    </row>
    <row r="408" spans="1:4" x14ac:dyDescent="0.55000000000000004">
      <c r="A408" s="4">
        <v>2410305631</v>
      </c>
      <c r="B408" s="1" t="s">
        <v>351</v>
      </c>
      <c r="C408" s="1" t="str">
        <f>"鈴鹿市白子4丁目16-2"</f>
        <v>鈴鹿市白子4丁目16-2</v>
      </c>
      <c r="D408" s="1" t="str">
        <f>"059-386-6161  "</f>
        <v xml:space="preserve">059-386-6161  </v>
      </c>
    </row>
    <row r="409" spans="1:4" x14ac:dyDescent="0.55000000000000004">
      <c r="A409" s="4">
        <v>2410305656</v>
      </c>
      <c r="B409" s="1" t="s">
        <v>352</v>
      </c>
      <c r="C409" s="1" t="s">
        <v>2732</v>
      </c>
      <c r="D409" s="1" t="str">
        <f>"059-386-0507  "</f>
        <v xml:space="preserve">059-386-0507  </v>
      </c>
    </row>
    <row r="410" spans="1:4" x14ac:dyDescent="0.55000000000000004">
      <c r="A410" s="4">
        <v>2410305664</v>
      </c>
      <c r="B410" s="1" t="s">
        <v>353</v>
      </c>
      <c r="C410" s="1" t="s">
        <v>2733</v>
      </c>
      <c r="D410" s="1" t="str">
        <f>"059-371-6000  "</f>
        <v xml:space="preserve">059-371-6000  </v>
      </c>
    </row>
    <row r="411" spans="1:4" x14ac:dyDescent="0.55000000000000004">
      <c r="A411" s="4">
        <v>2410305698</v>
      </c>
      <c r="B411" s="1" t="s">
        <v>354</v>
      </c>
      <c r="C411" s="1" t="str">
        <f>"鈴鹿市神戸三丁目17-30"</f>
        <v>鈴鹿市神戸三丁目17-30</v>
      </c>
      <c r="D411" s="1" t="str">
        <f>"059-384-3910  "</f>
        <v xml:space="preserve">059-384-3910  </v>
      </c>
    </row>
    <row r="412" spans="1:4" x14ac:dyDescent="0.55000000000000004">
      <c r="A412" s="4">
        <v>2410305706</v>
      </c>
      <c r="B412" s="1" t="s">
        <v>355</v>
      </c>
      <c r="C412" s="1" t="str">
        <f>"鈴鹿市岡田3丁目20-28"</f>
        <v>鈴鹿市岡田3丁目20-28</v>
      </c>
      <c r="D412" s="1" t="str">
        <f>"059-370-5119  "</f>
        <v xml:space="preserve">059-370-5119  </v>
      </c>
    </row>
    <row r="413" spans="1:4" x14ac:dyDescent="0.55000000000000004">
      <c r="A413" s="4">
        <v>2410305722</v>
      </c>
      <c r="B413" s="1" t="s">
        <v>356</v>
      </c>
      <c r="C413" s="1" t="str">
        <f>"鈴鹿市桜島町4丁目3-5"</f>
        <v>鈴鹿市桜島町4丁目3-5</v>
      </c>
      <c r="D413" s="1" t="str">
        <f>"059-382-5007  "</f>
        <v xml:space="preserve">059-382-5007  </v>
      </c>
    </row>
    <row r="414" spans="1:4" x14ac:dyDescent="0.55000000000000004">
      <c r="A414" s="4">
        <v>2410305730</v>
      </c>
      <c r="B414" s="1" t="s">
        <v>357</v>
      </c>
      <c r="C414" s="1" t="s">
        <v>2734</v>
      </c>
      <c r="D414" s="1" t="str">
        <f>"059-378-2311  "</f>
        <v xml:space="preserve">059-378-2311  </v>
      </c>
    </row>
    <row r="415" spans="1:4" x14ac:dyDescent="0.55000000000000004">
      <c r="A415" s="4">
        <v>2410305755</v>
      </c>
      <c r="B415" s="1" t="s">
        <v>358</v>
      </c>
      <c r="C415" s="1" t="str">
        <f>"鈴鹿市伊船町1010-1"</f>
        <v>鈴鹿市伊船町1010-1</v>
      </c>
      <c r="D415" s="1" t="str">
        <f>"059-371-6400  "</f>
        <v xml:space="preserve">059-371-6400  </v>
      </c>
    </row>
    <row r="416" spans="1:4" x14ac:dyDescent="0.55000000000000004">
      <c r="A416" s="4">
        <v>2410305763</v>
      </c>
      <c r="B416" s="1" t="s">
        <v>359</v>
      </c>
      <c r="C416" s="1" t="s">
        <v>2735</v>
      </c>
      <c r="D416" s="1" t="str">
        <f>"059-381-0880  "</f>
        <v xml:space="preserve">059-381-0880  </v>
      </c>
    </row>
    <row r="417" spans="1:4" x14ac:dyDescent="0.55000000000000004">
      <c r="A417" s="4">
        <v>2410305771</v>
      </c>
      <c r="B417" s="1" t="s">
        <v>360</v>
      </c>
      <c r="C417" s="1" t="str">
        <f>"鈴鹿市道伯町2065-5"</f>
        <v>鈴鹿市道伯町2065-5</v>
      </c>
      <c r="D417" s="1" t="str">
        <f>"059-375-0225  "</f>
        <v xml:space="preserve">059-375-0225  </v>
      </c>
    </row>
    <row r="418" spans="1:4" x14ac:dyDescent="0.55000000000000004">
      <c r="A418" s="4">
        <v>2410305789</v>
      </c>
      <c r="B418" s="1" t="s">
        <v>361</v>
      </c>
      <c r="C418" s="1" t="str">
        <f>"鈴鹿市神戸8丁目8-20"</f>
        <v>鈴鹿市神戸8丁目8-20</v>
      </c>
      <c r="D418" s="1" t="str">
        <f>"059-382-6611  "</f>
        <v xml:space="preserve">059-382-6611  </v>
      </c>
    </row>
    <row r="419" spans="1:4" x14ac:dyDescent="0.55000000000000004">
      <c r="A419" s="4">
        <v>2410305805</v>
      </c>
      <c r="B419" s="1" t="s">
        <v>362</v>
      </c>
      <c r="C419" s="1" t="str">
        <f>"鈴鹿市桜島町二丁目1-2"</f>
        <v>鈴鹿市桜島町二丁目1-2</v>
      </c>
      <c r="D419" s="1" t="str">
        <f>"059-381-2727  "</f>
        <v xml:space="preserve">059-381-2727  </v>
      </c>
    </row>
    <row r="420" spans="1:4" x14ac:dyDescent="0.55000000000000004">
      <c r="A420" s="4">
        <v>2410305813</v>
      </c>
      <c r="B420" s="1" t="s">
        <v>363</v>
      </c>
      <c r="C420" s="1" t="s">
        <v>2736</v>
      </c>
      <c r="D420" s="1" t="str">
        <f>"059-378-7107  "</f>
        <v xml:space="preserve">059-378-7107  </v>
      </c>
    </row>
    <row r="421" spans="1:4" x14ac:dyDescent="0.55000000000000004">
      <c r="A421" s="4">
        <v>2410305839</v>
      </c>
      <c r="B421" s="1" t="s">
        <v>364</v>
      </c>
      <c r="C421" s="1" t="str">
        <f>"鈴鹿市伊船町2229-8"</f>
        <v>鈴鹿市伊船町2229-8</v>
      </c>
      <c r="D421" s="1" t="str">
        <f>"059-371-6800  "</f>
        <v xml:space="preserve">059-371-6800  </v>
      </c>
    </row>
    <row r="422" spans="1:4" x14ac:dyDescent="0.55000000000000004">
      <c r="A422" s="4">
        <v>2410305847</v>
      </c>
      <c r="B422" s="1" t="s">
        <v>365</v>
      </c>
      <c r="C422" s="1" t="s">
        <v>2737</v>
      </c>
      <c r="D422" s="1" t="str">
        <f>"059-380-0220  "</f>
        <v xml:space="preserve">059-380-0220  </v>
      </c>
    </row>
    <row r="423" spans="1:4" x14ac:dyDescent="0.55000000000000004">
      <c r="A423" s="4">
        <v>2410305862</v>
      </c>
      <c r="B423" s="1" t="s">
        <v>366</v>
      </c>
      <c r="C423" s="1" t="str">
        <f>"鈴鹿市野村町200-1"</f>
        <v>鈴鹿市野村町200-1</v>
      </c>
      <c r="D423" s="1" t="str">
        <f>"059-380-1200  "</f>
        <v xml:space="preserve">059-380-1200  </v>
      </c>
    </row>
    <row r="424" spans="1:4" x14ac:dyDescent="0.55000000000000004">
      <c r="A424" s="4">
        <v>2410305870</v>
      </c>
      <c r="B424" s="1" t="s">
        <v>367</v>
      </c>
      <c r="C424" s="1" t="s">
        <v>2738</v>
      </c>
      <c r="D424" s="1" t="str">
        <f>"059-388-2221  "</f>
        <v xml:space="preserve">059-388-2221  </v>
      </c>
    </row>
    <row r="425" spans="1:4" x14ac:dyDescent="0.55000000000000004">
      <c r="A425" s="4">
        <v>2410305896</v>
      </c>
      <c r="B425" s="1" t="s">
        <v>368</v>
      </c>
      <c r="C425" s="1" t="str">
        <f>"鈴鹿市算所2丁目14-19"</f>
        <v>鈴鹿市算所2丁目14-19</v>
      </c>
      <c r="D425" s="1" t="str">
        <f>"059-367-0101  "</f>
        <v xml:space="preserve">059-367-0101  </v>
      </c>
    </row>
    <row r="426" spans="1:4" x14ac:dyDescent="0.55000000000000004">
      <c r="A426" s="4">
        <v>2410305920</v>
      </c>
      <c r="B426" s="1" t="s">
        <v>369</v>
      </c>
      <c r="C426" s="1" t="s">
        <v>2739</v>
      </c>
      <c r="D426" s="1" t="str">
        <f>"059-389-6660  "</f>
        <v xml:space="preserve">059-389-6660  </v>
      </c>
    </row>
    <row r="427" spans="1:4" x14ac:dyDescent="0.55000000000000004">
      <c r="A427" s="4">
        <v>2410305946</v>
      </c>
      <c r="B427" s="1" t="s">
        <v>370</v>
      </c>
      <c r="C427" s="1" t="str">
        <f>"鈴鹿市西条1丁目17-15"</f>
        <v>鈴鹿市西条1丁目17-15</v>
      </c>
      <c r="D427" s="1" t="str">
        <f>"059-381-0011  "</f>
        <v xml:space="preserve">059-381-0011  </v>
      </c>
    </row>
    <row r="428" spans="1:4" x14ac:dyDescent="0.55000000000000004">
      <c r="A428" s="4">
        <v>2410305953</v>
      </c>
      <c r="B428" s="1" t="s">
        <v>371</v>
      </c>
      <c r="C428" s="1" t="str">
        <f>"鈴鹿市野村町168-1"</f>
        <v>鈴鹿市野村町168-1</v>
      </c>
      <c r="D428" s="1" t="str">
        <f>"059-380-4112  "</f>
        <v xml:space="preserve">059-380-4112  </v>
      </c>
    </row>
    <row r="429" spans="1:4" x14ac:dyDescent="0.55000000000000004">
      <c r="A429" s="4">
        <v>2410305961</v>
      </c>
      <c r="B429" s="1" t="s">
        <v>372</v>
      </c>
      <c r="C429" s="1" t="str">
        <f>"鈴鹿市道伯5丁目24-19"</f>
        <v>鈴鹿市道伯5丁目24-19</v>
      </c>
      <c r="D429" s="1" t="str">
        <f>"059-370-5500  "</f>
        <v xml:space="preserve">059-370-5500  </v>
      </c>
    </row>
    <row r="430" spans="1:4" x14ac:dyDescent="0.55000000000000004">
      <c r="A430" s="4">
        <v>2410315010</v>
      </c>
      <c r="B430" s="1" t="s">
        <v>373</v>
      </c>
      <c r="C430" s="1" t="s">
        <v>2740</v>
      </c>
      <c r="D430" s="1" t="str">
        <f>"059-373-6505  "</f>
        <v xml:space="preserve">059-373-6505  </v>
      </c>
    </row>
    <row r="431" spans="1:4" x14ac:dyDescent="0.55000000000000004">
      <c r="A431" s="4">
        <v>2410315028</v>
      </c>
      <c r="B431" s="1" t="s">
        <v>374</v>
      </c>
      <c r="C431" s="1" t="s">
        <v>2741</v>
      </c>
      <c r="D431" s="1" t="str">
        <f>"059-340-7411  "</f>
        <v xml:space="preserve">059-340-7411  </v>
      </c>
    </row>
    <row r="432" spans="1:4" x14ac:dyDescent="0.55000000000000004">
      <c r="A432" s="4">
        <v>2410315044</v>
      </c>
      <c r="B432" s="1" t="s">
        <v>375</v>
      </c>
      <c r="C432" s="1" t="str">
        <f>"鈴鹿市石薬師町2159-1"</f>
        <v>鈴鹿市石薬師町2159-1</v>
      </c>
      <c r="D432" s="1" t="str">
        <f>"059-374-0020  "</f>
        <v xml:space="preserve">059-374-0020  </v>
      </c>
    </row>
    <row r="433" spans="1:4" x14ac:dyDescent="0.55000000000000004">
      <c r="A433" s="4">
        <v>2410315069</v>
      </c>
      <c r="B433" s="1" t="s">
        <v>376</v>
      </c>
      <c r="C433" s="1" t="s">
        <v>377</v>
      </c>
      <c r="D433" s="1" t="str">
        <f>"059-385-5511  "</f>
        <v xml:space="preserve">059-385-5511  </v>
      </c>
    </row>
    <row r="434" spans="1:4" x14ac:dyDescent="0.55000000000000004">
      <c r="A434" s="4">
        <v>2410315085</v>
      </c>
      <c r="B434" s="1" t="s">
        <v>378</v>
      </c>
      <c r="C434" s="1" t="str">
        <f>"鈴鹿市柳町字森1665-2"</f>
        <v>鈴鹿市柳町字森1665-2</v>
      </c>
      <c r="D434" s="1" t="str">
        <f>"059-383-1000  "</f>
        <v xml:space="preserve">059-383-1000  </v>
      </c>
    </row>
    <row r="435" spans="1:4" x14ac:dyDescent="0.55000000000000004">
      <c r="A435" s="4">
        <v>2410315093</v>
      </c>
      <c r="B435" s="1" t="s">
        <v>379</v>
      </c>
      <c r="C435" s="1" t="s">
        <v>380</v>
      </c>
      <c r="D435" s="1" t="str">
        <f>"059-389-7707  "</f>
        <v xml:space="preserve">059-389-7707  </v>
      </c>
    </row>
    <row r="436" spans="1:4" x14ac:dyDescent="0.55000000000000004">
      <c r="A436" s="4">
        <v>2410315101</v>
      </c>
      <c r="B436" s="1" t="s">
        <v>382</v>
      </c>
      <c r="C436" s="1" t="s">
        <v>383</v>
      </c>
      <c r="D436" s="1" t="str">
        <f>"059-389-6667  "</f>
        <v xml:space="preserve">059-389-6667  </v>
      </c>
    </row>
    <row r="437" spans="1:4" x14ac:dyDescent="0.55000000000000004">
      <c r="A437" s="4">
        <v>2414100012</v>
      </c>
      <c r="B437" s="1" t="s">
        <v>1158</v>
      </c>
      <c r="C437" s="1" t="s">
        <v>2972</v>
      </c>
      <c r="D437" s="1" t="str">
        <f>"059-378-1321  "</f>
        <v xml:space="preserve">059-378-1321  </v>
      </c>
    </row>
    <row r="438" spans="1:4" x14ac:dyDescent="0.55000000000000004">
      <c r="A438" s="4">
        <v>2430301586</v>
      </c>
      <c r="B438" s="1" t="s">
        <v>1191</v>
      </c>
      <c r="C438" s="1" t="str">
        <f>"鈴鹿市末広東1-30"</f>
        <v>鈴鹿市末広東1-30</v>
      </c>
      <c r="D438" s="1" t="str">
        <f>"059-383-7705  "</f>
        <v xml:space="preserve">059-383-7705  </v>
      </c>
    </row>
    <row r="439" spans="1:4" x14ac:dyDescent="0.55000000000000004">
      <c r="A439" s="4">
        <v>2430301800</v>
      </c>
      <c r="B439" s="1" t="s">
        <v>1192</v>
      </c>
      <c r="C439" s="1" t="str">
        <f>"鈴鹿市阿古曽町22-3"</f>
        <v>鈴鹿市阿古曽町22-3</v>
      </c>
      <c r="D439" s="1" t="str">
        <f>"059-399-7255  "</f>
        <v xml:space="preserve">059-399-7255  </v>
      </c>
    </row>
    <row r="440" spans="1:4" x14ac:dyDescent="0.55000000000000004">
      <c r="A440" s="4">
        <v>2410400267</v>
      </c>
      <c r="B440" s="1" t="s">
        <v>384</v>
      </c>
      <c r="C440" s="1" t="s">
        <v>2742</v>
      </c>
      <c r="D440" s="1" t="str">
        <f>"0595-82-0015  "</f>
        <v xml:space="preserve">0595-82-0015  </v>
      </c>
    </row>
    <row r="441" spans="1:4" x14ac:dyDescent="0.55000000000000004">
      <c r="A441" s="4">
        <v>2410400291</v>
      </c>
      <c r="B441" s="1" t="s">
        <v>385</v>
      </c>
      <c r="C441" s="1" t="str">
        <f>"亀山市みどり町26-1"</f>
        <v>亀山市みどり町26-1</v>
      </c>
      <c r="D441" s="1" t="str">
        <f>"0595-82-8710  "</f>
        <v xml:space="preserve">0595-82-8710  </v>
      </c>
    </row>
    <row r="442" spans="1:4" x14ac:dyDescent="0.55000000000000004">
      <c r="A442" s="4">
        <v>2410400341</v>
      </c>
      <c r="B442" s="1" t="s">
        <v>386</v>
      </c>
      <c r="C442" s="1" t="s">
        <v>2743</v>
      </c>
      <c r="D442" s="1" t="str">
        <f>"0595-82-8721  "</f>
        <v xml:space="preserve">0595-82-8721  </v>
      </c>
    </row>
    <row r="443" spans="1:4" x14ac:dyDescent="0.55000000000000004">
      <c r="A443" s="4">
        <v>2410400440</v>
      </c>
      <c r="B443" s="1" t="s">
        <v>387</v>
      </c>
      <c r="C443" s="1" t="str">
        <f>"亀山市北町9-15"</f>
        <v>亀山市北町9-15</v>
      </c>
      <c r="D443" s="1" t="str">
        <f>"0595-84-1800  "</f>
        <v xml:space="preserve">0595-84-1800  </v>
      </c>
    </row>
    <row r="444" spans="1:4" x14ac:dyDescent="0.55000000000000004">
      <c r="A444" s="4">
        <v>2410400457</v>
      </c>
      <c r="B444" s="1" t="s">
        <v>388</v>
      </c>
      <c r="C444" s="1" t="str">
        <f>"亀山市栄町1488-314"</f>
        <v>亀山市栄町1488-314</v>
      </c>
      <c r="D444" s="1" t="str">
        <f>"0595-84-3377  "</f>
        <v xml:space="preserve">0595-84-3377  </v>
      </c>
    </row>
    <row r="445" spans="1:4" x14ac:dyDescent="0.55000000000000004">
      <c r="A445" s="4">
        <v>2410400473</v>
      </c>
      <c r="B445" s="1" t="s">
        <v>389</v>
      </c>
      <c r="C445" s="1" t="s">
        <v>2744</v>
      </c>
      <c r="D445" s="1" t="str">
        <f>"0595-96-2220  "</f>
        <v xml:space="preserve">0595-96-2220  </v>
      </c>
    </row>
    <row r="446" spans="1:4" x14ac:dyDescent="0.55000000000000004">
      <c r="A446" s="4">
        <v>2410400499</v>
      </c>
      <c r="B446" s="1" t="s">
        <v>390</v>
      </c>
      <c r="C446" s="1" t="str">
        <f>"亀山市天神2丁目3－6"</f>
        <v>亀山市天神2丁目3－6</v>
      </c>
      <c r="D446" s="1" t="str">
        <f>"0595-82-0755  "</f>
        <v xml:space="preserve">0595-82-0755  </v>
      </c>
    </row>
    <row r="447" spans="1:4" x14ac:dyDescent="0.55000000000000004">
      <c r="A447" s="4">
        <v>2410400531</v>
      </c>
      <c r="B447" s="1" t="s">
        <v>391</v>
      </c>
      <c r="C447" s="1" t="str">
        <f>"亀山市江ケ室2-4-21"</f>
        <v>亀山市江ケ室2-4-21</v>
      </c>
      <c r="D447" s="1" t="str">
        <f>"0595-84-1700  "</f>
        <v xml:space="preserve">0595-84-1700  </v>
      </c>
    </row>
    <row r="448" spans="1:4" x14ac:dyDescent="0.55000000000000004">
      <c r="A448" s="4">
        <v>2410400549</v>
      </c>
      <c r="B448" s="1" t="s">
        <v>392</v>
      </c>
      <c r="C448" s="1" t="str">
        <f>"亀山市本町2-9-33"</f>
        <v>亀山市本町2-9-33</v>
      </c>
      <c r="D448" s="1" t="str">
        <f>"0595-82-0017  "</f>
        <v xml:space="preserve">0595-82-0017  </v>
      </c>
    </row>
    <row r="449" spans="1:4" x14ac:dyDescent="0.55000000000000004">
      <c r="A449" s="4">
        <v>2410400564</v>
      </c>
      <c r="B449" s="1" t="s">
        <v>394</v>
      </c>
      <c r="C449" s="1" t="str">
        <f>"亀山市栄町1488-17"</f>
        <v>亀山市栄町1488-17</v>
      </c>
      <c r="D449" s="1" t="str">
        <f>"0595-97-3335  "</f>
        <v xml:space="preserve">0595-97-3335  </v>
      </c>
    </row>
    <row r="450" spans="1:4" x14ac:dyDescent="0.55000000000000004">
      <c r="A450" s="4">
        <v>2410400572</v>
      </c>
      <c r="B450" s="1" t="s">
        <v>395</v>
      </c>
      <c r="C450" s="1" t="str">
        <f>"亀山市アイリス町14-7"</f>
        <v>亀山市アイリス町14-7</v>
      </c>
      <c r="D450" s="1" t="str">
        <f>"0595-84-3536  "</f>
        <v xml:space="preserve">0595-84-3536  </v>
      </c>
    </row>
    <row r="451" spans="1:4" x14ac:dyDescent="0.55000000000000004">
      <c r="A451" s="4">
        <v>2410400580</v>
      </c>
      <c r="B451" s="1" t="s">
        <v>396</v>
      </c>
      <c r="C451" s="1" t="str">
        <f>"亀山市栄町1499-3"</f>
        <v>亀山市栄町1499-3</v>
      </c>
      <c r="D451" s="1" t="str">
        <f>"0595-82-4133  "</f>
        <v xml:space="preserve">0595-82-4133  </v>
      </c>
    </row>
    <row r="452" spans="1:4" x14ac:dyDescent="0.55000000000000004">
      <c r="A452" s="4">
        <v>2410400606</v>
      </c>
      <c r="B452" s="1" t="s">
        <v>397</v>
      </c>
      <c r="C452" s="1" t="str">
        <f>"亀山市栄町字萩野1488-215"</f>
        <v>亀山市栄町字萩野1488-215</v>
      </c>
      <c r="D452" s="1" t="str">
        <f>"0595-83-0077  "</f>
        <v xml:space="preserve">0595-83-0077  </v>
      </c>
    </row>
    <row r="453" spans="1:4" x14ac:dyDescent="0.55000000000000004">
      <c r="A453" s="4">
        <v>2410400614</v>
      </c>
      <c r="B453" s="1" t="s">
        <v>393</v>
      </c>
      <c r="C453" s="1" t="str">
        <f>"亀山市南野町4-15"</f>
        <v>亀山市南野町4-15</v>
      </c>
      <c r="D453" s="1" t="str">
        <f>"0595-82-1431  "</f>
        <v xml:space="preserve">0595-82-1431  </v>
      </c>
    </row>
    <row r="454" spans="1:4" x14ac:dyDescent="0.55000000000000004">
      <c r="A454" s="4">
        <v>2410400630</v>
      </c>
      <c r="B454" s="1" t="s">
        <v>398</v>
      </c>
      <c r="C454" s="1" t="str">
        <f>"亀山市川合町1155-9"</f>
        <v>亀山市川合町1155-9</v>
      </c>
      <c r="D454" s="1" t="str">
        <f>"0595-96-9488  "</f>
        <v xml:space="preserve">0595-96-9488  </v>
      </c>
    </row>
    <row r="455" spans="1:4" x14ac:dyDescent="0.55000000000000004">
      <c r="A455" s="4">
        <v>2410405043</v>
      </c>
      <c r="B455" s="1" t="s">
        <v>399</v>
      </c>
      <c r="C455" s="1" t="str">
        <f>"亀山市東台町1-17"</f>
        <v>亀山市東台町1-17</v>
      </c>
      <c r="D455" s="1" t="str">
        <f>"0595-82-0121  "</f>
        <v xml:space="preserve">0595-82-0121  </v>
      </c>
    </row>
    <row r="456" spans="1:4" x14ac:dyDescent="0.55000000000000004">
      <c r="A456" s="4">
        <v>2410405050</v>
      </c>
      <c r="B456" s="1" t="s">
        <v>400</v>
      </c>
      <c r="C456" s="1" t="s">
        <v>2423</v>
      </c>
      <c r="D456" s="1" t="str">
        <f>"0595-83-0990  "</f>
        <v xml:space="preserve">0595-83-0990  </v>
      </c>
    </row>
    <row r="457" spans="1:4" x14ac:dyDescent="0.55000000000000004">
      <c r="A457" s="4">
        <v>2410405068</v>
      </c>
      <c r="B457" s="1" t="s">
        <v>401</v>
      </c>
      <c r="C457" s="1" t="str">
        <f>"亀山市天神2-10-38"</f>
        <v>亀山市天神2-10-38</v>
      </c>
      <c r="D457" s="1" t="str">
        <f>"0595-83-1195  "</f>
        <v xml:space="preserve">0595-83-1195  </v>
      </c>
    </row>
    <row r="458" spans="1:4" x14ac:dyDescent="0.55000000000000004">
      <c r="A458" s="4">
        <v>2410405084</v>
      </c>
      <c r="B458" s="1" t="s">
        <v>402</v>
      </c>
      <c r="C458" s="1" t="s">
        <v>2745</v>
      </c>
      <c r="D458" s="1" t="str">
        <f>"0595-82-0405  "</f>
        <v xml:space="preserve">0595-82-0405  </v>
      </c>
    </row>
    <row r="459" spans="1:4" x14ac:dyDescent="0.55000000000000004">
      <c r="A459" s="4">
        <v>2410405092</v>
      </c>
      <c r="B459" s="1" t="s">
        <v>403</v>
      </c>
      <c r="C459" s="1" t="s">
        <v>2746</v>
      </c>
      <c r="D459" s="1" t="str">
        <f>"0595-83-0087  "</f>
        <v xml:space="preserve">0595-83-0087  </v>
      </c>
    </row>
    <row r="460" spans="1:4" x14ac:dyDescent="0.55000000000000004">
      <c r="A460" s="4">
        <v>2410405118</v>
      </c>
      <c r="B460" s="1" t="s">
        <v>404</v>
      </c>
      <c r="C460" s="1" t="s">
        <v>2747</v>
      </c>
      <c r="D460" s="1" t="str">
        <f>"0595-83-3666  "</f>
        <v xml:space="preserve">0595-83-3666  </v>
      </c>
    </row>
    <row r="461" spans="1:4" x14ac:dyDescent="0.55000000000000004">
      <c r="A461" s="4">
        <v>2410405126</v>
      </c>
      <c r="B461" s="1" t="s">
        <v>405</v>
      </c>
      <c r="C461" s="1" t="str">
        <f>"亀山市亀田町380-4"</f>
        <v>亀山市亀田町380-4</v>
      </c>
      <c r="D461" s="1" t="str">
        <f>"0595-83-2121  "</f>
        <v xml:space="preserve">0595-83-2121  </v>
      </c>
    </row>
    <row r="462" spans="1:4" x14ac:dyDescent="0.55000000000000004">
      <c r="A462" s="4">
        <v>2410405134</v>
      </c>
      <c r="B462" s="1" t="s">
        <v>406</v>
      </c>
      <c r="C462" s="1" t="s">
        <v>2748</v>
      </c>
      <c r="D462" s="1" t="str">
        <f>"0595-84-0300  "</f>
        <v xml:space="preserve">0595-84-0300  </v>
      </c>
    </row>
    <row r="463" spans="1:4" x14ac:dyDescent="0.55000000000000004">
      <c r="A463" s="4">
        <v>2410405167</v>
      </c>
      <c r="B463" s="1" t="s">
        <v>407</v>
      </c>
      <c r="C463" s="1" t="s">
        <v>408</v>
      </c>
      <c r="D463" s="1" t="str">
        <f>"0595-85-3636  "</f>
        <v xml:space="preserve">0595-85-3636  </v>
      </c>
    </row>
    <row r="464" spans="1:4" x14ac:dyDescent="0.55000000000000004">
      <c r="A464" s="4">
        <v>2410405175</v>
      </c>
      <c r="B464" s="1" t="s">
        <v>409</v>
      </c>
      <c r="C464" s="1" t="str">
        <f>"亀山市南崎町735-16"</f>
        <v>亀山市南崎町735-16</v>
      </c>
      <c r="D464" s="1" t="str">
        <f>"0595-98-4112  "</f>
        <v xml:space="preserve">0595-98-4112  </v>
      </c>
    </row>
    <row r="465" spans="1:4" x14ac:dyDescent="0.55000000000000004">
      <c r="A465" s="4">
        <v>2410405191</v>
      </c>
      <c r="B465" s="1" t="s">
        <v>410</v>
      </c>
      <c r="C465" s="1" t="s">
        <v>2749</v>
      </c>
      <c r="D465" s="1" t="str">
        <f>"0595-84-5858  "</f>
        <v xml:space="preserve">0595-84-5858  </v>
      </c>
    </row>
    <row r="466" spans="1:4" x14ac:dyDescent="0.55000000000000004">
      <c r="A466" s="4">
        <v>2410405217</v>
      </c>
      <c r="B466" s="1" t="s">
        <v>411</v>
      </c>
      <c r="C466" s="1" t="s">
        <v>412</v>
      </c>
      <c r="D466" s="1" t="str">
        <f>"0595-82-1335  "</f>
        <v xml:space="preserve">0595-82-1335  </v>
      </c>
    </row>
    <row r="467" spans="1:4" x14ac:dyDescent="0.55000000000000004">
      <c r="A467" s="4">
        <v>2410405225</v>
      </c>
      <c r="B467" s="1" t="s">
        <v>413</v>
      </c>
      <c r="C467" s="1" t="s">
        <v>414</v>
      </c>
      <c r="D467" s="1" t="str">
        <f>"0595-83-0555  "</f>
        <v xml:space="preserve">0595-83-0555  </v>
      </c>
    </row>
    <row r="468" spans="1:4" x14ac:dyDescent="0.55000000000000004">
      <c r="A468" s="4">
        <v>2411300540</v>
      </c>
      <c r="B468" s="1" t="s">
        <v>939</v>
      </c>
      <c r="C468" s="1" t="str">
        <f>"名張市新田2202-2"</f>
        <v>名張市新田2202-2</v>
      </c>
      <c r="D468" s="1" t="str">
        <f>"0595-65-2251  "</f>
        <v xml:space="preserve">0595-65-2251  </v>
      </c>
    </row>
    <row r="469" spans="1:4" x14ac:dyDescent="0.55000000000000004">
      <c r="A469" s="4">
        <v>2411300581</v>
      </c>
      <c r="B469" s="1" t="s">
        <v>940</v>
      </c>
      <c r="C469" s="1" t="str">
        <f>"名張市東町1786-4"</f>
        <v>名張市東町1786-4</v>
      </c>
      <c r="D469" s="1" t="str">
        <f>"0595-64-1115  "</f>
        <v xml:space="preserve">0595-64-1115  </v>
      </c>
    </row>
    <row r="470" spans="1:4" x14ac:dyDescent="0.55000000000000004">
      <c r="A470" s="4">
        <v>2411300631</v>
      </c>
      <c r="B470" s="1" t="s">
        <v>941</v>
      </c>
      <c r="C470" s="1" t="s">
        <v>2900</v>
      </c>
      <c r="D470" s="1" t="str">
        <f>"0595-64-2000  "</f>
        <v xml:space="preserve">0595-64-2000  </v>
      </c>
    </row>
    <row r="471" spans="1:4" x14ac:dyDescent="0.55000000000000004">
      <c r="A471" s="4">
        <v>2411300862</v>
      </c>
      <c r="B471" s="1" t="s">
        <v>942</v>
      </c>
      <c r="C471" s="1" t="str">
        <f>"名張市木屋町815-16"</f>
        <v>名張市木屋町815-16</v>
      </c>
      <c r="D471" s="1" t="str">
        <f>"0595-64-7555  "</f>
        <v xml:space="preserve">0595-64-7555  </v>
      </c>
    </row>
    <row r="472" spans="1:4" x14ac:dyDescent="0.55000000000000004">
      <c r="A472" s="4">
        <v>2411300888</v>
      </c>
      <c r="B472" s="1" t="s">
        <v>943</v>
      </c>
      <c r="C472" s="1" t="s">
        <v>949</v>
      </c>
      <c r="D472" s="1" t="str">
        <f>"0595-68-8555  "</f>
        <v xml:space="preserve">0595-68-8555  </v>
      </c>
    </row>
    <row r="473" spans="1:4" x14ac:dyDescent="0.55000000000000004">
      <c r="A473" s="4">
        <v>2411300912</v>
      </c>
      <c r="B473" s="1" t="s">
        <v>944</v>
      </c>
      <c r="C473" s="1" t="str">
        <f>"名張市桔梗が丘7番町3-1813-14"</f>
        <v>名張市桔梗が丘7番町3-1813-14</v>
      </c>
      <c r="D473" s="1" t="str">
        <f>"0595-66-0007  "</f>
        <v xml:space="preserve">0595-66-0007  </v>
      </c>
    </row>
    <row r="474" spans="1:4" x14ac:dyDescent="0.55000000000000004">
      <c r="A474" s="4">
        <v>2411300938</v>
      </c>
      <c r="B474" s="1" t="s">
        <v>945</v>
      </c>
      <c r="C474" s="1" t="s">
        <v>2901</v>
      </c>
      <c r="D474" s="1" t="str">
        <f>"0595-63-0271  "</f>
        <v xml:space="preserve">0595-63-0271  </v>
      </c>
    </row>
    <row r="475" spans="1:4" x14ac:dyDescent="0.55000000000000004">
      <c r="A475" s="4">
        <v>2411300987</v>
      </c>
      <c r="B475" s="1" t="s">
        <v>946</v>
      </c>
      <c r="C475" s="1" t="str">
        <f>"名張市桔梗が丘5-10-45"</f>
        <v>名張市桔梗が丘5-10-45</v>
      </c>
      <c r="D475" s="1" t="str">
        <f>"0595-65-0023  "</f>
        <v xml:space="preserve">0595-65-0023  </v>
      </c>
    </row>
    <row r="476" spans="1:4" x14ac:dyDescent="0.55000000000000004">
      <c r="A476" s="4">
        <v>2411301001</v>
      </c>
      <c r="B476" s="1" t="s">
        <v>947</v>
      </c>
      <c r="C476" s="1" t="str">
        <f>"名張市桔梗が丘２番町7-16"</f>
        <v>名張市桔梗が丘２番町7-16</v>
      </c>
      <c r="D476" s="1" t="str">
        <f>"0595-41-0855  "</f>
        <v xml:space="preserve">0595-41-0855  </v>
      </c>
    </row>
    <row r="477" spans="1:4" x14ac:dyDescent="0.55000000000000004">
      <c r="A477" s="4">
        <v>2411301035</v>
      </c>
      <c r="B477" s="1" t="s">
        <v>948</v>
      </c>
      <c r="C477" s="1" t="s">
        <v>949</v>
      </c>
      <c r="D477" s="1" t="str">
        <f>"0595-68-8555  "</f>
        <v xml:space="preserve">0595-68-8555  </v>
      </c>
    </row>
    <row r="478" spans="1:4" x14ac:dyDescent="0.55000000000000004">
      <c r="A478" s="4">
        <v>2411305028</v>
      </c>
      <c r="B478" s="1" t="s">
        <v>950</v>
      </c>
      <c r="C478" s="1" t="s">
        <v>2902</v>
      </c>
      <c r="D478" s="1" t="str">
        <f>"0595-63-2211  "</f>
        <v xml:space="preserve">0595-63-2211  </v>
      </c>
    </row>
    <row r="479" spans="1:4" x14ac:dyDescent="0.55000000000000004">
      <c r="A479" s="4">
        <v>2411305036</v>
      </c>
      <c r="B479" s="1" t="s">
        <v>951</v>
      </c>
      <c r="C479" s="1" t="s">
        <v>2903</v>
      </c>
      <c r="D479" s="1" t="str">
        <f>"0595-63-9001  "</f>
        <v xml:space="preserve">0595-63-9001  </v>
      </c>
    </row>
    <row r="480" spans="1:4" x14ac:dyDescent="0.55000000000000004">
      <c r="A480" s="4">
        <v>2411305077</v>
      </c>
      <c r="B480" s="1" t="s">
        <v>952</v>
      </c>
      <c r="C480" s="1" t="str">
        <f>"名張市桔梗が丘8番町5-110"</f>
        <v>名張市桔梗が丘8番町5-110</v>
      </c>
      <c r="D480" s="1" t="str">
        <f>"0595-65-2130  "</f>
        <v xml:space="preserve">0595-65-2130  </v>
      </c>
    </row>
    <row r="481" spans="1:4" x14ac:dyDescent="0.55000000000000004">
      <c r="A481" s="4">
        <v>2411305085</v>
      </c>
      <c r="B481" s="1" t="s">
        <v>953</v>
      </c>
      <c r="C481" s="1" t="str">
        <f>"名張市東町1901-1"</f>
        <v>名張市東町1901-1</v>
      </c>
      <c r="D481" s="1" t="str">
        <f>"0595-64-1717  "</f>
        <v xml:space="preserve">0595-64-1717  </v>
      </c>
    </row>
    <row r="482" spans="1:4" x14ac:dyDescent="0.55000000000000004">
      <c r="A482" s="4">
        <v>2411305093</v>
      </c>
      <c r="B482" s="1" t="s">
        <v>954</v>
      </c>
      <c r="C482" s="1" t="s">
        <v>2904</v>
      </c>
      <c r="D482" s="1" t="str">
        <f>"0595-63-0345  "</f>
        <v xml:space="preserve">0595-63-0345  </v>
      </c>
    </row>
    <row r="483" spans="1:4" x14ac:dyDescent="0.55000000000000004">
      <c r="A483" s="4">
        <v>2411305101</v>
      </c>
      <c r="B483" s="1" t="s">
        <v>955</v>
      </c>
      <c r="C483" s="1" t="str">
        <f>"名張市桔梗が丘5-4-1"</f>
        <v>名張市桔梗が丘5-4-1</v>
      </c>
      <c r="D483" s="1" t="str">
        <f>"0595-65-5355  "</f>
        <v xml:space="preserve">0595-65-5355  </v>
      </c>
    </row>
    <row r="484" spans="1:4" x14ac:dyDescent="0.55000000000000004">
      <c r="A484" s="4">
        <v>2411305127</v>
      </c>
      <c r="B484" s="1" t="s">
        <v>956</v>
      </c>
      <c r="C484" s="1" t="str">
        <f>"名張市百合が丘東2-132-2"</f>
        <v>名張市百合が丘東2-132-2</v>
      </c>
      <c r="D484" s="1" t="str">
        <f>"0595-61-1231  "</f>
        <v xml:space="preserve">0595-61-1231  </v>
      </c>
    </row>
    <row r="485" spans="1:4" x14ac:dyDescent="0.55000000000000004">
      <c r="A485" s="4">
        <v>2411305143</v>
      </c>
      <c r="B485" s="1" t="s">
        <v>957</v>
      </c>
      <c r="C485" s="1" t="s">
        <v>2905</v>
      </c>
      <c r="D485" s="1" t="str">
        <f>"0595-63-0003  "</f>
        <v xml:space="preserve">0595-63-0003  </v>
      </c>
    </row>
    <row r="486" spans="1:4" x14ac:dyDescent="0.55000000000000004">
      <c r="A486" s="4">
        <v>2411305150</v>
      </c>
      <c r="B486" s="1" t="s">
        <v>958</v>
      </c>
      <c r="C486" s="1" t="str">
        <f>"名張市桔梗が丘2-1-54"</f>
        <v>名張市桔梗が丘2-1-54</v>
      </c>
      <c r="D486" s="1" t="str">
        <f>"0595-65-7111  "</f>
        <v xml:space="preserve">0595-65-7111  </v>
      </c>
    </row>
    <row r="487" spans="1:4" x14ac:dyDescent="0.55000000000000004">
      <c r="A487" s="4">
        <v>2411305168</v>
      </c>
      <c r="B487" s="1" t="s">
        <v>959</v>
      </c>
      <c r="C487" s="1" t="s">
        <v>2906</v>
      </c>
      <c r="D487" s="1" t="str">
        <f>"0595-65-2088  "</f>
        <v xml:space="preserve">0595-65-2088  </v>
      </c>
    </row>
    <row r="488" spans="1:4" x14ac:dyDescent="0.55000000000000004">
      <c r="A488" s="4">
        <v>2411305184</v>
      </c>
      <c r="B488" s="1" t="s">
        <v>960</v>
      </c>
      <c r="C488" s="1" t="s">
        <v>2907</v>
      </c>
      <c r="D488" s="1" t="str">
        <f>"0595-65-9912  "</f>
        <v xml:space="preserve">0595-65-9912  </v>
      </c>
    </row>
    <row r="489" spans="1:4" x14ac:dyDescent="0.55000000000000004">
      <c r="A489" s="4">
        <v>2411305192</v>
      </c>
      <c r="B489" s="1" t="s">
        <v>961</v>
      </c>
      <c r="C489" s="1" t="s">
        <v>2908</v>
      </c>
      <c r="D489" s="1" t="str">
        <f>"0595-61-3366  "</f>
        <v xml:space="preserve">0595-61-3366  </v>
      </c>
    </row>
    <row r="490" spans="1:4" x14ac:dyDescent="0.55000000000000004">
      <c r="A490" s="4">
        <v>2411305200</v>
      </c>
      <c r="B490" s="1" t="s">
        <v>962</v>
      </c>
      <c r="C490" s="1" t="s">
        <v>2909</v>
      </c>
      <c r="D490" s="1" t="str">
        <f>"0595-61-2332  "</f>
        <v xml:space="preserve">0595-61-2332  </v>
      </c>
    </row>
    <row r="491" spans="1:4" x14ac:dyDescent="0.55000000000000004">
      <c r="A491" s="4">
        <v>2411305218</v>
      </c>
      <c r="B491" s="1" t="s">
        <v>963</v>
      </c>
      <c r="C491" s="1" t="str">
        <f>"名張市桔梗が丘１番町4-70"</f>
        <v>名張市桔梗が丘１番町4-70</v>
      </c>
      <c r="D491" s="1" t="str">
        <f>"0595-65-5251  "</f>
        <v xml:space="preserve">0595-65-5251  </v>
      </c>
    </row>
    <row r="492" spans="1:4" x14ac:dyDescent="0.55000000000000004">
      <c r="A492" s="4">
        <v>2411305226</v>
      </c>
      <c r="B492" s="1" t="s">
        <v>964</v>
      </c>
      <c r="C492" s="1" t="str">
        <f>"名張市赤目町丈六247-2"</f>
        <v>名張市赤目町丈六247-2</v>
      </c>
      <c r="D492" s="1" t="str">
        <f>"0595-64-8211  "</f>
        <v xml:space="preserve">0595-64-8211  </v>
      </c>
    </row>
    <row r="493" spans="1:4" x14ac:dyDescent="0.55000000000000004">
      <c r="A493" s="4">
        <v>2411305259</v>
      </c>
      <c r="B493" s="1" t="s">
        <v>965</v>
      </c>
      <c r="C493" s="1" t="s">
        <v>2910</v>
      </c>
      <c r="D493" s="1" t="str">
        <f>"0595-64-8088  "</f>
        <v xml:space="preserve">0595-64-8088  </v>
      </c>
    </row>
    <row r="494" spans="1:4" x14ac:dyDescent="0.55000000000000004">
      <c r="A494" s="4">
        <v>2411305267</v>
      </c>
      <c r="B494" s="1" t="s">
        <v>966</v>
      </c>
      <c r="C494" s="1" t="s">
        <v>2911</v>
      </c>
      <c r="D494" s="1" t="str">
        <f>"0595-64-7655  "</f>
        <v xml:space="preserve">0595-64-7655  </v>
      </c>
    </row>
    <row r="495" spans="1:4" x14ac:dyDescent="0.55000000000000004">
      <c r="A495" s="4">
        <v>2411305275</v>
      </c>
      <c r="B495" s="1" t="s">
        <v>967</v>
      </c>
      <c r="C495" s="1" t="s">
        <v>2912</v>
      </c>
      <c r="D495" s="1" t="str">
        <f>"0595-61-1212  "</f>
        <v xml:space="preserve">0595-61-1212  </v>
      </c>
    </row>
    <row r="496" spans="1:4" x14ac:dyDescent="0.55000000000000004">
      <c r="A496" s="4">
        <v>2411305309</v>
      </c>
      <c r="B496" s="1" t="s">
        <v>968</v>
      </c>
      <c r="C496" s="1" t="s">
        <v>2913</v>
      </c>
      <c r="D496" s="1" t="str">
        <f>"0595-63-0995  "</f>
        <v xml:space="preserve">0595-63-0995  </v>
      </c>
    </row>
    <row r="497" spans="1:4" x14ac:dyDescent="0.55000000000000004">
      <c r="A497" s="4">
        <v>2411305333</v>
      </c>
      <c r="B497" s="1" t="s">
        <v>969</v>
      </c>
      <c r="C497" s="1" t="s">
        <v>970</v>
      </c>
      <c r="D497" s="1" t="str">
        <f>"0595-62-1700  "</f>
        <v xml:space="preserve">0595-62-1700  </v>
      </c>
    </row>
    <row r="498" spans="1:4" x14ac:dyDescent="0.55000000000000004">
      <c r="A498" s="4">
        <v>2411305341</v>
      </c>
      <c r="B498" s="1" t="s">
        <v>971</v>
      </c>
      <c r="C498" s="1" t="s">
        <v>2914</v>
      </c>
      <c r="D498" s="1" t="str">
        <f>"0595-62-7800  "</f>
        <v xml:space="preserve">0595-62-7800  </v>
      </c>
    </row>
    <row r="499" spans="1:4" x14ac:dyDescent="0.55000000000000004">
      <c r="A499" s="4">
        <v>2411305358</v>
      </c>
      <c r="B499" s="1" t="s">
        <v>972</v>
      </c>
      <c r="C499" s="1" t="s">
        <v>938</v>
      </c>
      <c r="D499" s="1" t="str">
        <f>"0595-62-0888  "</f>
        <v xml:space="preserve">0595-62-0888  </v>
      </c>
    </row>
    <row r="500" spans="1:4" x14ac:dyDescent="0.55000000000000004">
      <c r="A500" s="4">
        <v>2411305366</v>
      </c>
      <c r="B500" s="1" t="s">
        <v>973</v>
      </c>
      <c r="C500" s="1" t="s">
        <v>2915</v>
      </c>
      <c r="D500" s="1" t="str">
        <f>"0595-67-1515  "</f>
        <v xml:space="preserve">0595-67-1515  </v>
      </c>
    </row>
    <row r="501" spans="1:4" x14ac:dyDescent="0.55000000000000004">
      <c r="A501" s="4">
        <v>2411305374</v>
      </c>
      <c r="B501" s="1" t="s">
        <v>974</v>
      </c>
      <c r="C501" s="1" t="s">
        <v>975</v>
      </c>
      <c r="D501" s="1" t="str">
        <f>"0595-62-3051  "</f>
        <v xml:space="preserve">0595-62-3051  </v>
      </c>
    </row>
    <row r="502" spans="1:4" x14ac:dyDescent="0.55000000000000004">
      <c r="A502" s="4">
        <v>2411305382</v>
      </c>
      <c r="B502" s="1" t="s">
        <v>976</v>
      </c>
      <c r="C502" s="1" t="s">
        <v>2916</v>
      </c>
      <c r="D502" s="1" t="str">
        <f>"0595-66-1190  "</f>
        <v xml:space="preserve">0595-66-1190  </v>
      </c>
    </row>
    <row r="503" spans="1:4" x14ac:dyDescent="0.55000000000000004">
      <c r="A503" s="4">
        <v>2411305390</v>
      </c>
      <c r="B503" s="1" t="s">
        <v>977</v>
      </c>
      <c r="C503" s="1" t="s">
        <v>2917</v>
      </c>
      <c r="D503" s="1" t="str">
        <f>"0595-62-7000  "</f>
        <v xml:space="preserve">0595-62-7000  </v>
      </c>
    </row>
    <row r="504" spans="1:4" x14ac:dyDescent="0.55000000000000004">
      <c r="A504" s="4">
        <v>2411305416</v>
      </c>
      <c r="B504" s="1" t="s">
        <v>978</v>
      </c>
      <c r="C504" s="1" t="s">
        <v>2918</v>
      </c>
      <c r="D504" s="1" t="str">
        <f>"0595-63-9321  "</f>
        <v xml:space="preserve">0595-63-9321  </v>
      </c>
    </row>
    <row r="505" spans="1:4" x14ac:dyDescent="0.55000000000000004">
      <c r="A505" s="4">
        <v>2411305424</v>
      </c>
      <c r="B505" s="1" t="s">
        <v>979</v>
      </c>
      <c r="C505" s="1" t="s">
        <v>2919</v>
      </c>
      <c r="D505" s="1" t="str">
        <f>"0595-41-0005  "</f>
        <v xml:space="preserve">0595-41-0005  </v>
      </c>
    </row>
    <row r="506" spans="1:4" x14ac:dyDescent="0.55000000000000004">
      <c r="A506" s="4">
        <v>2411305465</v>
      </c>
      <c r="B506" s="1" t="s">
        <v>980</v>
      </c>
      <c r="C506" s="1" t="s">
        <v>2920</v>
      </c>
      <c r="D506" s="1" t="str">
        <f>"0595-62-0500  "</f>
        <v xml:space="preserve">0595-62-0500  </v>
      </c>
    </row>
    <row r="507" spans="1:4" x14ac:dyDescent="0.55000000000000004">
      <c r="A507" s="4">
        <v>2411305473</v>
      </c>
      <c r="B507" s="1" t="s">
        <v>981</v>
      </c>
      <c r="C507" s="1" t="s">
        <v>2921</v>
      </c>
      <c r="D507" s="1" t="str">
        <f>"0595-64-7300  "</f>
        <v xml:space="preserve">0595-64-7300  </v>
      </c>
    </row>
    <row r="508" spans="1:4" x14ac:dyDescent="0.55000000000000004">
      <c r="A508" s="4">
        <v>2411305481</v>
      </c>
      <c r="B508" s="1" t="s">
        <v>982</v>
      </c>
      <c r="C508" s="1" t="str">
        <f>"名張市鴻之台3-34"</f>
        <v>名張市鴻之台3-34</v>
      </c>
      <c r="D508" s="1" t="str">
        <f>"0595-63-1133  "</f>
        <v xml:space="preserve">0595-63-1133  </v>
      </c>
    </row>
    <row r="509" spans="1:4" x14ac:dyDescent="0.55000000000000004">
      <c r="A509" s="4">
        <v>2411305499</v>
      </c>
      <c r="B509" s="1" t="s">
        <v>983</v>
      </c>
      <c r="C509" s="1" t="s">
        <v>984</v>
      </c>
      <c r="D509" s="1" t="str">
        <f>"0595-66-1190  "</f>
        <v xml:space="preserve">0595-66-1190  </v>
      </c>
    </row>
    <row r="510" spans="1:4" x14ac:dyDescent="0.55000000000000004">
      <c r="A510" s="4">
        <v>2431300306</v>
      </c>
      <c r="B510" s="1" t="s">
        <v>1243</v>
      </c>
      <c r="C510" s="1" t="str">
        <f>"名張市西原町2613-7"</f>
        <v>名張市西原町2613-7</v>
      </c>
      <c r="D510" s="1" t="str">
        <f>"0595-65-0131  "</f>
        <v xml:space="preserve">0595-65-0131  </v>
      </c>
    </row>
    <row r="511" spans="1:4" x14ac:dyDescent="0.55000000000000004">
      <c r="A511" s="4">
        <v>2431300587</v>
      </c>
      <c r="B511" s="1" t="s">
        <v>1244</v>
      </c>
      <c r="C511" s="1" t="str">
        <f>"名張市美旗町中1-1877-36"</f>
        <v>名張市美旗町中1-1877-36</v>
      </c>
      <c r="D511" s="1" t="str">
        <f>"0595-65-7727  "</f>
        <v xml:space="preserve">0595-65-7727  </v>
      </c>
    </row>
    <row r="512" spans="1:4" x14ac:dyDescent="0.55000000000000004">
      <c r="A512" s="4">
        <v>2431305107</v>
      </c>
      <c r="B512" s="1" t="s">
        <v>1245</v>
      </c>
      <c r="C512" s="1" t="s">
        <v>2988</v>
      </c>
      <c r="D512" s="1" t="str">
        <f>"0595-68-8708  "</f>
        <v xml:space="preserve">0595-68-8708  </v>
      </c>
    </row>
    <row r="513" spans="1:4" x14ac:dyDescent="0.55000000000000004">
      <c r="A513" s="4">
        <v>2431305123</v>
      </c>
      <c r="B513" s="1" t="s">
        <v>1246</v>
      </c>
      <c r="C513" s="1" t="str">
        <f>"名張市美旗中村2339-2"</f>
        <v>名張市美旗中村2339-2</v>
      </c>
      <c r="D513" s="1" t="str">
        <f>"0595-65-4182  "</f>
        <v xml:space="preserve">0595-65-4182  </v>
      </c>
    </row>
    <row r="514" spans="1:4" x14ac:dyDescent="0.55000000000000004">
      <c r="A514" s="4" t="s">
        <v>2631</v>
      </c>
      <c r="B514" s="1" t="s">
        <v>2632</v>
      </c>
      <c r="C514" s="1" t="s">
        <v>2903</v>
      </c>
      <c r="D514" s="1" t="str">
        <f>"0595-63-9001  "</f>
        <v xml:space="preserve">0595-63-9001  </v>
      </c>
    </row>
    <row r="515" spans="1:4" x14ac:dyDescent="0.55000000000000004">
      <c r="A515" s="4">
        <v>2411200666</v>
      </c>
      <c r="B515" s="1" t="s">
        <v>890</v>
      </c>
      <c r="C515" s="1" t="str">
        <f>"伊賀市西明寺2785-8"</f>
        <v>伊賀市西明寺2785-8</v>
      </c>
      <c r="D515" s="1" t="str">
        <f>"0595-21-3101  "</f>
        <v xml:space="preserve">0595-21-3101  </v>
      </c>
    </row>
    <row r="516" spans="1:4" x14ac:dyDescent="0.55000000000000004">
      <c r="A516" s="4">
        <v>2411200781</v>
      </c>
      <c r="B516" s="1" t="s">
        <v>891</v>
      </c>
      <c r="C516" s="1" t="str">
        <f>"伊賀市上野愛宕町1940-2"</f>
        <v>伊賀市上野愛宕町1940-2</v>
      </c>
      <c r="D516" s="1" t="str">
        <f>"0595-21-4528  "</f>
        <v xml:space="preserve">0595-21-4528  </v>
      </c>
    </row>
    <row r="517" spans="1:4" x14ac:dyDescent="0.55000000000000004">
      <c r="A517" s="4">
        <v>2411200856</v>
      </c>
      <c r="B517" s="1" t="s">
        <v>892</v>
      </c>
      <c r="C517" s="1" t="str">
        <f>"伊賀市上野玄蕃町197-1"</f>
        <v>伊賀市上野玄蕃町197-1</v>
      </c>
      <c r="D517" s="1" t="str">
        <f>"0595-23-1111  "</f>
        <v xml:space="preserve">0595-23-1111  </v>
      </c>
    </row>
    <row r="518" spans="1:4" x14ac:dyDescent="0.55000000000000004">
      <c r="A518" s="4">
        <v>2411200898</v>
      </c>
      <c r="B518" s="1" t="s">
        <v>894</v>
      </c>
      <c r="C518" s="1" t="str">
        <f>"伊賀市阿保133-1"</f>
        <v>伊賀市阿保133-1</v>
      </c>
      <c r="D518" s="1" t="str">
        <f>"0595-52-5588  "</f>
        <v xml:space="preserve">0595-52-5588  </v>
      </c>
    </row>
    <row r="519" spans="1:4" x14ac:dyDescent="0.55000000000000004">
      <c r="A519" s="4">
        <v>2411200922</v>
      </c>
      <c r="B519" s="1" t="s">
        <v>895</v>
      </c>
      <c r="C519" s="1" t="s">
        <v>2881</v>
      </c>
      <c r="D519" s="1" t="str">
        <f>"0595-26-0707  "</f>
        <v xml:space="preserve">0595-26-0707  </v>
      </c>
    </row>
    <row r="520" spans="1:4" x14ac:dyDescent="0.55000000000000004">
      <c r="A520" s="4">
        <v>2411200955</v>
      </c>
      <c r="B520" s="1" t="s">
        <v>896</v>
      </c>
      <c r="C520" s="1" t="s">
        <v>2882</v>
      </c>
      <c r="D520" s="1" t="str">
        <f>"0595-26-0333  "</f>
        <v xml:space="preserve">0595-26-0333  </v>
      </c>
    </row>
    <row r="521" spans="1:4" x14ac:dyDescent="0.55000000000000004">
      <c r="A521" s="4">
        <v>2411200963</v>
      </c>
      <c r="B521" s="1" t="s">
        <v>897</v>
      </c>
      <c r="C521" s="1" t="s">
        <v>2883</v>
      </c>
      <c r="D521" s="1" t="str">
        <f>"0595-37-0114  "</f>
        <v xml:space="preserve">0595-37-0114  </v>
      </c>
    </row>
    <row r="522" spans="1:4" x14ac:dyDescent="0.55000000000000004">
      <c r="A522" s="4">
        <v>2411201037</v>
      </c>
      <c r="B522" s="1" t="s">
        <v>898</v>
      </c>
      <c r="C522" s="1" t="str">
        <f>"伊賀市服部町2丁目90-2"</f>
        <v>伊賀市服部町2丁目90-2</v>
      </c>
      <c r="D522" s="1" t="str">
        <f>"0595-44-6516  "</f>
        <v xml:space="preserve">0595-44-6516  </v>
      </c>
    </row>
    <row r="523" spans="1:4" x14ac:dyDescent="0.55000000000000004">
      <c r="A523" s="4">
        <v>2411201060</v>
      </c>
      <c r="B523" s="1" t="s">
        <v>899</v>
      </c>
      <c r="C523" s="1" t="s">
        <v>900</v>
      </c>
      <c r="D523" s="1" t="str">
        <f>"0595-59-2019  "</f>
        <v xml:space="preserve">0595-59-2019  </v>
      </c>
    </row>
    <row r="524" spans="1:4" x14ac:dyDescent="0.55000000000000004">
      <c r="A524" s="4">
        <v>2411201078</v>
      </c>
      <c r="B524" s="1" t="s">
        <v>893</v>
      </c>
      <c r="C524" s="1" t="s">
        <v>2884</v>
      </c>
      <c r="D524" s="1" t="str">
        <f>"0595-52-0017  "</f>
        <v xml:space="preserve">0595-52-0017  </v>
      </c>
    </row>
    <row r="525" spans="1:4" x14ac:dyDescent="0.55000000000000004">
      <c r="A525" s="4">
        <v>2411201086</v>
      </c>
      <c r="B525" s="1" t="s">
        <v>901</v>
      </c>
      <c r="C525" s="1" t="s">
        <v>2885</v>
      </c>
      <c r="D525" s="1" t="str">
        <f>"0595-21-3100  "</f>
        <v xml:space="preserve">0595-21-3100  </v>
      </c>
    </row>
    <row r="526" spans="1:4" x14ac:dyDescent="0.55000000000000004">
      <c r="A526" s="4">
        <v>2411201094</v>
      </c>
      <c r="B526" s="1" t="s">
        <v>902</v>
      </c>
      <c r="C526" s="1" t="s">
        <v>2886</v>
      </c>
      <c r="D526" s="1" t="str">
        <f>"0595-22-2233  "</f>
        <v xml:space="preserve">0595-22-2233  </v>
      </c>
    </row>
    <row r="527" spans="1:4" x14ac:dyDescent="0.55000000000000004">
      <c r="A527" s="4">
        <v>2411201102</v>
      </c>
      <c r="B527" s="1" t="s">
        <v>903</v>
      </c>
      <c r="C527" s="1" t="str">
        <f>"伊賀市服部町1172-5"</f>
        <v>伊賀市服部町1172-5</v>
      </c>
      <c r="D527" s="1" t="str">
        <f>"0595-23-1010  "</f>
        <v xml:space="preserve">0595-23-1010  </v>
      </c>
    </row>
    <row r="528" spans="1:4" x14ac:dyDescent="0.55000000000000004">
      <c r="A528" s="4">
        <v>2411205186</v>
      </c>
      <c r="B528" s="1" t="s">
        <v>904</v>
      </c>
      <c r="C528" s="1" t="s">
        <v>905</v>
      </c>
      <c r="D528" s="1" t="str">
        <f>"0595-21-3135  "</f>
        <v xml:space="preserve">0595-21-3135  </v>
      </c>
    </row>
    <row r="529" spans="1:4" x14ac:dyDescent="0.55000000000000004">
      <c r="A529" s="4">
        <v>2411205194</v>
      </c>
      <c r="B529" s="1" t="s">
        <v>906</v>
      </c>
      <c r="C529" s="1" t="str">
        <f>"伊賀市上野忍町2516-7"</f>
        <v>伊賀市上野忍町2516-7</v>
      </c>
      <c r="D529" s="1" t="str">
        <f>"0595-21-2425  "</f>
        <v xml:space="preserve">0595-21-2425  </v>
      </c>
    </row>
    <row r="530" spans="1:4" x14ac:dyDescent="0.55000000000000004">
      <c r="A530" s="4">
        <v>2411205244</v>
      </c>
      <c r="B530" s="1" t="s">
        <v>907</v>
      </c>
      <c r="C530" s="1" t="s">
        <v>908</v>
      </c>
      <c r="D530" s="1" t="str">
        <f>"0595-24-1111  "</f>
        <v xml:space="preserve">0595-24-1111  </v>
      </c>
    </row>
    <row r="531" spans="1:4" x14ac:dyDescent="0.55000000000000004">
      <c r="A531" s="4">
        <v>2411205293</v>
      </c>
      <c r="B531" s="1" t="s">
        <v>909</v>
      </c>
      <c r="C531" s="1" t="s">
        <v>2887</v>
      </c>
      <c r="D531" s="1" t="str">
        <f>"0595-36-2550  "</f>
        <v xml:space="preserve">0595-36-2550  </v>
      </c>
    </row>
    <row r="532" spans="1:4" x14ac:dyDescent="0.55000000000000004">
      <c r="A532" s="4">
        <v>2411205319</v>
      </c>
      <c r="B532" s="1" t="s">
        <v>910</v>
      </c>
      <c r="C532" s="1" t="s">
        <v>911</v>
      </c>
      <c r="D532" s="1" t="str">
        <f>"0595-23-5553  "</f>
        <v xml:space="preserve">0595-23-5553  </v>
      </c>
    </row>
    <row r="533" spans="1:4" x14ac:dyDescent="0.55000000000000004">
      <c r="A533" s="4">
        <v>2411205335</v>
      </c>
      <c r="B533" s="1" t="s">
        <v>912</v>
      </c>
      <c r="C533" s="1" t="str">
        <f>"伊賀市平野中川原557-3"</f>
        <v>伊賀市平野中川原557-3</v>
      </c>
      <c r="D533" s="1" t="str">
        <f>"0595-22-2300  "</f>
        <v xml:space="preserve">0595-22-2300  </v>
      </c>
    </row>
    <row r="534" spans="1:4" x14ac:dyDescent="0.55000000000000004">
      <c r="A534" s="4">
        <v>2411205368</v>
      </c>
      <c r="B534" s="1" t="s">
        <v>913</v>
      </c>
      <c r="C534" s="1" t="s">
        <v>2888</v>
      </c>
      <c r="D534" s="1" t="str">
        <f>"0595-26-2960  "</f>
        <v xml:space="preserve">0595-26-2960  </v>
      </c>
    </row>
    <row r="535" spans="1:4" x14ac:dyDescent="0.55000000000000004">
      <c r="A535" s="4">
        <v>2411205376</v>
      </c>
      <c r="B535" s="1" t="s">
        <v>914</v>
      </c>
      <c r="C535" s="1" t="s">
        <v>2889</v>
      </c>
      <c r="D535" s="1" t="str">
        <f>"0595-23-0718  "</f>
        <v xml:space="preserve">0595-23-0718  </v>
      </c>
    </row>
    <row r="536" spans="1:4" x14ac:dyDescent="0.55000000000000004">
      <c r="A536" s="4">
        <v>2411205384</v>
      </c>
      <c r="B536" s="1" t="s">
        <v>915</v>
      </c>
      <c r="C536" s="1" t="s">
        <v>2890</v>
      </c>
      <c r="D536" s="1" t="str">
        <f>"0595-21-6500  "</f>
        <v xml:space="preserve">0595-21-6500  </v>
      </c>
    </row>
    <row r="537" spans="1:4" x14ac:dyDescent="0.55000000000000004">
      <c r="A537" s="4">
        <v>2411205392</v>
      </c>
      <c r="B537" s="1" t="s">
        <v>916</v>
      </c>
      <c r="C537" s="1" t="s">
        <v>2891</v>
      </c>
      <c r="D537" s="1" t="str">
        <f>"0595-24-4112  "</f>
        <v xml:space="preserve">0595-24-4112  </v>
      </c>
    </row>
    <row r="538" spans="1:4" x14ac:dyDescent="0.55000000000000004">
      <c r="A538" s="4">
        <v>2411205418</v>
      </c>
      <c r="B538" s="1" t="s">
        <v>917</v>
      </c>
      <c r="C538" s="1" t="s">
        <v>2892</v>
      </c>
      <c r="D538" s="1" t="str">
        <f>"0595-26-3737  "</f>
        <v xml:space="preserve">0595-26-3737  </v>
      </c>
    </row>
    <row r="539" spans="1:4" x14ac:dyDescent="0.55000000000000004">
      <c r="A539" s="4">
        <v>2411205426</v>
      </c>
      <c r="B539" s="1" t="s">
        <v>918</v>
      </c>
      <c r="C539" s="1" t="str">
        <f>"伊賀市柘植町2033-2"</f>
        <v>伊賀市柘植町2033-2</v>
      </c>
      <c r="D539" s="1" t="str">
        <f>"0595-45-5470  "</f>
        <v xml:space="preserve">0595-45-5470  </v>
      </c>
    </row>
    <row r="540" spans="1:4" x14ac:dyDescent="0.55000000000000004">
      <c r="A540" s="4">
        <v>2411205434</v>
      </c>
      <c r="B540" s="1" t="s">
        <v>919</v>
      </c>
      <c r="C540" s="1" t="s">
        <v>2893</v>
      </c>
      <c r="D540" s="1" t="str">
        <f>"0595-45-7788  "</f>
        <v xml:space="preserve">0595-45-7788  </v>
      </c>
    </row>
    <row r="541" spans="1:4" x14ac:dyDescent="0.55000000000000004">
      <c r="A541" s="4">
        <v>2411205442</v>
      </c>
      <c r="B541" s="1" t="s">
        <v>920</v>
      </c>
      <c r="C541" s="1" t="s">
        <v>921</v>
      </c>
      <c r="D541" s="1" t="str">
        <f>"0595-43-1511  "</f>
        <v xml:space="preserve">0595-43-1511  </v>
      </c>
    </row>
    <row r="542" spans="1:4" x14ac:dyDescent="0.55000000000000004">
      <c r="A542" s="4">
        <v>2411205459</v>
      </c>
      <c r="B542" s="1" t="s">
        <v>922</v>
      </c>
      <c r="C542" s="1" t="str">
        <f>"伊賀市阿保1329-1"</f>
        <v>伊賀市阿保1329-1</v>
      </c>
      <c r="D542" s="1" t="str">
        <f>"0595-52-0500  "</f>
        <v xml:space="preserve">0595-52-0500  </v>
      </c>
    </row>
    <row r="543" spans="1:4" x14ac:dyDescent="0.55000000000000004">
      <c r="A543" s="4">
        <v>2411205483</v>
      </c>
      <c r="B543" s="1" t="s">
        <v>923</v>
      </c>
      <c r="C543" s="1" t="s">
        <v>2894</v>
      </c>
      <c r="D543" s="1" t="str">
        <f>"0595-48-0004  "</f>
        <v xml:space="preserve">0595-48-0004  </v>
      </c>
    </row>
    <row r="544" spans="1:4" x14ac:dyDescent="0.55000000000000004">
      <c r="A544" s="4">
        <v>2411205517</v>
      </c>
      <c r="B544" s="1" t="s">
        <v>924</v>
      </c>
      <c r="C544" s="1" t="s">
        <v>2895</v>
      </c>
      <c r="D544" s="1" t="str">
        <f>"0595-23-3330  "</f>
        <v xml:space="preserve">0595-23-3330  </v>
      </c>
    </row>
    <row r="545" spans="1:4" x14ac:dyDescent="0.55000000000000004">
      <c r="A545" s="4">
        <v>2411205533</v>
      </c>
      <c r="B545" s="1" t="s">
        <v>925</v>
      </c>
      <c r="C545" s="1" t="s">
        <v>2896</v>
      </c>
      <c r="D545" s="1" t="str">
        <f>"0595-22-2121  "</f>
        <v xml:space="preserve">0595-22-2121  </v>
      </c>
    </row>
    <row r="546" spans="1:4" x14ac:dyDescent="0.55000000000000004">
      <c r="A546" s="4">
        <v>2411205541</v>
      </c>
      <c r="B546" s="1" t="s">
        <v>926</v>
      </c>
      <c r="C546" s="1" t="s">
        <v>2897</v>
      </c>
      <c r="D546" s="1" t="str">
        <f>"0595-26-5533  "</f>
        <v xml:space="preserve">0595-26-5533  </v>
      </c>
    </row>
    <row r="547" spans="1:4" x14ac:dyDescent="0.55000000000000004">
      <c r="A547" s="4">
        <v>2411205558</v>
      </c>
      <c r="B547" s="1" t="s">
        <v>927</v>
      </c>
      <c r="C547" s="1" t="s">
        <v>2898</v>
      </c>
      <c r="D547" s="1" t="str">
        <f>"0595-21-3000  "</f>
        <v xml:space="preserve">0595-21-3000  </v>
      </c>
    </row>
    <row r="548" spans="1:4" x14ac:dyDescent="0.55000000000000004">
      <c r="A548" s="4">
        <v>2411205566</v>
      </c>
      <c r="B548" s="1" t="s">
        <v>928</v>
      </c>
      <c r="C548" s="1" t="str">
        <f>"伊賀市上野茅町2666-1"</f>
        <v>伊賀市上野茅町2666-1</v>
      </c>
      <c r="D548" s="1" t="str">
        <f>"0595-26-5050  "</f>
        <v xml:space="preserve">0595-26-5050  </v>
      </c>
    </row>
    <row r="549" spans="1:4" x14ac:dyDescent="0.55000000000000004">
      <c r="A549" s="4">
        <v>2411205574</v>
      </c>
      <c r="B549" s="1" t="s">
        <v>929</v>
      </c>
      <c r="C549" s="1" t="str">
        <f>"伊賀市荒木534-2"</f>
        <v>伊賀市荒木534-2</v>
      </c>
      <c r="D549" s="1" t="str">
        <f>"0595-26-3750  "</f>
        <v xml:space="preserve">0595-26-3750  </v>
      </c>
    </row>
    <row r="550" spans="1:4" x14ac:dyDescent="0.55000000000000004">
      <c r="A550" s="4">
        <v>2411205582</v>
      </c>
      <c r="B550" s="1" t="s">
        <v>930</v>
      </c>
      <c r="C550" s="1" t="s">
        <v>931</v>
      </c>
      <c r="D550" s="1" t="str">
        <f>"0595-22-1187  "</f>
        <v xml:space="preserve">0595-22-1187  </v>
      </c>
    </row>
    <row r="551" spans="1:4" x14ac:dyDescent="0.55000000000000004">
      <c r="A551" s="4">
        <v>2411205590</v>
      </c>
      <c r="B551" s="1" t="s">
        <v>932</v>
      </c>
      <c r="C551" s="1" t="str">
        <f>"伊賀市ゆめが丘3-1-2"</f>
        <v>伊賀市ゆめが丘3-1-2</v>
      </c>
      <c r="D551" s="1" t="str">
        <f>"0595-26-0666  "</f>
        <v xml:space="preserve">0595-26-0666  </v>
      </c>
    </row>
    <row r="552" spans="1:4" x14ac:dyDescent="0.55000000000000004">
      <c r="A552" s="4">
        <v>2411205616</v>
      </c>
      <c r="B552" s="1" t="s">
        <v>933</v>
      </c>
      <c r="C552" s="1" t="s">
        <v>2899</v>
      </c>
      <c r="D552" s="1" t="str">
        <f>"0595-41-1192  "</f>
        <v xml:space="preserve">0595-41-1192  </v>
      </c>
    </row>
    <row r="553" spans="1:4" x14ac:dyDescent="0.55000000000000004">
      <c r="A553" s="4">
        <v>2411205624</v>
      </c>
      <c r="B553" s="1" t="s">
        <v>274</v>
      </c>
      <c r="C553" s="1" t="str">
        <f>"伊賀市桐ヶ丘3-325"</f>
        <v>伊賀市桐ヶ丘3-325</v>
      </c>
      <c r="D553" s="1" t="str">
        <f>"0595-52-2099  "</f>
        <v xml:space="preserve">0595-52-2099  </v>
      </c>
    </row>
    <row r="554" spans="1:4" x14ac:dyDescent="0.55000000000000004">
      <c r="A554" s="4">
        <v>2411205632</v>
      </c>
      <c r="B554" s="1" t="s">
        <v>934</v>
      </c>
      <c r="C554" s="1" t="s">
        <v>935</v>
      </c>
      <c r="D554" s="1" t="str">
        <f>"0595-22-1220  "</f>
        <v xml:space="preserve">0595-22-1220  </v>
      </c>
    </row>
    <row r="555" spans="1:4" x14ac:dyDescent="0.55000000000000004">
      <c r="A555" s="4">
        <v>2411205640</v>
      </c>
      <c r="B555" s="1" t="s">
        <v>936</v>
      </c>
      <c r="C555" s="1" t="s">
        <v>937</v>
      </c>
      <c r="D555" s="1" t="str">
        <f>"0595-42-8273  "</f>
        <v xml:space="preserve">0595-42-8273  </v>
      </c>
    </row>
    <row r="556" spans="1:4" x14ac:dyDescent="0.55000000000000004">
      <c r="A556" s="4">
        <v>2431200498</v>
      </c>
      <c r="B556" s="1" t="s">
        <v>1240</v>
      </c>
      <c r="C556" s="1" t="s">
        <v>2985</v>
      </c>
      <c r="D556" s="1" t="str">
        <f>"0595-21-0015  "</f>
        <v xml:space="preserve">0595-21-0015  </v>
      </c>
    </row>
    <row r="557" spans="1:4" x14ac:dyDescent="0.55000000000000004">
      <c r="A557" s="4">
        <v>2431200696</v>
      </c>
      <c r="B557" s="1" t="s">
        <v>1241</v>
      </c>
      <c r="C557" s="1" t="s">
        <v>2986</v>
      </c>
      <c r="D557" s="1" t="str">
        <f>"0595-21-0334  "</f>
        <v xml:space="preserve">0595-21-0334  </v>
      </c>
    </row>
    <row r="558" spans="1:4" x14ac:dyDescent="0.55000000000000004">
      <c r="A558" s="4">
        <v>2431205075</v>
      </c>
      <c r="B558" s="1" t="s">
        <v>1242</v>
      </c>
      <c r="C558" s="1" t="s">
        <v>2987</v>
      </c>
      <c r="D558" s="1" t="str">
        <f>"0595-21-1616  "</f>
        <v xml:space="preserve">0595-21-1616  </v>
      </c>
    </row>
    <row r="559" spans="1:4" x14ac:dyDescent="0.55000000000000004">
      <c r="A559" s="4">
        <v>2410501114</v>
      </c>
      <c r="B559" s="1" t="s">
        <v>415</v>
      </c>
      <c r="C559" s="1" t="str">
        <f>"津市岩田1-5"</f>
        <v>津市岩田1-5</v>
      </c>
      <c r="D559" s="1" t="str">
        <f>"059-226-2243  "</f>
        <v xml:space="preserve">059-226-2243  </v>
      </c>
    </row>
    <row r="560" spans="1:4" x14ac:dyDescent="0.55000000000000004">
      <c r="A560" s="4">
        <v>2410502294</v>
      </c>
      <c r="B560" s="1" t="s">
        <v>418</v>
      </c>
      <c r="C560" s="1" t="s">
        <v>2750</v>
      </c>
      <c r="D560" s="1" t="str">
        <f>"059-227-0649  "</f>
        <v xml:space="preserve">059-227-0649  </v>
      </c>
    </row>
    <row r="561" spans="1:4" x14ac:dyDescent="0.55000000000000004">
      <c r="A561" s="4">
        <v>2410502427</v>
      </c>
      <c r="B561" s="1" t="s">
        <v>419</v>
      </c>
      <c r="C561" s="1" t="s">
        <v>2751</v>
      </c>
      <c r="D561" s="1" t="str">
        <f>"059-228-3602  "</f>
        <v xml:space="preserve">059-228-3602  </v>
      </c>
    </row>
    <row r="562" spans="1:4" x14ac:dyDescent="0.55000000000000004">
      <c r="A562" s="4">
        <v>2410502443</v>
      </c>
      <c r="B562" s="1" t="s">
        <v>420</v>
      </c>
      <c r="C562" s="1" t="str">
        <f>"津市西丸之内12-3　サナダビル2階"</f>
        <v>津市西丸之内12-3　サナダビル2階</v>
      </c>
      <c r="D562" s="1" t="str">
        <f>"059-226-7731  "</f>
        <v xml:space="preserve">059-226-7731  </v>
      </c>
    </row>
    <row r="563" spans="1:4" x14ac:dyDescent="0.55000000000000004">
      <c r="A563" s="4">
        <v>2410502518</v>
      </c>
      <c r="B563" s="1" t="s">
        <v>421</v>
      </c>
      <c r="C563" s="1" t="s">
        <v>2752</v>
      </c>
      <c r="D563" s="1" t="str">
        <f>"059-235-2411  "</f>
        <v xml:space="preserve">059-235-2411  </v>
      </c>
    </row>
    <row r="564" spans="1:4" x14ac:dyDescent="0.55000000000000004">
      <c r="A564" s="4">
        <v>2410502567</v>
      </c>
      <c r="B564" s="1" t="s">
        <v>422</v>
      </c>
      <c r="C564" s="1" t="str">
        <f>"津市半田1481－2"</f>
        <v>津市半田1481－2</v>
      </c>
      <c r="D564" s="1" t="str">
        <f>"059-225-6488  "</f>
        <v xml:space="preserve">059-225-6488  </v>
      </c>
    </row>
    <row r="565" spans="1:4" x14ac:dyDescent="0.55000000000000004">
      <c r="A565" s="4">
        <v>2410502641</v>
      </c>
      <c r="B565" s="1" t="s">
        <v>423</v>
      </c>
      <c r="C565" s="1" t="str">
        <f>"津市観音寺町799-7　　TCCビル２階"</f>
        <v>津市観音寺町799-7　　TCCビル２階</v>
      </c>
      <c r="D565" s="1" t="str">
        <f>"059-229-5725  "</f>
        <v xml:space="preserve">059-229-5725  </v>
      </c>
    </row>
    <row r="566" spans="1:4" x14ac:dyDescent="0.55000000000000004">
      <c r="A566" s="4">
        <v>2410502658</v>
      </c>
      <c r="B566" s="1" t="s">
        <v>424</v>
      </c>
      <c r="C566" s="1" t="str">
        <f>"津市乙部5-3"</f>
        <v>津市乙部5-3</v>
      </c>
      <c r="D566" s="1" t="str">
        <f>"059-246-6771  "</f>
        <v xml:space="preserve">059-246-6771  </v>
      </c>
    </row>
    <row r="567" spans="1:4" x14ac:dyDescent="0.55000000000000004">
      <c r="A567" s="4">
        <v>2410502666</v>
      </c>
      <c r="B567" s="1" t="s">
        <v>425</v>
      </c>
      <c r="C567" s="1" t="str">
        <f>"津市一身田上津部田1336-8"</f>
        <v>津市一身田上津部田1336-8</v>
      </c>
      <c r="D567" s="1" t="str">
        <f>"059-222-7070  "</f>
        <v xml:space="preserve">059-222-7070  </v>
      </c>
    </row>
    <row r="568" spans="1:4" x14ac:dyDescent="0.55000000000000004">
      <c r="A568" s="4">
        <v>2410502682</v>
      </c>
      <c r="B568" s="1" t="s">
        <v>426</v>
      </c>
      <c r="C568" s="1" t="s">
        <v>2753</v>
      </c>
      <c r="D568" s="1" t="str">
        <f>"059-222-4133  "</f>
        <v xml:space="preserve">059-222-4133  </v>
      </c>
    </row>
    <row r="569" spans="1:4" x14ac:dyDescent="0.55000000000000004">
      <c r="A569" s="4">
        <v>2410502716</v>
      </c>
      <c r="B569" s="1" t="s">
        <v>427</v>
      </c>
      <c r="C569" s="1" t="str">
        <f>"津市乙部5-3　フェニックスメディカルセンタービル内"</f>
        <v>津市乙部5-3　フェニックスメディカルセンタービル内</v>
      </c>
      <c r="D569" s="1" t="str">
        <f>"059-227-5585  "</f>
        <v xml:space="preserve">059-227-5585  </v>
      </c>
    </row>
    <row r="570" spans="1:4" x14ac:dyDescent="0.55000000000000004">
      <c r="A570" s="4">
        <v>2410502757</v>
      </c>
      <c r="B570" s="1" t="s">
        <v>428</v>
      </c>
      <c r="C570" s="1" t="str">
        <f>"津市野田33-1"</f>
        <v>津市野田33-1</v>
      </c>
      <c r="D570" s="1" t="str">
        <f>"059-239-0200  "</f>
        <v xml:space="preserve">059-239-0200  </v>
      </c>
    </row>
    <row r="571" spans="1:4" x14ac:dyDescent="0.55000000000000004">
      <c r="A571" s="4">
        <v>2410502773</v>
      </c>
      <c r="B571" s="1" t="s">
        <v>429</v>
      </c>
      <c r="C571" s="1" t="str">
        <f>"津市大里窪田町1735-1"</f>
        <v>津市大里窪田町1735-1</v>
      </c>
      <c r="D571" s="1" t="str">
        <f>"059-232-2210  "</f>
        <v xml:space="preserve">059-232-2210  </v>
      </c>
    </row>
    <row r="572" spans="1:4" x14ac:dyDescent="0.55000000000000004">
      <c r="A572" s="4">
        <v>2410502831</v>
      </c>
      <c r="B572" s="1" t="s">
        <v>430</v>
      </c>
      <c r="C572" s="1" t="str">
        <f>"津市豊が丘5丁目47-7"</f>
        <v>津市豊が丘5丁目47-7</v>
      </c>
      <c r="D572" s="1" t="str">
        <f>"059-230-7373  "</f>
        <v xml:space="preserve">059-230-7373  </v>
      </c>
    </row>
    <row r="573" spans="1:4" x14ac:dyDescent="0.55000000000000004">
      <c r="A573" s="4">
        <v>2410502948</v>
      </c>
      <c r="B573" s="1" t="s">
        <v>431</v>
      </c>
      <c r="C573" s="1" t="s">
        <v>2754</v>
      </c>
      <c r="D573" s="1" t="str">
        <f>"059-238-2222  "</f>
        <v xml:space="preserve">059-238-2222  </v>
      </c>
    </row>
    <row r="574" spans="1:4" x14ac:dyDescent="0.55000000000000004">
      <c r="A574" s="4">
        <v>2410503052</v>
      </c>
      <c r="B574" s="1" t="s">
        <v>432</v>
      </c>
      <c r="C574" s="1" t="s">
        <v>2755</v>
      </c>
      <c r="D574" s="1" t="str">
        <f>"059-228-5498  "</f>
        <v xml:space="preserve">059-228-5498  </v>
      </c>
    </row>
    <row r="575" spans="1:4" x14ac:dyDescent="0.55000000000000004">
      <c r="A575" s="4">
        <v>2410503128</v>
      </c>
      <c r="B575" s="1" t="s">
        <v>433</v>
      </c>
      <c r="C575" s="1" t="s">
        <v>2756</v>
      </c>
      <c r="D575" s="1" t="str">
        <f>"059-238-2800  "</f>
        <v xml:space="preserve">059-238-2800  </v>
      </c>
    </row>
    <row r="576" spans="1:4" x14ac:dyDescent="0.55000000000000004">
      <c r="A576" s="4">
        <v>2410503144</v>
      </c>
      <c r="B576" s="1" t="s">
        <v>434</v>
      </c>
      <c r="C576" s="1" t="str">
        <f>"津市西丸之内38-11"</f>
        <v>津市西丸之内38-11</v>
      </c>
      <c r="D576" s="1" t="str">
        <f>"059-221-1000  "</f>
        <v xml:space="preserve">059-221-1000  </v>
      </c>
    </row>
    <row r="577" spans="1:4" x14ac:dyDescent="0.55000000000000004">
      <c r="A577" s="4">
        <v>2410503201</v>
      </c>
      <c r="B577" s="1" t="s">
        <v>435</v>
      </c>
      <c r="C577" s="1" t="str">
        <f>"津市幸町12-10"</f>
        <v>津市幸町12-10</v>
      </c>
      <c r="D577" s="1" t="str">
        <f>"059-221-2200  "</f>
        <v xml:space="preserve">059-221-2200  </v>
      </c>
    </row>
    <row r="578" spans="1:4" x14ac:dyDescent="0.55000000000000004">
      <c r="A578" s="4">
        <v>2410503219</v>
      </c>
      <c r="B578" s="1" t="s">
        <v>436</v>
      </c>
      <c r="C578" s="1" t="str">
        <f>"津市桜橋3丁目61-4"</f>
        <v>津市桜橋3丁目61-4</v>
      </c>
      <c r="D578" s="1" t="str">
        <f>"059-246-1000  "</f>
        <v xml:space="preserve">059-246-1000  </v>
      </c>
    </row>
    <row r="579" spans="1:4" x14ac:dyDescent="0.55000000000000004">
      <c r="A579" s="4">
        <v>2410503417</v>
      </c>
      <c r="B579" s="1" t="s">
        <v>438</v>
      </c>
      <c r="C579" s="1" t="str">
        <f>"津市久居東鷹跡町82-10"</f>
        <v>津市久居東鷹跡町82-10</v>
      </c>
      <c r="D579" s="1" t="str">
        <f>"059-255-2077  "</f>
        <v xml:space="preserve">059-255-2077  </v>
      </c>
    </row>
    <row r="580" spans="1:4" x14ac:dyDescent="0.55000000000000004">
      <c r="A580" s="4">
        <v>2410503441</v>
      </c>
      <c r="B580" s="1" t="s">
        <v>439</v>
      </c>
      <c r="C580" s="1" t="str">
        <f>"津市久居西鷹跡町475-3"</f>
        <v>津市久居西鷹跡町475-3</v>
      </c>
      <c r="D580" s="1" t="str">
        <f>"059-259-2001  "</f>
        <v xml:space="preserve">059-259-2001  </v>
      </c>
    </row>
    <row r="581" spans="1:4" x14ac:dyDescent="0.55000000000000004">
      <c r="A581" s="4">
        <v>2410503466</v>
      </c>
      <c r="B581" s="1" t="s">
        <v>440</v>
      </c>
      <c r="C581" s="1" t="s">
        <v>2757</v>
      </c>
      <c r="D581" s="1" t="str">
        <f>"059-255-5288  "</f>
        <v xml:space="preserve">059-255-5288  </v>
      </c>
    </row>
    <row r="582" spans="1:4" x14ac:dyDescent="0.55000000000000004">
      <c r="A582" s="4">
        <v>2410503482</v>
      </c>
      <c r="B582" s="1" t="s">
        <v>441</v>
      </c>
      <c r="C582" s="1" t="str">
        <f>"津市久居野村町600-21"</f>
        <v>津市久居野村町600-21</v>
      </c>
      <c r="D582" s="1" t="str">
        <f>"059-255-1115  "</f>
        <v xml:space="preserve">059-255-1115  </v>
      </c>
    </row>
    <row r="583" spans="1:4" x14ac:dyDescent="0.55000000000000004">
      <c r="A583" s="4">
        <v>2410503524</v>
      </c>
      <c r="B583" s="1" t="s">
        <v>442</v>
      </c>
      <c r="C583" s="1" t="s">
        <v>443</v>
      </c>
      <c r="D583" s="1" t="str">
        <f>"059-254-0001  "</f>
        <v xml:space="preserve">059-254-0001  </v>
      </c>
    </row>
    <row r="584" spans="1:4" x14ac:dyDescent="0.55000000000000004">
      <c r="A584" s="4">
        <v>2410503631</v>
      </c>
      <c r="B584" s="1" t="s">
        <v>444</v>
      </c>
      <c r="C584" s="1" t="str">
        <f>"津市河芸町上野3892-1"</f>
        <v>津市河芸町上野3892-1</v>
      </c>
      <c r="D584" s="1" t="str">
        <f>"059-244-1112  "</f>
        <v xml:space="preserve">059-244-1112  </v>
      </c>
    </row>
    <row r="585" spans="1:4" x14ac:dyDescent="0.55000000000000004">
      <c r="A585" s="4">
        <v>2410503649</v>
      </c>
      <c r="B585" s="1" t="s">
        <v>445</v>
      </c>
      <c r="C585" s="1" t="s">
        <v>2758</v>
      </c>
      <c r="D585" s="1" t="str">
        <f>"059-267-1211  "</f>
        <v xml:space="preserve">059-267-1211  </v>
      </c>
    </row>
    <row r="586" spans="1:4" x14ac:dyDescent="0.55000000000000004">
      <c r="A586" s="4">
        <v>2410503656</v>
      </c>
      <c r="B586" s="1" t="s">
        <v>446</v>
      </c>
      <c r="C586" s="1" t="str">
        <f>"津市美里町足坂165-2"</f>
        <v>津市美里町足坂165-2</v>
      </c>
      <c r="D586" s="1" t="str">
        <f>"059-279-5111  "</f>
        <v xml:space="preserve">059-279-5111  </v>
      </c>
    </row>
    <row r="587" spans="1:4" x14ac:dyDescent="0.55000000000000004">
      <c r="A587" s="4">
        <v>2410503672</v>
      </c>
      <c r="B587" s="1" t="s">
        <v>447</v>
      </c>
      <c r="C587" s="1" t="str">
        <f>"津市河芸町東千里260-3"</f>
        <v>津市河芸町東千里260-3</v>
      </c>
      <c r="D587" s="1" t="str">
        <f>"059-244-0880  "</f>
        <v xml:space="preserve">059-244-0880  </v>
      </c>
    </row>
    <row r="588" spans="1:4" x14ac:dyDescent="0.55000000000000004">
      <c r="A588" s="4">
        <v>2410503698</v>
      </c>
      <c r="B588" s="1" t="s">
        <v>448</v>
      </c>
      <c r="C588" s="1" t="str">
        <f>"津市芸濃町林190-2"</f>
        <v>津市芸濃町林190-2</v>
      </c>
      <c r="D588" s="1" t="str">
        <f>"059-265-2016  "</f>
        <v xml:space="preserve">059-265-2016  </v>
      </c>
    </row>
    <row r="589" spans="1:4" x14ac:dyDescent="0.55000000000000004">
      <c r="A589" s="4">
        <v>2410503888</v>
      </c>
      <c r="B589" s="1" t="s">
        <v>450</v>
      </c>
      <c r="C589" s="1" t="s">
        <v>451</v>
      </c>
      <c r="D589" s="1" t="str">
        <f>"059-293-0026  "</f>
        <v xml:space="preserve">059-293-0026  </v>
      </c>
    </row>
    <row r="590" spans="1:4" x14ac:dyDescent="0.55000000000000004">
      <c r="A590" s="4">
        <v>2410503912</v>
      </c>
      <c r="B590" s="1" t="s">
        <v>452</v>
      </c>
      <c r="C590" s="1" t="str">
        <f>"津市白山町川口49-1"</f>
        <v>津市白山町川口49-1</v>
      </c>
      <c r="D590" s="1" t="str">
        <f>"059-262-5175  "</f>
        <v xml:space="preserve">059-262-5175  </v>
      </c>
    </row>
    <row r="591" spans="1:4" x14ac:dyDescent="0.55000000000000004">
      <c r="A591" s="4">
        <v>2410503938</v>
      </c>
      <c r="B591" s="1" t="s">
        <v>453</v>
      </c>
      <c r="C591" s="1" t="str">
        <f>"津市野田字浜垣内36-10"</f>
        <v>津市野田字浜垣内36-10</v>
      </c>
      <c r="D591" s="1" t="str">
        <f>"059-239-1777  "</f>
        <v xml:space="preserve">059-239-1777  </v>
      </c>
    </row>
    <row r="592" spans="1:4" x14ac:dyDescent="0.55000000000000004">
      <c r="A592" s="4">
        <v>2410504019</v>
      </c>
      <c r="B592" s="1" t="s">
        <v>454</v>
      </c>
      <c r="C592" s="1" t="str">
        <f>"津市三重町津興433-87"</f>
        <v>津市三重町津興433-87</v>
      </c>
      <c r="D592" s="1" t="str">
        <f>"059-246-7771  "</f>
        <v xml:space="preserve">059-246-7771  </v>
      </c>
    </row>
    <row r="593" spans="1:4" x14ac:dyDescent="0.55000000000000004">
      <c r="A593" s="4">
        <v>2410504027</v>
      </c>
      <c r="B593" s="1" t="s">
        <v>455</v>
      </c>
      <c r="C593" s="1" t="str">
        <f>"津市安濃町川西51-5"</f>
        <v>津市安濃町川西51-5</v>
      </c>
      <c r="D593" s="1" t="str">
        <f>"059-268-2023  "</f>
        <v xml:space="preserve">059-268-2023  </v>
      </c>
    </row>
    <row r="594" spans="1:4" x14ac:dyDescent="0.55000000000000004">
      <c r="A594" s="4">
        <v>2410504043</v>
      </c>
      <c r="B594" s="1" t="s">
        <v>456</v>
      </c>
      <c r="C594" s="1" t="str">
        <f>"津市一志町小山1434-2"</f>
        <v>津市一志町小山1434-2</v>
      </c>
      <c r="D594" s="1" t="str">
        <f>"059-295-0005  "</f>
        <v xml:space="preserve">059-295-0005  </v>
      </c>
    </row>
    <row r="595" spans="1:4" x14ac:dyDescent="0.55000000000000004">
      <c r="A595" s="4">
        <v>2410504050</v>
      </c>
      <c r="B595" s="1" t="s">
        <v>457</v>
      </c>
      <c r="C595" s="1" t="str">
        <f>"津市久居明神町2089-1"</f>
        <v>津市久居明神町2089-1</v>
      </c>
      <c r="D595" s="1" t="str">
        <f>"059-254-0101  "</f>
        <v xml:space="preserve">059-254-0101  </v>
      </c>
    </row>
    <row r="596" spans="1:4" x14ac:dyDescent="0.55000000000000004">
      <c r="A596" s="4">
        <v>2410504076</v>
      </c>
      <c r="B596" s="1" t="s">
        <v>458</v>
      </c>
      <c r="C596" s="1" t="str">
        <f>"津市観音寺町799-7　TTC医療グループビル内"</f>
        <v>津市観音寺町799-7　TTC医療グループビル内</v>
      </c>
      <c r="D596" s="1" t="str">
        <f>"059-213-1001  "</f>
        <v xml:space="preserve">059-213-1001  </v>
      </c>
    </row>
    <row r="597" spans="1:4" x14ac:dyDescent="0.55000000000000004">
      <c r="A597" s="4">
        <v>2410504092</v>
      </c>
      <c r="B597" s="1" t="s">
        <v>459</v>
      </c>
      <c r="C597" s="1" t="s">
        <v>2759</v>
      </c>
      <c r="D597" s="1" t="str">
        <f>"059-222-7830  "</f>
        <v xml:space="preserve">059-222-7830  </v>
      </c>
    </row>
    <row r="598" spans="1:4" x14ac:dyDescent="0.55000000000000004">
      <c r="A598" s="4">
        <v>2410504100</v>
      </c>
      <c r="B598" s="1" t="s">
        <v>460</v>
      </c>
      <c r="C598" s="1" t="str">
        <f>"津市雲出本郷町131-83"</f>
        <v>津市雲出本郷町131-83</v>
      </c>
      <c r="D598" s="1" t="str">
        <f>"059-234-3344  "</f>
        <v xml:space="preserve">059-234-3344  </v>
      </c>
    </row>
    <row r="599" spans="1:4" x14ac:dyDescent="0.55000000000000004">
      <c r="A599" s="4">
        <v>2410504118</v>
      </c>
      <c r="B599" s="1" t="s">
        <v>461</v>
      </c>
      <c r="C599" s="1" t="str">
        <f>"津市長岡町3018-3"</f>
        <v>津市長岡町3018-3</v>
      </c>
      <c r="D599" s="1" t="str">
        <f>"059-213-5111  "</f>
        <v xml:space="preserve">059-213-5111  </v>
      </c>
    </row>
    <row r="600" spans="1:4" x14ac:dyDescent="0.55000000000000004">
      <c r="A600" s="4">
        <v>2410504126</v>
      </c>
      <c r="B600" s="1" t="s">
        <v>462</v>
      </c>
      <c r="C600" s="1" t="str">
        <f>"津市河芸町中別保314-1"</f>
        <v>津市河芸町中別保314-1</v>
      </c>
      <c r="D600" s="1" t="str">
        <f>"059-245-0024  "</f>
        <v xml:space="preserve">059-245-0024  </v>
      </c>
    </row>
    <row r="601" spans="1:4" x14ac:dyDescent="0.55000000000000004">
      <c r="A601" s="4">
        <v>2410504142</v>
      </c>
      <c r="B601" s="1" t="s">
        <v>463</v>
      </c>
      <c r="C601" s="1" t="s">
        <v>2760</v>
      </c>
      <c r="D601" s="1" t="str">
        <f>"059-293-4146  "</f>
        <v xml:space="preserve">059-293-4146  </v>
      </c>
    </row>
    <row r="602" spans="1:4" x14ac:dyDescent="0.55000000000000004">
      <c r="A602" s="4">
        <v>2410504191</v>
      </c>
      <c r="B602" s="1" t="s">
        <v>464</v>
      </c>
      <c r="C602" s="1" t="str">
        <f>"津市半田3431-5"</f>
        <v>津市半田3431-5</v>
      </c>
      <c r="D602" s="1" t="str">
        <f>"059-225-2597  "</f>
        <v xml:space="preserve">059-225-2597  </v>
      </c>
    </row>
    <row r="603" spans="1:4" x14ac:dyDescent="0.55000000000000004">
      <c r="A603" s="4">
        <v>2410504209</v>
      </c>
      <c r="B603" s="1" t="s">
        <v>465</v>
      </c>
      <c r="C603" s="1" t="str">
        <f>"津市久居射場町33-3"</f>
        <v>津市久居射場町33-3</v>
      </c>
      <c r="D603" s="1" t="str">
        <f>"059-256-6100  "</f>
        <v xml:space="preserve">059-256-6100  </v>
      </c>
    </row>
    <row r="604" spans="1:4" x14ac:dyDescent="0.55000000000000004">
      <c r="A604" s="4">
        <v>2410504225</v>
      </c>
      <c r="B604" s="1" t="s">
        <v>466</v>
      </c>
      <c r="C604" s="1" t="s">
        <v>2761</v>
      </c>
      <c r="D604" s="1" t="str">
        <f>"059-221-3000  "</f>
        <v xml:space="preserve">059-221-3000  </v>
      </c>
    </row>
    <row r="605" spans="1:4" x14ac:dyDescent="0.55000000000000004">
      <c r="A605" s="4">
        <v>2410504233</v>
      </c>
      <c r="B605" s="1" t="s">
        <v>467</v>
      </c>
      <c r="C605" s="1" t="s">
        <v>2762</v>
      </c>
      <c r="D605" s="1" t="str">
        <f>"059-226-2020  "</f>
        <v xml:space="preserve">059-226-2020  </v>
      </c>
    </row>
    <row r="606" spans="1:4" x14ac:dyDescent="0.55000000000000004">
      <c r="A606" s="4">
        <v>2410504266</v>
      </c>
      <c r="B606" s="1" t="s">
        <v>468</v>
      </c>
      <c r="C606" s="1" t="s">
        <v>2763</v>
      </c>
      <c r="D606" s="1" t="str">
        <f>"059-213-5005  "</f>
        <v xml:space="preserve">059-213-5005  </v>
      </c>
    </row>
    <row r="607" spans="1:4" x14ac:dyDescent="0.55000000000000004">
      <c r="A607" s="4">
        <v>2410504274</v>
      </c>
      <c r="B607" s="1" t="s">
        <v>469</v>
      </c>
      <c r="C607" s="1" t="str">
        <f>"津市豊が丘2丁目46-3"</f>
        <v>津市豊が丘2丁目46-3</v>
      </c>
      <c r="D607" s="1" t="str">
        <f>"059-230-1120  "</f>
        <v xml:space="preserve">059-230-1120  </v>
      </c>
    </row>
    <row r="608" spans="1:4" x14ac:dyDescent="0.55000000000000004">
      <c r="A608" s="4">
        <v>2410504282</v>
      </c>
      <c r="B608" s="1" t="s">
        <v>470</v>
      </c>
      <c r="C608" s="1" t="str">
        <f>"津市野田778-1"</f>
        <v>津市野田778-1</v>
      </c>
      <c r="D608" s="1" t="str">
        <f>"059-237-3378  "</f>
        <v xml:space="preserve">059-237-3378  </v>
      </c>
    </row>
    <row r="609" spans="1:4" x14ac:dyDescent="0.55000000000000004">
      <c r="A609" s="4">
        <v>2410504316</v>
      </c>
      <c r="B609" s="1" t="s">
        <v>471</v>
      </c>
      <c r="C609" s="1" t="s">
        <v>2764</v>
      </c>
      <c r="D609" s="1" t="str">
        <f>"059-225-1878  "</f>
        <v xml:space="preserve">059-225-1878  </v>
      </c>
    </row>
    <row r="610" spans="1:4" x14ac:dyDescent="0.55000000000000004">
      <c r="A610" s="4">
        <v>2410504399</v>
      </c>
      <c r="B610" s="1" t="s">
        <v>472</v>
      </c>
      <c r="C610" s="1" t="str">
        <f>"津市長岡町25-1"</f>
        <v>津市長岡町25-1</v>
      </c>
      <c r="D610" s="1" t="str">
        <f>"059-273-5577  "</f>
        <v xml:space="preserve">059-273-5577  </v>
      </c>
    </row>
    <row r="611" spans="1:4" x14ac:dyDescent="0.55000000000000004">
      <c r="A611" s="4">
        <v>2410504407</v>
      </c>
      <c r="B611" s="1" t="s">
        <v>473</v>
      </c>
      <c r="C611" s="1" t="s">
        <v>2765</v>
      </c>
      <c r="D611" s="1" t="str">
        <f>"059-228-6521  "</f>
        <v xml:space="preserve">059-228-6521  </v>
      </c>
    </row>
    <row r="612" spans="1:4" x14ac:dyDescent="0.55000000000000004">
      <c r="A612" s="4">
        <v>2410504423</v>
      </c>
      <c r="B612" s="1" t="s">
        <v>474</v>
      </c>
      <c r="C612" s="1" t="s">
        <v>2766</v>
      </c>
      <c r="D612" s="1" t="str">
        <f>"059-224-1661  "</f>
        <v xml:space="preserve">059-224-1661  </v>
      </c>
    </row>
    <row r="613" spans="1:4" x14ac:dyDescent="0.55000000000000004">
      <c r="A613" s="4">
        <v>2410504449</v>
      </c>
      <c r="B613" s="1" t="s">
        <v>475</v>
      </c>
      <c r="C613" s="1" t="s">
        <v>2767</v>
      </c>
      <c r="D613" s="1" t="str">
        <f>"059-271-8811  "</f>
        <v xml:space="preserve">059-271-8811  </v>
      </c>
    </row>
    <row r="614" spans="1:4" x14ac:dyDescent="0.55000000000000004">
      <c r="A614" s="4">
        <v>2410504464</v>
      </c>
      <c r="B614" s="1" t="s">
        <v>476</v>
      </c>
      <c r="C614" s="1" t="str">
        <f>"津市野田33-8"</f>
        <v>津市野田33-8</v>
      </c>
      <c r="D614" s="1" t="str">
        <f>"059-237-3366  "</f>
        <v xml:space="preserve">059-237-3366  </v>
      </c>
    </row>
    <row r="615" spans="1:4" x14ac:dyDescent="0.55000000000000004">
      <c r="A615" s="4">
        <v>2410504498</v>
      </c>
      <c r="B615" s="1" t="s">
        <v>477</v>
      </c>
      <c r="C615" s="1" t="str">
        <f>"津市高野尾町633-61"</f>
        <v>津市高野尾町633-61</v>
      </c>
      <c r="D615" s="1" t="str">
        <f>"059-230-8787  "</f>
        <v xml:space="preserve">059-230-8787  </v>
      </c>
    </row>
    <row r="616" spans="1:4" x14ac:dyDescent="0.55000000000000004">
      <c r="A616" s="4">
        <v>2410504514</v>
      </c>
      <c r="B616" s="1" t="s">
        <v>417</v>
      </c>
      <c r="C616" s="1" t="str">
        <f>"津市観音寺町445-15"</f>
        <v>津市観音寺町445-15</v>
      </c>
      <c r="D616" s="1" t="str">
        <f>"059-228-0100  "</f>
        <v xml:space="preserve">059-228-0100  </v>
      </c>
    </row>
    <row r="617" spans="1:4" x14ac:dyDescent="0.55000000000000004">
      <c r="A617" s="4">
        <v>2410504571</v>
      </c>
      <c r="B617" s="1" t="s">
        <v>478</v>
      </c>
      <c r="C617" s="1" t="s">
        <v>479</v>
      </c>
      <c r="D617" s="1" t="str">
        <f>"059-226-7770  "</f>
        <v xml:space="preserve">059-226-7770  </v>
      </c>
    </row>
    <row r="618" spans="1:4" x14ac:dyDescent="0.55000000000000004">
      <c r="A618" s="4">
        <v>2410504589</v>
      </c>
      <c r="B618" s="1" t="s">
        <v>416</v>
      </c>
      <c r="C618" s="1" t="s">
        <v>2768</v>
      </c>
      <c r="D618" s="1" t="str">
        <f>"059-226-8555  "</f>
        <v xml:space="preserve">059-226-8555  </v>
      </c>
    </row>
    <row r="619" spans="1:4" x14ac:dyDescent="0.55000000000000004">
      <c r="A619" s="4">
        <v>2410504613</v>
      </c>
      <c r="B619" s="1" t="s">
        <v>437</v>
      </c>
      <c r="C619" s="1" t="str">
        <f>"津市久居中町254-11"</f>
        <v>津市久居中町254-11</v>
      </c>
      <c r="D619" s="1" t="str">
        <f>"059-256-8855  "</f>
        <v xml:space="preserve">059-256-8855  </v>
      </c>
    </row>
    <row r="620" spans="1:4" x14ac:dyDescent="0.55000000000000004">
      <c r="A620" s="4">
        <v>2410504662</v>
      </c>
      <c r="B620" s="1" t="s">
        <v>480</v>
      </c>
      <c r="C620" s="1" t="s">
        <v>481</v>
      </c>
      <c r="D620" s="1" t="str">
        <f>"059-253-2767  "</f>
        <v xml:space="preserve">059-253-2767  </v>
      </c>
    </row>
    <row r="621" spans="1:4" x14ac:dyDescent="0.55000000000000004">
      <c r="A621" s="4">
        <v>2410504670</v>
      </c>
      <c r="B621" s="1" t="s">
        <v>482</v>
      </c>
      <c r="C621" s="1" t="s">
        <v>2769</v>
      </c>
      <c r="D621" s="1" t="str">
        <f>"059-273-6581  "</f>
        <v xml:space="preserve">059-273-6581  </v>
      </c>
    </row>
    <row r="622" spans="1:4" x14ac:dyDescent="0.55000000000000004">
      <c r="A622" s="4">
        <v>2410504696</v>
      </c>
      <c r="B622" s="1" t="s">
        <v>449</v>
      </c>
      <c r="C622" s="1" t="str">
        <f>"津市一志町田尻30-10"</f>
        <v>津市一志町田尻30-10</v>
      </c>
      <c r="D622" s="1" t="str">
        <f>"059-293-6260  "</f>
        <v xml:space="preserve">059-293-6260  </v>
      </c>
    </row>
    <row r="623" spans="1:4" x14ac:dyDescent="0.55000000000000004">
      <c r="A623" s="4">
        <v>2410504712</v>
      </c>
      <c r="B623" s="1" t="s">
        <v>483</v>
      </c>
      <c r="C623" s="1" t="str">
        <f>"津市半田平木202-5"</f>
        <v>津市半田平木202-5</v>
      </c>
      <c r="D623" s="1" t="str">
        <f>"059-229-7227  "</f>
        <v xml:space="preserve">059-229-7227  </v>
      </c>
    </row>
    <row r="624" spans="1:4" x14ac:dyDescent="0.55000000000000004">
      <c r="A624" s="4">
        <v>2410504720</v>
      </c>
      <c r="B624" s="1" t="s">
        <v>484</v>
      </c>
      <c r="C624" s="1" t="str">
        <f>"津市観音寺町445-13"</f>
        <v>津市観音寺町445-13</v>
      </c>
      <c r="D624" s="1" t="str">
        <f>"059-228-9100  "</f>
        <v xml:space="preserve">059-228-9100  </v>
      </c>
    </row>
    <row r="625" spans="1:4" x14ac:dyDescent="0.55000000000000004">
      <c r="A625" s="4">
        <v>2410504738</v>
      </c>
      <c r="B625" s="1" t="s">
        <v>485</v>
      </c>
      <c r="C625" s="1" t="s">
        <v>2770</v>
      </c>
      <c r="D625" s="1" t="str">
        <f>"059-256-7722  "</f>
        <v xml:space="preserve">059-256-7722  </v>
      </c>
    </row>
    <row r="626" spans="1:4" x14ac:dyDescent="0.55000000000000004">
      <c r="A626" s="4">
        <v>2410504746</v>
      </c>
      <c r="B626" s="1" t="s">
        <v>486</v>
      </c>
      <c r="C626" s="1" t="str">
        <f>"津市丸之内21-20"</f>
        <v>津市丸之内21-20</v>
      </c>
      <c r="D626" s="1" t="str">
        <f>"059-253-6311  "</f>
        <v xml:space="preserve">059-253-6311  </v>
      </c>
    </row>
    <row r="627" spans="1:4" x14ac:dyDescent="0.55000000000000004">
      <c r="A627" s="4">
        <v>2410504753</v>
      </c>
      <c r="B627" s="1" t="s">
        <v>487</v>
      </c>
      <c r="C627" s="1" t="str">
        <f>"津市久居新町2115-8"</f>
        <v>津市久居新町2115-8</v>
      </c>
      <c r="D627" s="1" t="str">
        <f>"059-255-1241  "</f>
        <v xml:space="preserve">059-255-1241  </v>
      </c>
    </row>
    <row r="628" spans="1:4" x14ac:dyDescent="0.55000000000000004">
      <c r="A628" s="4">
        <v>2410504779</v>
      </c>
      <c r="B628" s="1" t="s">
        <v>488</v>
      </c>
      <c r="C628" s="1" t="str">
        <f>"津市久居野村町872-2"</f>
        <v>津市久居野村町872-2</v>
      </c>
      <c r="D628" s="1" t="str">
        <f>"059-264-7920  "</f>
        <v xml:space="preserve">059-264-7920  </v>
      </c>
    </row>
    <row r="629" spans="1:4" x14ac:dyDescent="0.55000000000000004">
      <c r="A629" s="4">
        <v>2410504787</v>
      </c>
      <c r="B629" s="1" t="s">
        <v>489</v>
      </c>
      <c r="C629" s="1" t="str">
        <f>"津市高野尾町1897-74"</f>
        <v>津市高野尾町1897-74</v>
      </c>
      <c r="D629" s="1" t="str">
        <f>"059-271-8739  "</f>
        <v xml:space="preserve">059-271-8739  </v>
      </c>
    </row>
    <row r="630" spans="1:4" x14ac:dyDescent="0.55000000000000004">
      <c r="A630" s="4">
        <v>2410504795</v>
      </c>
      <c r="B630" s="1" t="s">
        <v>490</v>
      </c>
      <c r="C630" s="1" t="str">
        <f>"津市高野尾町1897-75"</f>
        <v>津市高野尾町1897-75</v>
      </c>
      <c r="D630" s="1" t="str">
        <f>"059-253-8733  "</f>
        <v xml:space="preserve">059-253-8733  </v>
      </c>
    </row>
    <row r="631" spans="1:4" x14ac:dyDescent="0.55000000000000004">
      <c r="A631" s="4">
        <v>2410504803</v>
      </c>
      <c r="B631" s="1" t="s">
        <v>491</v>
      </c>
      <c r="C631" s="1" t="str">
        <f>"津市一志町高野229－1"</f>
        <v>津市一志町高野229－1</v>
      </c>
      <c r="D631" s="1" t="str">
        <f>"059-293-3725  "</f>
        <v xml:space="preserve">059-293-3725  </v>
      </c>
    </row>
    <row r="632" spans="1:4" x14ac:dyDescent="0.55000000000000004">
      <c r="A632" s="4">
        <v>2410504811</v>
      </c>
      <c r="B632" s="1" t="s">
        <v>492</v>
      </c>
      <c r="C632" s="1" t="s">
        <v>493</v>
      </c>
      <c r="D632" s="1" t="str">
        <f>"059-222-7830  "</f>
        <v xml:space="preserve">059-222-7830  </v>
      </c>
    </row>
    <row r="633" spans="1:4" x14ac:dyDescent="0.55000000000000004">
      <c r="A633" s="4">
        <v>2410504829</v>
      </c>
      <c r="B633" s="1" t="s">
        <v>494</v>
      </c>
      <c r="C633" s="1" t="str">
        <f>"津市河芸町東千里110-1"</f>
        <v>津市河芸町東千里110-1</v>
      </c>
      <c r="D633" s="1" t="str">
        <f>"059-269-5510  "</f>
        <v xml:space="preserve">059-269-5510  </v>
      </c>
    </row>
    <row r="634" spans="1:4" x14ac:dyDescent="0.55000000000000004">
      <c r="A634" s="4">
        <v>2410504837</v>
      </c>
      <c r="B634" s="1" t="s">
        <v>495</v>
      </c>
      <c r="C634" s="1" t="str">
        <f>"津市河芸町西千里273-1"</f>
        <v>津市河芸町西千里273-1</v>
      </c>
      <c r="D634" s="1" t="str">
        <f>"059-244-1212  "</f>
        <v xml:space="preserve">059-244-1212  </v>
      </c>
    </row>
    <row r="635" spans="1:4" x14ac:dyDescent="0.55000000000000004">
      <c r="A635" s="4">
        <v>2410504845</v>
      </c>
      <c r="B635" s="1" t="s">
        <v>496</v>
      </c>
      <c r="C635" s="1" t="str">
        <f>"津市西丸之内5-9"</f>
        <v>津市西丸之内5-9</v>
      </c>
      <c r="D635" s="1" t="str">
        <f>"059-271-7710  "</f>
        <v xml:space="preserve">059-271-7710  </v>
      </c>
    </row>
    <row r="636" spans="1:4" x14ac:dyDescent="0.55000000000000004">
      <c r="A636" s="4">
        <v>2410504852</v>
      </c>
      <c r="B636" s="1" t="s">
        <v>497</v>
      </c>
      <c r="C636" s="1" t="str">
        <f>"津市河芸町一色55-1"</f>
        <v>津市河芸町一色55-1</v>
      </c>
      <c r="D636" s="1" t="str">
        <f>"059-244-2500  "</f>
        <v xml:space="preserve">059-244-2500  </v>
      </c>
    </row>
    <row r="637" spans="1:4" x14ac:dyDescent="0.55000000000000004">
      <c r="A637" s="4">
        <v>2410504860</v>
      </c>
      <c r="B637" s="1" t="s">
        <v>498</v>
      </c>
      <c r="C637" s="1" t="str">
        <f>"津市一身田町485-1"</f>
        <v>津市一身田町485-1</v>
      </c>
      <c r="D637" s="1" t="str">
        <f>"059-236-6677  "</f>
        <v xml:space="preserve">059-236-6677  </v>
      </c>
    </row>
    <row r="638" spans="1:4" x14ac:dyDescent="0.55000000000000004">
      <c r="A638" s="4">
        <v>2410504886</v>
      </c>
      <c r="B638" s="1" t="s">
        <v>499</v>
      </c>
      <c r="C638" s="1" t="str">
        <f>"津市高茶屋小森町向山1717-4"</f>
        <v>津市高茶屋小森町向山1717-4</v>
      </c>
      <c r="D638" s="1" t="str">
        <f>"059-269-6187  "</f>
        <v xml:space="preserve">059-269-6187  </v>
      </c>
    </row>
    <row r="639" spans="1:4" x14ac:dyDescent="0.55000000000000004">
      <c r="A639" s="4">
        <v>2410504910</v>
      </c>
      <c r="B639" s="1" t="s">
        <v>500</v>
      </c>
      <c r="C639" s="1" t="s">
        <v>501</v>
      </c>
      <c r="D639" s="1" t="str">
        <f>"059-264-7775  "</f>
        <v xml:space="preserve">059-264-7775  </v>
      </c>
    </row>
    <row r="640" spans="1:4" x14ac:dyDescent="0.55000000000000004">
      <c r="A640" s="4">
        <v>2410504928</v>
      </c>
      <c r="B640" s="1" t="s">
        <v>502</v>
      </c>
      <c r="C640" s="1" t="str">
        <f>"津市久居小野辺町1130-7"</f>
        <v>津市久居小野辺町1130-7</v>
      </c>
      <c r="D640" s="1" t="str">
        <f>"059-271-7077  "</f>
        <v xml:space="preserve">059-271-7077  </v>
      </c>
    </row>
    <row r="641" spans="1:4" x14ac:dyDescent="0.55000000000000004">
      <c r="A641" s="4">
        <v>2410504936</v>
      </c>
      <c r="B641" s="1" t="s">
        <v>503</v>
      </c>
      <c r="C641" s="1" t="s">
        <v>504</v>
      </c>
      <c r="D641" s="1" t="str">
        <f>"059-253-7078  "</f>
        <v xml:space="preserve">059-253-7078  </v>
      </c>
    </row>
    <row r="642" spans="1:4" x14ac:dyDescent="0.55000000000000004">
      <c r="A642" s="4">
        <v>2410504944</v>
      </c>
      <c r="B642" s="1" t="s">
        <v>505</v>
      </c>
      <c r="C642" s="1" t="str">
        <f>"津市河芸町東千里260-3"</f>
        <v>津市河芸町東千里260-3</v>
      </c>
      <c r="D642" s="1" t="str">
        <f>"059-244-0880  "</f>
        <v xml:space="preserve">059-244-0880  </v>
      </c>
    </row>
    <row r="643" spans="1:4" x14ac:dyDescent="0.55000000000000004">
      <c r="A643" s="4">
        <v>2410504969</v>
      </c>
      <c r="B643" s="1" t="s">
        <v>506</v>
      </c>
      <c r="C643" s="1" t="str">
        <f>"津市河芸町一色60-1"</f>
        <v>津市河芸町一色60-1</v>
      </c>
      <c r="D643" s="1" t="str">
        <f>"059-269-7201  "</f>
        <v xml:space="preserve">059-269-7201  </v>
      </c>
    </row>
    <row r="644" spans="1:4" x14ac:dyDescent="0.55000000000000004">
      <c r="A644" s="4">
        <v>2410504977</v>
      </c>
      <c r="B644" s="1" t="s">
        <v>507</v>
      </c>
      <c r="C644" s="1" t="str">
        <f>"津市久居明神町2070-2"</f>
        <v>津市久居明神町2070-2</v>
      </c>
      <c r="D644" s="1" t="str">
        <f>"059-271-7170  "</f>
        <v xml:space="preserve">059-271-7170  </v>
      </c>
    </row>
    <row r="645" spans="1:4" x14ac:dyDescent="0.55000000000000004">
      <c r="A645" s="4">
        <v>2410504985</v>
      </c>
      <c r="B645" s="1" t="s">
        <v>508</v>
      </c>
      <c r="C645" s="1" t="str">
        <f>"津市白塚町3702-1"</f>
        <v>津市白塚町3702-1</v>
      </c>
      <c r="D645" s="1" t="str">
        <f>"059-253-6868  "</f>
        <v xml:space="preserve">059-253-6868  </v>
      </c>
    </row>
    <row r="646" spans="1:4" x14ac:dyDescent="0.55000000000000004">
      <c r="A646" s="4">
        <v>2410504993</v>
      </c>
      <c r="B646" s="1" t="s">
        <v>509</v>
      </c>
      <c r="C646" s="1" t="str">
        <f>"津市久居明神町1199-1"</f>
        <v>津市久居明神町1199-1</v>
      </c>
      <c r="D646" s="1" t="str">
        <f>"059-253-2730  "</f>
        <v xml:space="preserve">059-253-2730  </v>
      </c>
    </row>
    <row r="647" spans="1:4" x14ac:dyDescent="0.55000000000000004">
      <c r="A647" s="4">
        <v>2410505032</v>
      </c>
      <c r="B647" s="1" t="s">
        <v>510</v>
      </c>
      <c r="C647" s="1" t="s">
        <v>2771</v>
      </c>
      <c r="D647" s="1" t="str">
        <f>"059-235-2125  "</f>
        <v xml:space="preserve">059-235-2125  </v>
      </c>
    </row>
    <row r="648" spans="1:4" x14ac:dyDescent="0.55000000000000004">
      <c r="A648" s="4">
        <v>2410505065</v>
      </c>
      <c r="B648" s="1" t="s">
        <v>511</v>
      </c>
      <c r="C648" s="1" t="str">
        <f>"津市南新町17-22"</f>
        <v>津市南新町17-22</v>
      </c>
      <c r="D648" s="1" t="str">
        <f>"059-227-6171  "</f>
        <v xml:space="preserve">059-227-6171  </v>
      </c>
    </row>
    <row r="649" spans="1:4" x14ac:dyDescent="0.55000000000000004">
      <c r="A649" s="4">
        <v>2410505115</v>
      </c>
      <c r="B649" s="1" t="s">
        <v>512</v>
      </c>
      <c r="C649" s="1" t="str">
        <f>"津市西丸之内29-29"</f>
        <v>津市西丸之内29-29</v>
      </c>
      <c r="D649" s="1" t="str">
        <f>"059-228-5181  "</f>
        <v xml:space="preserve">059-228-5181  </v>
      </c>
    </row>
    <row r="650" spans="1:4" x14ac:dyDescent="0.55000000000000004">
      <c r="A650" s="4">
        <v>2410505123</v>
      </c>
      <c r="B650" s="1" t="s">
        <v>513</v>
      </c>
      <c r="C650" s="1" t="str">
        <f>"津市一色町215-1"</f>
        <v>津市一色町215-1</v>
      </c>
      <c r="D650" s="1" t="str">
        <f>"059-226-1111  "</f>
        <v xml:space="preserve">059-226-1111  </v>
      </c>
    </row>
    <row r="651" spans="1:4" x14ac:dyDescent="0.55000000000000004">
      <c r="A651" s="4">
        <v>2410505131</v>
      </c>
      <c r="B651" s="1" t="s">
        <v>514</v>
      </c>
      <c r="C651" s="1" t="s">
        <v>2772</v>
      </c>
      <c r="D651" s="1" t="str">
        <f>"059-232-2316  "</f>
        <v xml:space="preserve">059-232-2316  </v>
      </c>
    </row>
    <row r="652" spans="1:4" x14ac:dyDescent="0.55000000000000004">
      <c r="A652" s="4">
        <v>2410505222</v>
      </c>
      <c r="B652" s="1" t="s">
        <v>515</v>
      </c>
      <c r="C652" s="1" t="str">
        <f>"津市高茶屋5丁目11-48"</f>
        <v>津市高茶屋5丁目11-48</v>
      </c>
      <c r="D652" s="1" t="str">
        <f>"059-234-5384  "</f>
        <v xml:space="preserve">059-234-5384  </v>
      </c>
    </row>
    <row r="653" spans="1:4" x14ac:dyDescent="0.55000000000000004">
      <c r="A653" s="4">
        <v>2410505263</v>
      </c>
      <c r="B653" s="1" t="s">
        <v>516</v>
      </c>
      <c r="C653" s="1" t="str">
        <f>"津市寿町16-24"</f>
        <v>津市寿町16-24</v>
      </c>
      <c r="D653" s="1" t="str">
        <f>"059-225-2848  "</f>
        <v xml:space="preserve">059-225-2848  </v>
      </c>
    </row>
    <row r="654" spans="1:4" x14ac:dyDescent="0.55000000000000004">
      <c r="A654" s="4">
        <v>2410505297</v>
      </c>
      <c r="B654" s="1" t="s">
        <v>517</v>
      </c>
      <c r="C654" s="1" t="str">
        <f>"津市栗真中山町下沢79-5"</f>
        <v>津市栗真中山町下沢79-5</v>
      </c>
      <c r="D654" s="1" t="str">
        <f>"059-232-3001  "</f>
        <v xml:space="preserve">059-232-3001  </v>
      </c>
    </row>
    <row r="655" spans="1:4" x14ac:dyDescent="0.55000000000000004">
      <c r="A655" s="4">
        <v>2410505313</v>
      </c>
      <c r="B655" s="1" t="s">
        <v>518</v>
      </c>
      <c r="C655" s="1" t="s">
        <v>2773</v>
      </c>
      <c r="D655" s="1" t="str">
        <f>"059-227-6712  "</f>
        <v xml:space="preserve">059-227-6712  </v>
      </c>
    </row>
    <row r="656" spans="1:4" x14ac:dyDescent="0.55000000000000004">
      <c r="A656" s="4">
        <v>2410505321</v>
      </c>
      <c r="B656" s="1" t="s">
        <v>519</v>
      </c>
      <c r="C656" s="1" t="str">
        <f>"津市白塚町口起3568-4"</f>
        <v>津市白塚町口起3568-4</v>
      </c>
      <c r="D656" s="1" t="str">
        <f>"059-232-0749  "</f>
        <v xml:space="preserve">059-232-0749  </v>
      </c>
    </row>
    <row r="657" spans="1:4" x14ac:dyDescent="0.55000000000000004">
      <c r="A657" s="4">
        <v>2410505339</v>
      </c>
      <c r="B657" s="1" t="s">
        <v>520</v>
      </c>
      <c r="C657" s="1" t="s">
        <v>521</v>
      </c>
      <c r="D657" s="1" t="str">
        <f>"059-253-2000  "</f>
        <v xml:space="preserve">059-253-2000  </v>
      </c>
    </row>
    <row r="658" spans="1:4" x14ac:dyDescent="0.55000000000000004">
      <c r="A658" s="4">
        <v>2410505347</v>
      </c>
      <c r="B658" s="1" t="s">
        <v>522</v>
      </c>
      <c r="C658" s="1" t="s">
        <v>2774</v>
      </c>
      <c r="D658" s="1" t="str">
        <f>"059-231-0155  "</f>
        <v xml:space="preserve">059-231-0155  </v>
      </c>
    </row>
    <row r="659" spans="1:4" x14ac:dyDescent="0.55000000000000004">
      <c r="A659" s="4">
        <v>2410505362</v>
      </c>
      <c r="B659" s="1" t="s">
        <v>523</v>
      </c>
      <c r="C659" s="1" t="s">
        <v>2775</v>
      </c>
      <c r="D659" s="1" t="str">
        <f>"059-232-2216  "</f>
        <v xml:space="preserve">059-232-2216  </v>
      </c>
    </row>
    <row r="660" spans="1:4" x14ac:dyDescent="0.55000000000000004">
      <c r="A660" s="4">
        <v>2410505388</v>
      </c>
      <c r="B660" s="1" t="s">
        <v>524</v>
      </c>
      <c r="C660" s="1" t="str">
        <f>"津市新町一丁目10-19"</f>
        <v>津市新町一丁目10-19</v>
      </c>
      <c r="D660" s="1" t="str">
        <f>"059-226-5512  "</f>
        <v xml:space="preserve">059-226-5512  </v>
      </c>
    </row>
    <row r="661" spans="1:4" x14ac:dyDescent="0.55000000000000004">
      <c r="A661" s="4">
        <v>2410505396</v>
      </c>
      <c r="B661" s="1" t="s">
        <v>525</v>
      </c>
      <c r="C661" s="1" t="s">
        <v>2776</v>
      </c>
      <c r="D661" s="1" t="str">
        <f>"059-224-9900  "</f>
        <v xml:space="preserve">059-224-9900  </v>
      </c>
    </row>
    <row r="662" spans="1:4" x14ac:dyDescent="0.55000000000000004">
      <c r="A662" s="4">
        <v>2410505446</v>
      </c>
      <c r="B662" s="1" t="s">
        <v>526</v>
      </c>
      <c r="C662" s="1" t="str">
        <f>"津市南中央5-11"</f>
        <v>津市南中央5-11</v>
      </c>
      <c r="D662" s="1" t="str">
        <f>"059-228-9856  "</f>
        <v xml:space="preserve">059-228-9856  </v>
      </c>
    </row>
    <row r="663" spans="1:4" x14ac:dyDescent="0.55000000000000004">
      <c r="A663" s="4">
        <v>2410505453</v>
      </c>
      <c r="B663" s="1" t="s">
        <v>527</v>
      </c>
      <c r="C663" s="1" t="str">
        <f>"津市藤方1590-1"</f>
        <v>津市藤方1590-1</v>
      </c>
      <c r="D663" s="1" t="str">
        <f>"059-221-5001  "</f>
        <v xml:space="preserve">059-221-5001  </v>
      </c>
    </row>
    <row r="664" spans="1:4" x14ac:dyDescent="0.55000000000000004">
      <c r="A664" s="4">
        <v>2410505503</v>
      </c>
      <c r="B664" s="1" t="s">
        <v>528</v>
      </c>
      <c r="C664" s="1" t="str">
        <f>"津市雲出本郷町1400-1"</f>
        <v>津市雲出本郷町1400-1</v>
      </c>
      <c r="D664" s="1" t="str">
        <f>"059-234-3838  "</f>
        <v xml:space="preserve">059-234-3838  </v>
      </c>
    </row>
    <row r="665" spans="1:4" x14ac:dyDescent="0.55000000000000004">
      <c r="A665" s="4">
        <v>2410505552</v>
      </c>
      <c r="B665" s="1" t="s">
        <v>529</v>
      </c>
      <c r="C665" s="1" t="str">
        <f>"津市八町２丁目15-9"</f>
        <v>津市八町２丁目15-9</v>
      </c>
      <c r="D665" s="1" t="str">
        <f>"059-223-3211  "</f>
        <v xml:space="preserve">059-223-3211  </v>
      </c>
    </row>
    <row r="666" spans="1:4" x14ac:dyDescent="0.55000000000000004">
      <c r="A666" s="4">
        <v>2410505560</v>
      </c>
      <c r="B666" s="1" t="s">
        <v>530</v>
      </c>
      <c r="C666" s="1" t="s">
        <v>2777</v>
      </c>
      <c r="D666" s="1" t="str">
        <f>"059-225-6161  "</f>
        <v xml:space="preserve">059-225-6161  </v>
      </c>
    </row>
    <row r="667" spans="1:4" x14ac:dyDescent="0.55000000000000004">
      <c r="A667" s="4">
        <v>2410505578</v>
      </c>
      <c r="B667" s="1" t="s">
        <v>531</v>
      </c>
      <c r="C667" s="1" t="str">
        <f>"津市一身田上津部田1504-16"</f>
        <v>津市一身田上津部田1504-16</v>
      </c>
      <c r="D667" s="1" t="str">
        <f>"059-231-2121  "</f>
        <v xml:space="preserve">059-231-2121  </v>
      </c>
    </row>
    <row r="668" spans="1:4" x14ac:dyDescent="0.55000000000000004">
      <c r="A668" s="4">
        <v>2410505594</v>
      </c>
      <c r="B668" s="1" t="s">
        <v>532</v>
      </c>
      <c r="C668" s="1" t="s">
        <v>533</v>
      </c>
      <c r="D668" s="1" t="str">
        <f>"059-227-5585  "</f>
        <v xml:space="preserve">059-227-5585  </v>
      </c>
    </row>
    <row r="669" spans="1:4" x14ac:dyDescent="0.55000000000000004">
      <c r="A669" s="4">
        <v>2410505610</v>
      </c>
      <c r="B669" s="1" t="s">
        <v>534</v>
      </c>
      <c r="C669" s="1" t="s">
        <v>2778</v>
      </c>
      <c r="D669" s="1" t="str">
        <f>"059-228-8111  "</f>
        <v xml:space="preserve">059-228-8111  </v>
      </c>
    </row>
    <row r="670" spans="1:4" x14ac:dyDescent="0.55000000000000004">
      <c r="A670" s="4">
        <v>2410505669</v>
      </c>
      <c r="B670" s="1" t="s">
        <v>535</v>
      </c>
      <c r="C670" s="1" t="str">
        <f>"津市栗真中山町248-1"</f>
        <v>津市栗真中山町248-1</v>
      </c>
      <c r="D670" s="1" t="str">
        <f>"059-236-2588  "</f>
        <v xml:space="preserve">059-236-2588  </v>
      </c>
    </row>
    <row r="671" spans="1:4" x14ac:dyDescent="0.55000000000000004">
      <c r="A671" s="4">
        <v>2410505677</v>
      </c>
      <c r="B671" s="1" t="s">
        <v>536</v>
      </c>
      <c r="C671" s="1" t="str">
        <f>"津市藤方10-4"</f>
        <v>津市藤方10-4</v>
      </c>
      <c r="D671" s="1" t="str">
        <f>"059-238-1233  "</f>
        <v xml:space="preserve">059-238-1233  </v>
      </c>
    </row>
    <row r="672" spans="1:4" x14ac:dyDescent="0.55000000000000004">
      <c r="A672" s="4">
        <v>2410505701</v>
      </c>
      <c r="B672" s="1" t="s">
        <v>537</v>
      </c>
      <c r="C672" s="1" t="str">
        <f>"津市高野尾町1890-76"</f>
        <v>津市高野尾町1890-76</v>
      </c>
      <c r="D672" s="1" t="str">
        <f>"059-230-3738  "</f>
        <v xml:space="preserve">059-230-3738  </v>
      </c>
    </row>
    <row r="673" spans="1:4" x14ac:dyDescent="0.55000000000000004">
      <c r="A673" s="4">
        <v>2410505719</v>
      </c>
      <c r="B673" s="1" t="s">
        <v>538</v>
      </c>
      <c r="C673" s="1" t="s">
        <v>2779</v>
      </c>
      <c r="D673" s="1" t="str">
        <f>"059-226-3030  "</f>
        <v xml:space="preserve">059-226-3030  </v>
      </c>
    </row>
    <row r="674" spans="1:4" x14ac:dyDescent="0.55000000000000004">
      <c r="A674" s="4">
        <v>2410505735</v>
      </c>
      <c r="B674" s="1" t="s">
        <v>539</v>
      </c>
      <c r="C674" s="1" t="s">
        <v>2780</v>
      </c>
      <c r="D674" s="1" t="str">
        <f>"059-235-5300  "</f>
        <v xml:space="preserve">059-235-5300  </v>
      </c>
    </row>
    <row r="675" spans="1:4" x14ac:dyDescent="0.55000000000000004">
      <c r="A675" s="4">
        <v>2410505743</v>
      </c>
      <c r="B675" s="1" t="s">
        <v>540</v>
      </c>
      <c r="C675" s="1" t="str">
        <f>"津市野田33-3"</f>
        <v>津市野田33-3</v>
      </c>
      <c r="D675" s="1" t="str">
        <f>"059-237-0838  "</f>
        <v xml:space="preserve">059-237-0838  </v>
      </c>
    </row>
    <row r="676" spans="1:4" x14ac:dyDescent="0.55000000000000004">
      <c r="A676" s="4">
        <v>2410505750</v>
      </c>
      <c r="B676" s="1" t="s">
        <v>541</v>
      </c>
      <c r="C676" s="1" t="str">
        <f>"津市大里野田町1124-1"</f>
        <v>津市大里野田町1124-1</v>
      </c>
      <c r="D676" s="1" t="str">
        <f>"059-230-7814  "</f>
        <v xml:space="preserve">059-230-7814  </v>
      </c>
    </row>
    <row r="677" spans="1:4" x14ac:dyDescent="0.55000000000000004">
      <c r="A677" s="4">
        <v>2410505768</v>
      </c>
      <c r="B677" s="1" t="s">
        <v>542</v>
      </c>
      <c r="C677" s="1" t="str">
        <f>"津市観音寺町799－7　TTCビル1F"</f>
        <v>津市観音寺町799－7　TTCビル1F</v>
      </c>
      <c r="D677" s="1" t="str">
        <f>"059-229-5722  "</f>
        <v xml:space="preserve">059-229-5722  </v>
      </c>
    </row>
    <row r="678" spans="1:4" x14ac:dyDescent="0.55000000000000004">
      <c r="A678" s="4">
        <v>2410505776</v>
      </c>
      <c r="B678" s="1" t="s">
        <v>543</v>
      </c>
      <c r="C678" s="1" t="str">
        <f>"津市一身田平野24-1"</f>
        <v>津市一身田平野24-1</v>
      </c>
      <c r="D678" s="1" t="str">
        <f>"059-231-1900  "</f>
        <v xml:space="preserve">059-231-1900  </v>
      </c>
    </row>
    <row r="679" spans="1:4" x14ac:dyDescent="0.55000000000000004">
      <c r="A679" s="4">
        <v>2410505792</v>
      </c>
      <c r="B679" s="1" t="s">
        <v>544</v>
      </c>
      <c r="C679" s="1" t="str">
        <f>"津市高野尾町4956-27"</f>
        <v>津市高野尾町4956-27</v>
      </c>
      <c r="D679" s="1" t="str">
        <f>"059-230-2221  "</f>
        <v xml:space="preserve">059-230-2221  </v>
      </c>
    </row>
    <row r="680" spans="1:4" x14ac:dyDescent="0.55000000000000004">
      <c r="A680" s="4">
        <v>2410505834</v>
      </c>
      <c r="B680" s="1" t="s">
        <v>545</v>
      </c>
      <c r="C680" s="1" t="s">
        <v>2781</v>
      </c>
      <c r="D680" s="1" t="str">
        <f>"059-255-2986  "</f>
        <v xml:space="preserve">059-255-2986  </v>
      </c>
    </row>
    <row r="681" spans="1:4" x14ac:dyDescent="0.55000000000000004">
      <c r="A681" s="4">
        <v>2410505867</v>
      </c>
      <c r="B681" s="1" t="s">
        <v>546</v>
      </c>
      <c r="C681" s="1" t="s">
        <v>2782</v>
      </c>
      <c r="D681" s="1" t="str">
        <f>"059-252-1111  "</f>
        <v xml:space="preserve">059-252-1111  </v>
      </c>
    </row>
    <row r="682" spans="1:4" x14ac:dyDescent="0.55000000000000004">
      <c r="A682" s="4">
        <v>2410505883</v>
      </c>
      <c r="B682" s="1" t="s">
        <v>547</v>
      </c>
      <c r="C682" s="1" t="s">
        <v>2783</v>
      </c>
      <c r="D682" s="1" t="str">
        <f>"059-252-1555  "</f>
        <v xml:space="preserve">059-252-1555  </v>
      </c>
    </row>
    <row r="683" spans="1:4" x14ac:dyDescent="0.55000000000000004">
      <c r="A683" s="4">
        <v>2410505917</v>
      </c>
      <c r="B683" s="1" t="s">
        <v>548</v>
      </c>
      <c r="C683" s="1" t="str">
        <f>"津市久居東鷹跡町261-3"</f>
        <v>津市久居東鷹跡町261-3</v>
      </c>
      <c r="D683" s="1" t="str">
        <f>"059-255-5264  "</f>
        <v xml:space="preserve">059-255-5264  </v>
      </c>
    </row>
    <row r="684" spans="1:4" x14ac:dyDescent="0.55000000000000004">
      <c r="A684" s="4">
        <v>2410505925</v>
      </c>
      <c r="B684" s="1" t="s">
        <v>549</v>
      </c>
      <c r="C684" s="1" t="str">
        <f>"津市久居新町766-8"</f>
        <v>津市久居新町766-8</v>
      </c>
      <c r="D684" s="1" t="str">
        <f>"059-255-2797  "</f>
        <v xml:space="preserve">059-255-2797  </v>
      </c>
    </row>
    <row r="685" spans="1:4" x14ac:dyDescent="0.55000000000000004">
      <c r="A685" s="4">
        <v>2410505933</v>
      </c>
      <c r="B685" s="1" t="s">
        <v>550</v>
      </c>
      <c r="C685" s="1" t="s">
        <v>551</v>
      </c>
      <c r="D685" s="1" t="str">
        <f>"059-256-6665  "</f>
        <v xml:space="preserve">059-256-6665  </v>
      </c>
    </row>
    <row r="686" spans="1:4" x14ac:dyDescent="0.55000000000000004">
      <c r="A686" s="4">
        <v>2410505966</v>
      </c>
      <c r="B686" s="1" t="s">
        <v>552</v>
      </c>
      <c r="C686" s="1" t="s">
        <v>2784</v>
      </c>
      <c r="D686" s="1" t="str">
        <f>"059-255-1200  "</f>
        <v xml:space="preserve">059-255-1200  </v>
      </c>
    </row>
    <row r="687" spans="1:4" x14ac:dyDescent="0.55000000000000004">
      <c r="A687" s="4">
        <v>2410505974</v>
      </c>
      <c r="B687" s="1" t="s">
        <v>553</v>
      </c>
      <c r="C687" s="1" t="s">
        <v>2464</v>
      </c>
      <c r="D687" s="1" t="str">
        <f>"059-252-2300  "</f>
        <v xml:space="preserve">059-252-2300  </v>
      </c>
    </row>
    <row r="688" spans="1:4" x14ac:dyDescent="0.55000000000000004">
      <c r="A688" s="4">
        <v>2410505982</v>
      </c>
      <c r="B688" s="1" t="s">
        <v>554</v>
      </c>
      <c r="C688" s="1" t="s">
        <v>2785</v>
      </c>
      <c r="D688" s="1" t="str">
        <f>"059-259-1212  "</f>
        <v xml:space="preserve">059-259-1212  </v>
      </c>
    </row>
    <row r="689" spans="1:4" x14ac:dyDescent="0.55000000000000004">
      <c r="A689" s="4">
        <v>2410506022</v>
      </c>
      <c r="B689" s="1" t="s">
        <v>555</v>
      </c>
      <c r="C689" s="1" t="str">
        <f>"津市久居明神町1200-1"</f>
        <v>津市久居明神町1200-1</v>
      </c>
      <c r="D689" s="1" t="str">
        <f>"059-271-7138  "</f>
        <v xml:space="preserve">059-271-7138  </v>
      </c>
    </row>
    <row r="690" spans="1:4" x14ac:dyDescent="0.55000000000000004">
      <c r="A690" s="4">
        <v>2410506030</v>
      </c>
      <c r="B690" s="1" t="s">
        <v>556</v>
      </c>
      <c r="C690" s="1" t="s">
        <v>557</v>
      </c>
      <c r="D690" s="1" t="str">
        <f>"070-9353-9849 "</f>
        <v xml:space="preserve">070-9353-9849 </v>
      </c>
    </row>
    <row r="691" spans="1:4" x14ac:dyDescent="0.55000000000000004">
      <c r="A691" s="4">
        <v>2410515007</v>
      </c>
      <c r="B691" s="1" t="s">
        <v>558</v>
      </c>
      <c r="C691" s="1" t="s">
        <v>2786</v>
      </c>
      <c r="D691" s="1" t="str">
        <f>"059-254-0300  "</f>
        <v xml:space="preserve">059-254-0300  </v>
      </c>
    </row>
    <row r="692" spans="1:4" x14ac:dyDescent="0.55000000000000004">
      <c r="A692" s="4">
        <v>2410515015</v>
      </c>
      <c r="B692" s="1" t="s">
        <v>559</v>
      </c>
      <c r="C692" s="1" t="s">
        <v>2787</v>
      </c>
      <c r="D692" s="1" t="str">
        <f>"059-254-3636  "</f>
        <v xml:space="preserve">059-254-3636  </v>
      </c>
    </row>
    <row r="693" spans="1:4" x14ac:dyDescent="0.55000000000000004">
      <c r="A693" s="4">
        <v>2410515031</v>
      </c>
      <c r="B693" s="1" t="s">
        <v>560</v>
      </c>
      <c r="C693" s="1" t="s">
        <v>2788</v>
      </c>
      <c r="D693" s="1" t="str">
        <f>"059-265-2511  "</f>
        <v xml:space="preserve">059-265-2511  </v>
      </c>
    </row>
    <row r="694" spans="1:4" x14ac:dyDescent="0.55000000000000004">
      <c r="A694" s="4">
        <v>2410515049</v>
      </c>
      <c r="B694" s="1" t="s">
        <v>561</v>
      </c>
      <c r="C694" s="1" t="str">
        <f>"津市河芸町東千里6-1"</f>
        <v>津市河芸町東千里6-1</v>
      </c>
      <c r="D694" s="1" t="str">
        <f>"059-245-6111  "</f>
        <v xml:space="preserve">059-245-6111  </v>
      </c>
    </row>
    <row r="695" spans="1:4" x14ac:dyDescent="0.55000000000000004">
      <c r="A695" s="4">
        <v>2410515056</v>
      </c>
      <c r="B695" s="1" t="s">
        <v>562</v>
      </c>
      <c r="C695" s="1" t="s">
        <v>2789</v>
      </c>
      <c r="D695" s="1" t="str">
        <f>"059-268-4141  "</f>
        <v xml:space="preserve">059-268-4141  </v>
      </c>
    </row>
    <row r="696" spans="1:4" x14ac:dyDescent="0.55000000000000004">
      <c r="A696" s="4">
        <v>2410515080</v>
      </c>
      <c r="B696" s="1" t="s">
        <v>563</v>
      </c>
      <c r="C696" s="1" t="str">
        <f>"津市安濃町田端上野970-41"</f>
        <v>津市安濃町田端上野970-41</v>
      </c>
      <c r="D696" s="1" t="str">
        <f>"059-268-1111  "</f>
        <v xml:space="preserve">059-268-1111  </v>
      </c>
    </row>
    <row r="697" spans="1:4" x14ac:dyDescent="0.55000000000000004">
      <c r="A697" s="4">
        <v>2410515098</v>
      </c>
      <c r="B697" s="1" t="s">
        <v>564</v>
      </c>
      <c r="C697" s="1" t="s">
        <v>2790</v>
      </c>
      <c r="D697" s="1" t="str">
        <f>"059-244-0277  "</f>
        <v xml:space="preserve">059-244-0277  </v>
      </c>
    </row>
    <row r="698" spans="1:4" x14ac:dyDescent="0.55000000000000004">
      <c r="A698" s="4">
        <v>2410515106</v>
      </c>
      <c r="B698" s="1" t="s">
        <v>565</v>
      </c>
      <c r="C698" s="1" t="s">
        <v>2791</v>
      </c>
      <c r="D698" s="1" t="str">
        <f>"059-262-0600  "</f>
        <v xml:space="preserve">059-262-0600  </v>
      </c>
    </row>
    <row r="699" spans="1:4" x14ac:dyDescent="0.55000000000000004">
      <c r="A699" s="4">
        <v>2410515114</v>
      </c>
      <c r="B699" s="1" t="s">
        <v>566</v>
      </c>
      <c r="C699" s="1" t="s">
        <v>2792</v>
      </c>
      <c r="D699" s="1" t="str">
        <f>"059-293-2255  "</f>
        <v xml:space="preserve">059-293-2255  </v>
      </c>
    </row>
    <row r="700" spans="1:4" x14ac:dyDescent="0.55000000000000004">
      <c r="A700" s="4">
        <v>2410515122</v>
      </c>
      <c r="B700" s="1" t="s">
        <v>567</v>
      </c>
      <c r="C700" s="1" t="str">
        <f>"津市白山町二本木1139-5"</f>
        <v>津市白山町二本木1139-5</v>
      </c>
      <c r="D700" s="1" t="str">
        <f>"059-264-1234  "</f>
        <v xml:space="preserve">059-264-1234  </v>
      </c>
    </row>
    <row r="701" spans="1:4" x14ac:dyDescent="0.55000000000000004">
      <c r="A701" s="4">
        <v>2410515163</v>
      </c>
      <c r="B701" s="1" t="s">
        <v>568</v>
      </c>
      <c r="C701" s="1" t="str">
        <f>"津市南中央28-13"</f>
        <v>津市南中央28-13</v>
      </c>
      <c r="D701" s="1" t="str">
        <f>"059-227-0207  "</f>
        <v xml:space="preserve">059-227-0207  </v>
      </c>
    </row>
    <row r="702" spans="1:4" x14ac:dyDescent="0.55000000000000004">
      <c r="A702" s="4">
        <v>2410515171</v>
      </c>
      <c r="B702" s="1" t="s">
        <v>569</v>
      </c>
      <c r="C702" s="1" t="s">
        <v>2793</v>
      </c>
      <c r="D702" s="1" t="str">
        <f>"059-239-1317  "</f>
        <v xml:space="preserve">059-239-1317  </v>
      </c>
    </row>
    <row r="703" spans="1:4" x14ac:dyDescent="0.55000000000000004">
      <c r="A703" s="4">
        <v>2410515189</v>
      </c>
      <c r="B703" s="1" t="s">
        <v>570</v>
      </c>
      <c r="C703" s="1" t="str">
        <f>"津市神納井明57-16"</f>
        <v>津市神納井明57-16</v>
      </c>
      <c r="D703" s="1" t="str">
        <f>"059-213-0015  "</f>
        <v xml:space="preserve">059-213-0015  </v>
      </c>
    </row>
    <row r="704" spans="1:4" x14ac:dyDescent="0.55000000000000004">
      <c r="A704" s="4">
        <v>2410515205</v>
      </c>
      <c r="B704" s="1" t="s">
        <v>571</v>
      </c>
      <c r="C704" s="1" t="str">
        <f>"津市白塚町2080-1"</f>
        <v>津市白塚町2080-1</v>
      </c>
      <c r="D704" s="1" t="str">
        <f>"059-236-6006  "</f>
        <v xml:space="preserve">059-236-6006  </v>
      </c>
    </row>
    <row r="705" spans="1:4" x14ac:dyDescent="0.55000000000000004">
      <c r="A705" s="4">
        <v>2410515213</v>
      </c>
      <c r="B705" s="1" t="s">
        <v>572</v>
      </c>
      <c r="C705" s="1" t="s">
        <v>2794</v>
      </c>
      <c r="D705" s="1" t="str">
        <f>"059-235-3387  "</f>
        <v xml:space="preserve">059-235-3387  </v>
      </c>
    </row>
    <row r="706" spans="1:4" x14ac:dyDescent="0.55000000000000004">
      <c r="A706" s="4">
        <v>2410515221</v>
      </c>
      <c r="B706" s="1" t="s">
        <v>573</v>
      </c>
      <c r="C706" s="1" t="s">
        <v>2795</v>
      </c>
      <c r="D706" s="1" t="str">
        <f>"059-213-5512  "</f>
        <v xml:space="preserve">059-213-5512  </v>
      </c>
    </row>
    <row r="707" spans="1:4" x14ac:dyDescent="0.55000000000000004">
      <c r="A707" s="4">
        <v>2410515247</v>
      </c>
      <c r="B707" s="1" t="s">
        <v>574</v>
      </c>
      <c r="C707" s="1" t="s">
        <v>2796</v>
      </c>
      <c r="D707" s="1" t="str">
        <f>"059-213-7615  "</f>
        <v xml:space="preserve">059-213-7615  </v>
      </c>
    </row>
    <row r="708" spans="1:4" x14ac:dyDescent="0.55000000000000004">
      <c r="A708" s="4">
        <v>2410515254</v>
      </c>
      <c r="B708" s="1" t="s">
        <v>575</v>
      </c>
      <c r="C708" s="1" t="s">
        <v>2797</v>
      </c>
      <c r="D708" s="1" t="str">
        <f>"059-221-0500  "</f>
        <v xml:space="preserve">059-221-0500  </v>
      </c>
    </row>
    <row r="709" spans="1:4" x14ac:dyDescent="0.55000000000000004">
      <c r="A709" s="4">
        <v>2410515262</v>
      </c>
      <c r="B709" s="1" t="s">
        <v>576</v>
      </c>
      <c r="C709" s="1" t="str">
        <f>"津市久居元町1709-3"</f>
        <v>津市久居元町1709-3</v>
      </c>
      <c r="D709" s="1" t="str">
        <f>"059-255-7766  "</f>
        <v xml:space="preserve">059-255-7766  </v>
      </c>
    </row>
    <row r="710" spans="1:4" x14ac:dyDescent="0.55000000000000004">
      <c r="A710" s="4">
        <v>2410515270</v>
      </c>
      <c r="B710" s="1" t="s">
        <v>577</v>
      </c>
      <c r="C710" s="1" t="s">
        <v>597</v>
      </c>
      <c r="D710" s="1" t="str">
        <f>"059-233-6800  "</f>
        <v xml:space="preserve">059-233-6800  </v>
      </c>
    </row>
    <row r="711" spans="1:4" x14ac:dyDescent="0.55000000000000004">
      <c r="A711" s="4">
        <v>2410515288</v>
      </c>
      <c r="B711" s="1" t="s">
        <v>578</v>
      </c>
      <c r="C711" s="1" t="str">
        <f>"津市藤方154-1"</f>
        <v>津市藤方154-1</v>
      </c>
      <c r="D711" s="1" t="str">
        <f>"059-238-5566  "</f>
        <v xml:space="preserve">059-238-5566  </v>
      </c>
    </row>
    <row r="712" spans="1:4" x14ac:dyDescent="0.55000000000000004">
      <c r="A712" s="4">
        <v>2410515296</v>
      </c>
      <c r="B712" s="1" t="s">
        <v>579</v>
      </c>
      <c r="C712" s="1" t="s">
        <v>2798</v>
      </c>
      <c r="D712" s="1" t="str">
        <f>"059-225-9955  "</f>
        <v xml:space="preserve">059-225-9955  </v>
      </c>
    </row>
    <row r="713" spans="1:4" x14ac:dyDescent="0.55000000000000004">
      <c r="A713" s="4">
        <v>2410515320</v>
      </c>
      <c r="B713" s="1" t="s">
        <v>580</v>
      </c>
      <c r="C713" s="1" t="str">
        <f>"津市芸濃町椋本5069-6"</f>
        <v>津市芸濃町椋本5069-6</v>
      </c>
      <c r="D713" s="1" t="str">
        <f>"059-266-2700  "</f>
        <v xml:space="preserve">059-266-2700  </v>
      </c>
    </row>
    <row r="714" spans="1:4" x14ac:dyDescent="0.55000000000000004">
      <c r="A714" s="4">
        <v>2410515346</v>
      </c>
      <c r="B714" s="1" t="s">
        <v>581</v>
      </c>
      <c r="C714" s="1" t="s">
        <v>2799</v>
      </c>
      <c r="D714" s="1" t="str">
        <f>"059-226-5525  "</f>
        <v xml:space="preserve">059-226-5525  </v>
      </c>
    </row>
    <row r="715" spans="1:4" x14ac:dyDescent="0.55000000000000004">
      <c r="A715" s="4">
        <v>2410515387</v>
      </c>
      <c r="B715" s="1" t="s">
        <v>582</v>
      </c>
      <c r="C715" s="1" t="str">
        <f>"津市一身田上津部田1414-1"</f>
        <v>津市一身田上津部田1414-1</v>
      </c>
      <c r="D715" s="1" t="str">
        <f>"059-221-0234  "</f>
        <v xml:space="preserve">059-221-0234  </v>
      </c>
    </row>
    <row r="716" spans="1:4" x14ac:dyDescent="0.55000000000000004">
      <c r="A716" s="4">
        <v>2410515395</v>
      </c>
      <c r="B716" s="1" t="s">
        <v>583</v>
      </c>
      <c r="C716" s="1" t="str">
        <f>"津市大園町4-29"</f>
        <v>津市大園町4-29</v>
      </c>
      <c r="D716" s="1" t="str">
        <f>"059-222-5111  "</f>
        <v xml:space="preserve">059-222-5111  </v>
      </c>
    </row>
    <row r="717" spans="1:4" x14ac:dyDescent="0.55000000000000004">
      <c r="A717" s="4">
        <v>2410515403</v>
      </c>
      <c r="B717" s="1" t="s">
        <v>584</v>
      </c>
      <c r="C717" s="1" t="str">
        <f>"津市一身田上津部田476-1"</f>
        <v>津市一身田上津部田476-1</v>
      </c>
      <c r="D717" s="1" t="str">
        <f>"059-233-6611  "</f>
        <v xml:space="preserve">059-233-6611  </v>
      </c>
    </row>
    <row r="718" spans="1:4" x14ac:dyDescent="0.55000000000000004">
      <c r="A718" s="4">
        <v>2410515411</v>
      </c>
      <c r="B718" s="1" t="s">
        <v>585</v>
      </c>
      <c r="C718" s="1" t="str">
        <f>"津市一身田上津部田3086-3"</f>
        <v>津市一身田上津部田3086-3</v>
      </c>
      <c r="D718" s="1" t="str">
        <f>"059-213-1024  "</f>
        <v xml:space="preserve">059-213-1024  </v>
      </c>
    </row>
    <row r="719" spans="1:4" x14ac:dyDescent="0.55000000000000004">
      <c r="A719" s="4">
        <v>2410515429</v>
      </c>
      <c r="B719" s="1" t="s">
        <v>586</v>
      </c>
      <c r="C719" s="1" t="str">
        <f>"津市河芸町東千里111-1"</f>
        <v>津市河芸町東千里111-1</v>
      </c>
      <c r="D719" s="1" t="str">
        <f>"059-244-2222  "</f>
        <v xml:space="preserve">059-244-2222  </v>
      </c>
    </row>
    <row r="720" spans="1:4" x14ac:dyDescent="0.55000000000000004">
      <c r="A720" s="4">
        <v>2410515437</v>
      </c>
      <c r="B720" s="1" t="s">
        <v>587</v>
      </c>
      <c r="C720" s="1" t="str">
        <f>"津市久居元町1870-7"</f>
        <v>津市久居元町1870-7</v>
      </c>
      <c r="D720" s="1" t="str">
        <f>"059-256-6856  "</f>
        <v xml:space="preserve">059-256-6856  </v>
      </c>
    </row>
    <row r="721" spans="1:4" x14ac:dyDescent="0.55000000000000004">
      <c r="A721" s="4">
        <v>2410515460</v>
      </c>
      <c r="B721" s="1" t="s">
        <v>588</v>
      </c>
      <c r="C721" s="1" t="s">
        <v>2800</v>
      </c>
      <c r="D721" s="1" t="str">
        <f>"059-233-6900  "</f>
        <v xml:space="preserve">059-233-6900  </v>
      </c>
    </row>
    <row r="722" spans="1:4" x14ac:dyDescent="0.55000000000000004">
      <c r="A722" s="4">
        <v>2410515486</v>
      </c>
      <c r="B722" s="1" t="s">
        <v>589</v>
      </c>
      <c r="C722" s="1" t="str">
        <f>"津市修成町2-3"</f>
        <v>津市修成町2-3</v>
      </c>
      <c r="D722" s="1" t="str">
        <f>"059-227-4187  "</f>
        <v xml:space="preserve">059-227-4187  </v>
      </c>
    </row>
    <row r="723" spans="1:4" x14ac:dyDescent="0.55000000000000004">
      <c r="A723" s="4">
        <v>2410515510</v>
      </c>
      <c r="B723" s="1" t="s">
        <v>590</v>
      </c>
      <c r="C723" s="1" t="str">
        <f>"津市河芸町杜の街一丁目1-5"</f>
        <v>津市河芸町杜の街一丁目1-5</v>
      </c>
      <c r="D723" s="1" t="str">
        <f>"059-245-1155  "</f>
        <v xml:space="preserve">059-245-1155  </v>
      </c>
    </row>
    <row r="724" spans="1:4" x14ac:dyDescent="0.55000000000000004">
      <c r="A724" s="4">
        <v>2410515536</v>
      </c>
      <c r="B724" s="1" t="s">
        <v>591</v>
      </c>
      <c r="C724" s="1" t="s">
        <v>592</v>
      </c>
      <c r="D724" s="1" t="str">
        <f>"059-271-5618  "</f>
        <v xml:space="preserve">059-271-5618  </v>
      </c>
    </row>
    <row r="725" spans="1:4" x14ac:dyDescent="0.55000000000000004">
      <c r="A725" s="4">
        <v>2410515544</v>
      </c>
      <c r="B725" s="1" t="s">
        <v>593</v>
      </c>
      <c r="C725" s="1" t="str">
        <f>"津市美杉町下之川5299-1"</f>
        <v>津市美杉町下之川5299-1</v>
      </c>
      <c r="D725" s="1" t="str">
        <f>"059-276-7010  "</f>
        <v xml:space="preserve">059-276-7010  </v>
      </c>
    </row>
    <row r="726" spans="1:4" x14ac:dyDescent="0.55000000000000004">
      <c r="A726" s="4">
        <v>2410515551</v>
      </c>
      <c r="B726" s="1" t="s">
        <v>594</v>
      </c>
      <c r="C726" s="1" t="s">
        <v>2801</v>
      </c>
      <c r="D726" s="1" t="str">
        <f>"059-254-0050  "</f>
        <v xml:space="preserve">059-254-0050  </v>
      </c>
    </row>
    <row r="727" spans="1:4" x14ac:dyDescent="0.55000000000000004">
      <c r="A727" s="4">
        <v>2410515593</v>
      </c>
      <c r="B727" s="1" t="s">
        <v>595</v>
      </c>
      <c r="C727" s="1" t="str">
        <f>"津市香良洲町1875-1"</f>
        <v>津市香良洲町1875-1</v>
      </c>
      <c r="D727" s="1" t="str">
        <f>"059-292-7007  "</f>
        <v xml:space="preserve">059-292-7007  </v>
      </c>
    </row>
    <row r="728" spans="1:4" x14ac:dyDescent="0.55000000000000004">
      <c r="A728" s="4">
        <v>2410515627</v>
      </c>
      <c r="B728" s="1" t="s">
        <v>596</v>
      </c>
      <c r="C728" s="1" t="s">
        <v>597</v>
      </c>
      <c r="D728" s="1" t="str">
        <f>"059-233-6700  "</f>
        <v xml:space="preserve">059-233-6700  </v>
      </c>
    </row>
    <row r="729" spans="1:4" x14ac:dyDescent="0.55000000000000004">
      <c r="A729" s="4">
        <v>2410515635</v>
      </c>
      <c r="B729" s="1" t="s">
        <v>598</v>
      </c>
      <c r="C729" s="1" t="str">
        <f>"津市久居明神町2090-1"</f>
        <v>津市久居明神町2090-1</v>
      </c>
      <c r="D729" s="1" t="str">
        <f>"059-259-0808  "</f>
        <v xml:space="preserve">059-259-0808  </v>
      </c>
    </row>
    <row r="730" spans="1:4" x14ac:dyDescent="0.55000000000000004">
      <c r="A730" s="4">
        <v>2410515643</v>
      </c>
      <c r="B730" s="1" t="s">
        <v>599</v>
      </c>
      <c r="C730" s="1" t="s">
        <v>2802</v>
      </c>
      <c r="D730" s="1" t="str">
        <f>"059-269-5000  "</f>
        <v xml:space="preserve">059-269-5000  </v>
      </c>
    </row>
    <row r="731" spans="1:4" x14ac:dyDescent="0.55000000000000004">
      <c r="A731" s="4">
        <v>2410515668</v>
      </c>
      <c r="B731" s="1" t="s">
        <v>600</v>
      </c>
      <c r="C731" s="1" t="s">
        <v>2803</v>
      </c>
      <c r="D731" s="1" t="str">
        <f>"059-245-5900  "</f>
        <v xml:space="preserve">059-245-5900  </v>
      </c>
    </row>
    <row r="732" spans="1:4" x14ac:dyDescent="0.55000000000000004">
      <c r="A732" s="4">
        <v>2410515676</v>
      </c>
      <c r="B732" s="1" t="s">
        <v>601</v>
      </c>
      <c r="C732" s="1" t="str">
        <f>"津市久居藤ヶ丘町2598-3"</f>
        <v>津市久居藤ヶ丘町2598-3</v>
      </c>
      <c r="D732" s="1" t="str">
        <f>"059-254-0707  "</f>
        <v xml:space="preserve">059-254-0707  </v>
      </c>
    </row>
    <row r="733" spans="1:4" x14ac:dyDescent="0.55000000000000004">
      <c r="A733" s="4">
        <v>2410515692</v>
      </c>
      <c r="B733" s="1" t="s">
        <v>602</v>
      </c>
      <c r="C733" s="1" t="str">
        <f>"津市中央2-11"</f>
        <v>津市中央2-11</v>
      </c>
      <c r="D733" s="1" t="str">
        <f>"059-228-2646  "</f>
        <v xml:space="preserve">059-228-2646  </v>
      </c>
    </row>
    <row r="734" spans="1:4" x14ac:dyDescent="0.55000000000000004">
      <c r="A734" s="4">
        <v>2410515700</v>
      </c>
      <c r="B734" s="1" t="s">
        <v>603</v>
      </c>
      <c r="C734" s="1" t="str">
        <f>"津市一身田上津部田1581-1"</f>
        <v>津市一身田上津部田1581-1</v>
      </c>
      <c r="D734" s="1" t="str">
        <f>"059-233-0024  "</f>
        <v xml:space="preserve">059-233-0024  </v>
      </c>
    </row>
    <row r="735" spans="1:4" x14ac:dyDescent="0.55000000000000004">
      <c r="A735" s="4">
        <v>2410515718</v>
      </c>
      <c r="B735" s="1" t="s">
        <v>604</v>
      </c>
      <c r="C735" s="1" t="str">
        <f>"津市久居野村町600-2"</f>
        <v>津市久居野村町600-2</v>
      </c>
      <c r="D735" s="1" t="str">
        <f>"059-254-0777  "</f>
        <v xml:space="preserve">059-254-0777  </v>
      </c>
    </row>
    <row r="736" spans="1:4" x14ac:dyDescent="0.55000000000000004">
      <c r="A736" s="4">
        <v>2410515726</v>
      </c>
      <c r="B736" s="1" t="s">
        <v>605</v>
      </c>
      <c r="C736" s="1" t="s">
        <v>2804</v>
      </c>
      <c r="D736" s="1" t="str">
        <f>"059-226-1174  "</f>
        <v xml:space="preserve">059-226-1174  </v>
      </c>
    </row>
    <row r="737" spans="1:4" x14ac:dyDescent="0.55000000000000004">
      <c r="A737" s="4">
        <v>2410515734</v>
      </c>
      <c r="B737" s="1" t="s">
        <v>606</v>
      </c>
      <c r="C737" s="1" t="str">
        <f>"津市丸之内17-8　東丸之内ビル２F"</f>
        <v>津市丸之内17-8　東丸之内ビル２F</v>
      </c>
      <c r="D737" s="1" t="str">
        <f>"059-253-4258  "</f>
        <v xml:space="preserve">059-253-4258  </v>
      </c>
    </row>
    <row r="738" spans="1:4" x14ac:dyDescent="0.55000000000000004">
      <c r="A738" s="4">
        <v>2410515759</v>
      </c>
      <c r="B738" s="1" t="s">
        <v>607</v>
      </c>
      <c r="C738" s="1" t="s">
        <v>608</v>
      </c>
      <c r="D738" s="1" t="str">
        <f>"059-223-4645  "</f>
        <v xml:space="preserve">059-223-4645  </v>
      </c>
    </row>
    <row r="739" spans="1:4" x14ac:dyDescent="0.55000000000000004">
      <c r="A739" s="4">
        <v>2410515767</v>
      </c>
      <c r="B739" s="1" t="s">
        <v>609</v>
      </c>
      <c r="C739" s="1" t="s">
        <v>2805</v>
      </c>
      <c r="D739" s="1" t="str">
        <f>"059-221-3700  "</f>
        <v xml:space="preserve">059-221-3700  </v>
      </c>
    </row>
    <row r="740" spans="1:4" x14ac:dyDescent="0.55000000000000004">
      <c r="A740" s="4">
        <v>2410515775</v>
      </c>
      <c r="B740" s="1" t="s">
        <v>610</v>
      </c>
      <c r="C740" s="1" t="str">
        <f>"津市丸の内17-8　東丸の内ビル　2F"</f>
        <v>津市丸の内17-8　東丸の内ビル　2F</v>
      </c>
      <c r="D740" s="1" t="str">
        <f>"059-253-4258  "</f>
        <v xml:space="preserve">059-253-4258  </v>
      </c>
    </row>
    <row r="741" spans="1:4" x14ac:dyDescent="0.55000000000000004">
      <c r="A741" s="4">
        <v>2410515783</v>
      </c>
      <c r="B741" s="1" t="s">
        <v>611</v>
      </c>
      <c r="C741" s="1" t="s">
        <v>612</v>
      </c>
      <c r="D741" s="1" t="str">
        <f>"059-253-4555  "</f>
        <v xml:space="preserve">059-253-4555  </v>
      </c>
    </row>
    <row r="742" spans="1:4" x14ac:dyDescent="0.55000000000000004">
      <c r="A742" s="4">
        <v>2410515809</v>
      </c>
      <c r="B742" s="1" t="s">
        <v>614</v>
      </c>
      <c r="C742" s="1" t="s">
        <v>615</v>
      </c>
      <c r="D742" s="1" t="str">
        <f>"059-269-7337  "</f>
        <v xml:space="preserve">059-269-7337  </v>
      </c>
    </row>
    <row r="743" spans="1:4" x14ac:dyDescent="0.55000000000000004">
      <c r="A743" s="4">
        <v>2410515817</v>
      </c>
      <c r="B743" s="1" t="s">
        <v>616</v>
      </c>
      <c r="C743" s="1" t="s">
        <v>617</v>
      </c>
      <c r="D743" s="1" t="str">
        <f>"059-244-2515  "</f>
        <v xml:space="preserve">059-244-2515  </v>
      </c>
    </row>
    <row r="744" spans="1:4" x14ac:dyDescent="0.55000000000000004">
      <c r="A744" s="4">
        <v>2410515825</v>
      </c>
      <c r="B744" s="1" t="s">
        <v>618</v>
      </c>
      <c r="C744" s="1" t="s">
        <v>619</v>
      </c>
      <c r="D744" s="1" t="str">
        <f>"059-221-2121  "</f>
        <v xml:space="preserve">059-221-2121  </v>
      </c>
    </row>
    <row r="745" spans="1:4" x14ac:dyDescent="0.55000000000000004">
      <c r="A745" s="4">
        <v>2410515841</v>
      </c>
      <c r="B745" s="1" t="s">
        <v>620</v>
      </c>
      <c r="C745" s="1" t="str">
        <f>"津市半田206-1"</f>
        <v>津市半田206-1</v>
      </c>
      <c r="D745" s="1" t="str">
        <f>"059-269-5515  "</f>
        <v xml:space="preserve">059-269-5515  </v>
      </c>
    </row>
    <row r="746" spans="1:4" x14ac:dyDescent="0.55000000000000004">
      <c r="A746" s="4">
        <v>2410515858</v>
      </c>
      <c r="B746" s="1" t="s">
        <v>621</v>
      </c>
      <c r="C746" s="1" t="s">
        <v>622</v>
      </c>
      <c r="D746" s="1" t="str">
        <f>"059-221-5555  "</f>
        <v xml:space="preserve">059-221-5555  </v>
      </c>
    </row>
    <row r="747" spans="1:4" x14ac:dyDescent="0.55000000000000004">
      <c r="A747" s="4">
        <v>2414000022</v>
      </c>
      <c r="B747" s="1" t="s">
        <v>1154</v>
      </c>
      <c r="C747" s="1" t="s">
        <v>1155</v>
      </c>
      <c r="D747" s="1" t="str">
        <f>"059-232-1111  "</f>
        <v xml:space="preserve">059-232-1111  </v>
      </c>
    </row>
    <row r="748" spans="1:4" x14ac:dyDescent="0.55000000000000004">
      <c r="A748" s="4">
        <v>2414000030</v>
      </c>
      <c r="B748" s="1" t="s">
        <v>1156</v>
      </c>
      <c r="C748" s="1" t="s">
        <v>1157</v>
      </c>
      <c r="D748" s="1" t="str">
        <f>"059-259-1211  "</f>
        <v xml:space="preserve">059-259-1211  </v>
      </c>
    </row>
    <row r="749" spans="1:4" x14ac:dyDescent="0.55000000000000004">
      <c r="A749" s="4">
        <v>2414100020</v>
      </c>
      <c r="B749" s="1" t="s">
        <v>1159</v>
      </c>
      <c r="C749" s="1" t="s">
        <v>1160</v>
      </c>
      <c r="D749" s="1" t="str">
        <f>"059-232-2531  "</f>
        <v xml:space="preserve">059-232-2531  </v>
      </c>
    </row>
    <row r="750" spans="1:4" x14ac:dyDescent="0.55000000000000004">
      <c r="A750" s="4">
        <v>2414100038</v>
      </c>
      <c r="B750" s="1" t="s">
        <v>1161</v>
      </c>
      <c r="C750" s="1" t="s">
        <v>1162</v>
      </c>
      <c r="D750" s="1" t="str">
        <f>"059-252-0211  "</f>
        <v xml:space="preserve">059-252-0211  </v>
      </c>
    </row>
    <row r="751" spans="1:4" x14ac:dyDescent="0.55000000000000004">
      <c r="A751" s="4">
        <v>2430501110</v>
      </c>
      <c r="B751" s="1" t="s">
        <v>1193</v>
      </c>
      <c r="C751" s="1" t="str">
        <f>"津市藤方2402-6"</f>
        <v>津市藤方2402-6</v>
      </c>
      <c r="D751" s="1" t="str">
        <f>"059-226-7666  "</f>
        <v xml:space="preserve">059-226-7666  </v>
      </c>
    </row>
    <row r="752" spans="1:4" x14ac:dyDescent="0.55000000000000004">
      <c r="A752" s="4">
        <v>2430501227</v>
      </c>
      <c r="B752" s="1" t="s">
        <v>1194</v>
      </c>
      <c r="C752" s="1" t="str">
        <f>"津市半田582-1"</f>
        <v>津市半田582-1</v>
      </c>
      <c r="D752" s="1" t="str">
        <f>"059-225-3095  "</f>
        <v xml:space="preserve">059-225-3095  </v>
      </c>
    </row>
    <row r="753" spans="1:4" x14ac:dyDescent="0.55000000000000004">
      <c r="A753" s="4">
        <v>2430501508</v>
      </c>
      <c r="B753" s="1" t="s">
        <v>1195</v>
      </c>
      <c r="C753" s="1" t="str">
        <f>"津市高茶屋小森町2601-1"</f>
        <v>津市高茶屋小森町2601-1</v>
      </c>
      <c r="D753" s="1" t="str">
        <f>"059-235-2029  "</f>
        <v xml:space="preserve">059-235-2029  </v>
      </c>
    </row>
    <row r="754" spans="1:4" x14ac:dyDescent="0.55000000000000004">
      <c r="A754" s="4">
        <v>2430501573</v>
      </c>
      <c r="B754" s="1" t="s">
        <v>1196</v>
      </c>
      <c r="C754" s="1" t="str">
        <f>"津市片田新町37-6"</f>
        <v>津市片田新町37-6</v>
      </c>
      <c r="D754" s="1" t="str">
        <f>"059-237-0454  "</f>
        <v xml:space="preserve">059-237-0454  </v>
      </c>
    </row>
    <row r="755" spans="1:4" x14ac:dyDescent="0.55000000000000004">
      <c r="A755" s="4">
        <v>2430501581</v>
      </c>
      <c r="B755" s="1" t="s">
        <v>1197</v>
      </c>
      <c r="C755" s="1" t="str">
        <f>"津市大谷町132-12"</f>
        <v>津市大谷町132-12</v>
      </c>
      <c r="D755" s="1" t="str">
        <f>"059-229-0707  "</f>
        <v xml:space="preserve">059-229-0707  </v>
      </c>
    </row>
    <row r="756" spans="1:4" x14ac:dyDescent="0.55000000000000004">
      <c r="A756" s="4">
        <v>2430501664</v>
      </c>
      <c r="B756" s="1" t="s">
        <v>1198</v>
      </c>
      <c r="C756" s="1" t="str">
        <f>"津市一身田上津部田63-1"</f>
        <v>津市一身田上津部田63-1</v>
      </c>
      <c r="D756" s="1" t="str">
        <f>"059-233-6480  "</f>
        <v xml:space="preserve">059-233-6480  </v>
      </c>
    </row>
    <row r="757" spans="1:4" x14ac:dyDescent="0.55000000000000004">
      <c r="A757" s="4">
        <v>2430501680</v>
      </c>
      <c r="B757" s="1" t="s">
        <v>1199</v>
      </c>
      <c r="C757" s="1" t="str">
        <f>"津市南が丘1-21-7"</f>
        <v>津市南が丘1-21-7</v>
      </c>
      <c r="D757" s="1" t="str">
        <f>"059-246-6480  "</f>
        <v xml:space="preserve">059-246-6480  </v>
      </c>
    </row>
    <row r="758" spans="1:4" x14ac:dyDescent="0.55000000000000004">
      <c r="A758" s="4">
        <v>2430501789</v>
      </c>
      <c r="B758" s="1" t="s">
        <v>1200</v>
      </c>
      <c r="C758" s="1" t="str">
        <f>"津市栗真小川町703-1"</f>
        <v>津市栗真小川町703-1</v>
      </c>
      <c r="D758" s="1" t="str">
        <f>"059-233-0066  "</f>
        <v xml:space="preserve">059-233-0066  </v>
      </c>
    </row>
    <row r="759" spans="1:4" x14ac:dyDescent="0.55000000000000004">
      <c r="A759" s="4">
        <v>2430502001</v>
      </c>
      <c r="B759" s="1" t="s">
        <v>1201</v>
      </c>
      <c r="C759" s="1" t="str">
        <f>"津市戸木町7860-2"</f>
        <v>津市戸木町7860-2</v>
      </c>
      <c r="D759" s="1" t="str">
        <f>"059-255-1050  "</f>
        <v xml:space="preserve">059-255-1050  </v>
      </c>
    </row>
    <row r="760" spans="1:4" x14ac:dyDescent="0.55000000000000004">
      <c r="A760" s="4">
        <v>2430502019</v>
      </c>
      <c r="B760" s="1" t="s">
        <v>1202</v>
      </c>
      <c r="C760" s="1" t="str">
        <f>"津市久居井戸山町868-5"</f>
        <v>津市久居井戸山町868-5</v>
      </c>
      <c r="D760" s="1" t="str">
        <f>"059-255-1419  "</f>
        <v xml:space="preserve">059-255-1419  </v>
      </c>
    </row>
    <row r="761" spans="1:4" x14ac:dyDescent="0.55000000000000004">
      <c r="A761" s="4">
        <v>2430502142</v>
      </c>
      <c r="B761" s="1" t="s">
        <v>1203</v>
      </c>
      <c r="C761" s="1" t="str">
        <f>"津市安濃町浄土寺330-1"</f>
        <v>津市安濃町浄土寺330-1</v>
      </c>
      <c r="D761" s="1" t="str">
        <f>"059-268-1514  "</f>
        <v xml:space="preserve">059-268-1514  </v>
      </c>
    </row>
    <row r="762" spans="1:4" x14ac:dyDescent="0.55000000000000004">
      <c r="A762" s="4">
        <v>2430502167</v>
      </c>
      <c r="B762" s="1" t="s">
        <v>1204</v>
      </c>
      <c r="C762" s="1" t="str">
        <f>"津市安濃町川西1386-4"</f>
        <v>津市安濃町川西1386-4</v>
      </c>
      <c r="D762" s="1" t="str">
        <f>"059-268-5333  "</f>
        <v xml:space="preserve">059-268-5333  </v>
      </c>
    </row>
    <row r="763" spans="1:4" x14ac:dyDescent="0.55000000000000004">
      <c r="A763" s="4">
        <v>2430502381</v>
      </c>
      <c r="B763" s="1" t="s">
        <v>1205</v>
      </c>
      <c r="C763" s="1" t="str">
        <f>"津市本町23-16"</f>
        <v>津市本町23-16</v>
      </c>
      <c r="D763" s="1" t="str">
        <f>"059-227-5673  "</f>
        <v xml:space="preserve">059-227-5673  </v>
      </c>
    </row>
    <row r="764" spans="1:4" x14ac:dyDescent="0.55000000000000004">
      <c r="A764" s="4">
        <v>2430502449</v>
      </c>
      <c r="B764" s="1" t="s">
        <v>1206</v>
      </c>
      <c r="C764" s="1" t="str">
        <f>"津市久居明神町2614-5　林ビル103"</f>
        <v>津市久居明神町2614-5　林ビル103</v>
      </c>
      <c r="D764" s="1" t="str">
        <f>"059-253-6778  "</f>
        <v xml:space="preserve">059-253-6778  </v>
      </c>
    </row>
    <row r="765" spans="1:4" x14ac:dyDescent="0.55000000000000004">
      <c r="A765" s="4">
        <v>2430505087</v>
      </c>
      <c r="B765" s="1" t="s">
        <v>1207</v>
      </c>
      <c r="C765" s="1" t="s">
        <v>2771</v>
      </c>
      <c r="D765" s="1" t="str">
        <f>"059-235-2125  "</f>
        <v xml:space="preserve">059-235-2125  </v>
      </c>
    </row>
    <row r="766" spans="1:4" x14ac:dyDescent="0.55000000000000004">
      <c r="A766" s="4">
        <v>2430505137</v>
      </c>
      <c r="B766" s="1" t="s">
        <v>1208</v>
      </c>
      <c r="C766" s="1" t="s">
        <v>2980</v>
      </c>
      <c r="D766" s="1" t="str">
        <f>"059-227-6488  "</f>
        <v xml:space="preserve">059-227-6488  </v>
      </c>
    </row>
    <row r="767" spans="1:4" x14ac:dyDescent="0.55000000000000004">
      <c r="A767" s="4">
        <v>2430505186</v>
      </c>
      <c r="B767" s="1" t="s">
        <v>1209</v>
      </c>
      <c r="C767" s="1" t="s">
        <v>2981</v>
      </c>
      <c r="D767" s="1" t="str">
        <f>"059-228-4453  "</f>
        <v xml:space="preserve">059-228-4453  </v>
      </c>
    </row>
    <row r="768" spans="1:4" x14ac:dyDescent="0.55000000000000004">
      <c r="A768" s="4">
        <v>2430505418</v>
      </c>
      <c r="B768" s="1" t="s">
        <v>1210</v>
      </c>
      <c r="C768" s="1" t="s">
        <v>2982</v>
      </c>
      <c r="D768" s="1" t="str">
        <f>"059-229-1648  "</f>
        <v xml:space="preserve">059-229-1648  </v>
      </c>
    </row>
    <row r="769" spans="1:4" x14ac:dyDescent="0.55000000000000004">
      <c r="A769" s="4">
        <v>2430505491</v>
      </c>
      <c r="B769" s="1" t="s">
        <v>1211</v>
      </c>
      <c r="C769" s="1" t="s">
        <v>2983</v>
      </c>
      <c r="D769" s="1" t="str">
        <f>"059-272-1118  "</f>
        <v xml:space="preserve">059-272-1118  </v>
      </c>
    </row>
    <row r="770" spans="1:4" x14ac:dyDescent="0.55000000000000004">
      <c r="A770" s="4">
        <v>2430505558</v>
      </c>
      <c r="B770" s="1" t="s">
        <v>1212</v>
      </c>
      <c r="C770" s="1" t="s">
        <v>2984</v>
      </c>
      <c r="D770" s="1" t="str">
        <f>"059-225-8020  "</f>
        <v xml:space="preserve">059-225-8020  </v>
      </c>
    </row>
    <row r="771" spans="1:4" x14ac:dyDescent="0.55000000000000004">
      <c r="A771" s="4">
        <v>2430505616</v>
      </c>
      <c r="B771" s="1" t="s">
        <v>1213</v>
      </c>
      <c r="C771" s="1" t="str">
        <f>"津市観音寺町442-11"</f>
        <v>津市観音寺町442-11</v>
      </c>
      <c r="D771" s="1" t="str">
        <f>"059-246-8220  "</f>
        <v xml:space="preserve">059-246-8220  </v>
      </c>
    </row>
    <row r="772" spans="1:4" x14ac:dyDescent="0.55000000000000004">
      <c r="A772" s="4">
        <v>2430505640</v>
      </c>
      <c r="B772" s="1" t="s">
        <v>1214</v>
      </c>
      <c r="C772" s="1" t="str">
        <f>"津市久居野村町516-6"</f>
        <v>津市久居野村町516-6</v>
      </c>
      <c r="D772" s="1" t="str">
        <f>"059-255-0620  "</f>
        <v xml:space="preserve">059-255-0620  </v>
      </c>
    </row>
    <row r="773" spans="1:4" x14ac:dyDescent="0.55000000000000004">
      <c r="A773" s="4">
        <v>2410701375</v>
      </c>
      <c r="B773" s="1" t="s">
        <v>623</v>
      </c>
      <c r="C773" s="1" t="str">
        <f>"松阪市大口町279-5"</f>
        <v>松阪市大口町279-5</v>
      </c>
      <c r="D773" s="1" t="str">
        <f>"0598-52-1000  "</f>
        <v xml:space="preserve">0598-52-1000  </v>
      </c>
    </row>
    <row r="774" spans="1:4" x14ac:dyDescent="0.55000000000000004">
      <c r="A774" s="4">
        <v>2410701391</v>
      </c>
      <c r="B774" s="1" t="s">
        <v>624</v>
      </c>
      <c r="C774" s="1" t="str">
        <f>"松阪市殿町1189-13"</f>
        <v>松阪市殿町1189-13</v>
      </c>
      <c r="D774" s="1" t="str">
        <f>"0598-26-5252  "</f>
        <v xml:space="preserve">0598-26-5252  </v>
      </c>
    </row>
    <row r="775" spans="1:4" x14ac:dyDescent="0.55000000000000004">
      <c r="A775" s="4">
        <v>2410701466</v>
      </c>
      <c r="B775" s="1" t="s">
        <v>625</v>
      </c>
      <c r="C775" s="1" t="s">
        <v>626</v>
      </c>
      <c r="D775" s="1" t="str">
        <f>"0598-21-1022  "</f>
        <v xml:space="preserve">0598-21-1022  </v>
      </c>
    </row>
    <row r="776" spans="1:4" x14ac:dyDescent="0.55000000000000004">
      <c r="A776" s="4">
        <v>2410701516</v>
      </c>
      <c r="B776" s="1" t="s">
        <v>627</v>
      </c>
      <c r="C776" s="1" t="str">
        <f>"松阪市久保町1927-2"</f>
        <v>松阪市久保町1927-2</v>
      </c>
      <c r="D776" s="1" t="str">
        <f>"0598-29-1311  "</f>
        <v xml:space="preserve">0598-29-1311  </v>
      </c>
    </row>
    <row r="777" spans="1:4" x14ac:dyDescent="0.55000000000000004">
      <c r="A777" s="4">
        <v>2410701649</v>
      </c>
      <c r="B777" s="1" t="s">
        <v>628</v>
      </c>
      <c r="C777" s="1" t="str">
        <f>"松阪市上川町2279-1"</f>
        <v>松阪市上川町2279-1</v>
      </c>
      <c r="D777" s="1" t="str">
        <f>"0598-28-6600  "</f>
        <v xml:space="preserve">0598-28-6600  </v>
      </c>
    </row>
    <row r="778" spans="1:4" x14ac:dyDescent="0.55000000000000004">
      <c r="A778" s="4">
        <v>2410701664</v>
      </c>
      <c r="B778" s="1" t="s">
        <v>629</v>
      </c>
      <c r="C778" s="1" t="str">
        <f>"松阪市射和町307-1"</f>
        <v>松阪市射和町307-1</v>
      </c>
      <c r="D778" s="1" t="str">
        <f>"0598-29-7272  "</f>
        <v xml:space="preserve">0598-29-7272  </v>
      </c>
    </row>
    <row r="779" spans="1:4" x14ac:dyDescent="0.55000000000000004">
      <c r="A779" s="4">
        <v>2410701730</v>
      </c>
      <c r="B779" s="1" t="s">
        <v>630</v>
      </c>
      <c r="C779" s="1" t="s">
        <v>631</v>
      </c>
      <c r="D779" s="1" t="str">
        <f>"0598-29-1213  "</f>
        <v xml:space="preserve">0598-29-1213  </v>
      </c>
    </row>
    <row r="780" spans="1:4" x14ac:dyDescent="0.55000000000000004">
      <c r="A780" s="4">
        <v>2410701805</v>
      </c>
      <c r="B780" s="1" t="s">
        <v>632</v>
      </c>
      <c r="C780" s="1" t="s">
        <v>2806</v>
      </c>
      <c r="D780" s="1" t="str">
        <f>"0598-22-1110  "</f>
        <v xml:space="preserve">0598-22-1110  </v>
      </c>
    </row>
    <row r="781" spans="1:4" x14ac:dyDescent="0.55000000000000004">
      <c r="A781" s="4">
        <v>2410701813</v>
      </c>
      <c r="B781" s="1" t="s">
        <v>633</v>
      </c>
      <c r="C781" s="1" t="str">
        <f>"松阪市京町1区29-1"</f>
        <v>松阪市京町1区29-1</v>
      </c>
      <c r="D781" s="1" t="str">
        <f>"0598-51-3014  "</f>
        <v xml:space="preserve">0598-51-3014  </v>
      </c>
    </row>
    <row r="782" spans="1:4" x14ac:dyDescent="0.55000000000000004">
      <c r="A782" s="4">
        <v>2410701862</v>
      </c>
      <c r="B782" s="1" t="s">
        <v>634</v>
      </c>
      <c r="C782" s="1" t="str">
        <f>"松阪市大津町624-1"</f>
        <v>松阪市大津町624-1</v>
      </c>
      <c r="D782" s="1" t="str">
        <f>"0598-50-3030  "</f>
        <v xml:space="preserve">0598-50-3030  </v>
      </c>
    </row>
    <row r="783" spans="1:4" x14ac:dyDescent="0.55000000000000004">
      <c r="A783" s="4">
        <v>2410701870</v>
      </c>
      <c r="B783" s="1" t="s">
        <v>635</v>
      </c>
      <c r="C783" s="1" t="s">
        <v>2807</v>
      </c>
      <c r="D783" s="1" t="str">
        <f>"0598-60-0708  "</f>
        <v xml:space="preserve">0598-60-0708  </v>
      </c>
    </row>
    <row r="784" spans="1:4" x14ac:dyDescent="0.55000000000000004">
      <c r="A784" s="4">
        <v>2410701904</v>
      </c>
      <c r="B784" s="1" t="s">
        <v>636</v>
      </c>
      <c r="C784" s="1" t="s">
        <v>2808</v>
      </c>
      <c r="D784" s="1" t="str">
        <f>"0598-60-2020  "</f>
        <v xml:space="preserve">0598-60-2020  </v>
      </c>
    </row>
    <row r="785" spans="1:4" x14ac:dyDescent="0.55000000000000004">
      <c r="A785" s="4">
        <v>2410701946</v>
      </c>
      <c r="B785" s="1" t="s">
        <v>637</v>
      </c>
      <c r="C785" s="1" t="str">
        <f>"松阪市五反田町3-1371-7"</f>
        <v>松阪市五反田町3-1371-7</v>
      </c>
      <c r="D785" s="1" t="str">
        <f>"0598-25-5151  "</f>
        <v xml:space="preserve">0598-25-5151  </v>
      </c>
    </row>
    <row r="786" spans="1:4" x14ac:dyDescent="0.55000000000000004">
      <c r="A786" s="4">
        <v>2410701961</v>
      </c>
      <c r="B786" s="1" t="s">
        <v>638</v>
      </c>
      <c r="C786" s="1" t="s">
        <v>2809</v>
      </c>
      <c r="D786" s="1" t="str">
        <f>"0598-26-8811  "</f>
        <v xml:space="preserve">0598-26-8811  </v>
      </c>
    </row>
    <row r="787" spans="1:4" x14ac:dyDescent="0.55000000000000004">
      <c r="A787" s="4">
        <v>2410702001</v>
      </c>
      <c r="B787" s="1" t="s">
        <v>639</v>
      </c>
      <c r="C787" s="1" t="str">
        <f>"松阪市西之庄町78-2"</f>
        <v>松阪市西之庄町78-2</v>
      </c>
      <c r="D787" s="1" t="str">
        <f>"0598-22-0011  "</f>
        <v xml:space="preserve">0598-22-0011  </v>
      </c>
    </row>
    <row r="788" spans="1:4" x14ac:dyDescent="0.55000000000000004">
      <c r="A788" s="4">
        <v>2410702019</v>
      </c>
      <c r="B788" s="1" t="s">
        <v>640</v>
      </c>
      <c r="C788" s="1" t="str">
        <f>"松阪市下村町1001-1"</f>
        <v>松阪市下村町1001-1</v>
      </c>
      <c r="D788" s="1" t="str">
        <f>"0598-60-2233  "</f>
        <v xml:space="preserve">0598-60-2233  </v>
      </c>
    </row>
    <row r="789" spans="1:4" x14ac:dyDescent="0.55000000000000004">
      <c r="A789" s="4">
        <v>2410702027</v>
      </c>
      <c r="B789" s="1" t="s">
        <v>641</v>
      </c>
      <c r="C789" s="1" t="s">
        <v>642</v>
      </c>
      <c r="D789" s="1" t="str">
        <f>"0598-25-1300  "</f>
        <v xml:space="preserve">0598-25-1300  </v>
      </c>
    </row>
    <row r="790" spans="1:4" x14ac:dyDescent="0.55000000000000004">
      <c r="A790" s="4">
        <v>2410702126</v>
      </c>
      <c r="B790" s="1" t="s">
        <v>643</v>
      </c>
      <c r="C790" s="1" t="str">
        <f>"松阪市嬉野中川町843-7"</f>
        <v>松阪市嬉野中川町843-7</v>
      </c>
      <c r="D790" s="1" t="str">
        <f>"0598-42-8886  "</f>
        <v xml:space="preserve">0598-42-8886  </v>
      </c>
    </row>
    <row r="791" spans="1:4" x14ac:dyDescent="0.55000000000000004">
      <c r="A791" s="4">
        <v>2410702134</v>
      </c>
      <c r="B791" s="1" t="s">
        <v>644</v>
      </c>
      <c r="C791" s="1" t="str">
        <f>"松阪市嬉野中川町822-5"</f>
        <v>松阪市嬉野中川町822-5</v>
      </c>
      <c r="D791" s="1" t="str">
        <f>"0598-48-2222  "</f>
        <v xml:space="preserve">0598-48-2222  </v>
      </c>
    </row>
    <row r="792" spans="1:4" x14ac:dyDescent="0.55000000000000004">
      <c r="A792" s="4">
        <v>2410702183</v>
      </c>
      <c r="B792" s="1" t="s">
        <v>645</v>
      </c>
      <c r="C792" s="1" t="s">
        <v>2810</v>
      </c>
      <c r="D792" s="1" t="str">
        <f>"0598-45-0016  "</f>
        <v xml:space="preserve">0598-45-0016  </v>
      </c>
    </row>
    <row r="793" spans="1:4" x14ac:dyDescent="0.55000000000000004">
      <c r="A793" s="4">
        <v>2410702209</v>
      </c>
      <c r="B793" s="1" t="s">
        <v>646</v>
      </c>
      <c r="C793" s="1" t="str">
        <f>"松阪市田村町字六才476-1"</f>
        <v>松阪市田村町字六才476-1</v>
      </c>
      <c r="D793" s="1" t="str">
        <f>"0598-25-1130  "</f>
        <v xml:space="preserve">0598-25-1130  </v>
      </c>
    </row>
    <row r="794" spans="1:4" x14ac:dyDescent="0.55000000000000004">
      <c r="A794" s="4">
        <v>2410702241</v>
      </c>
      <c r="B794" s="1" t="s">
        <v>647</v>
      </c>
      <c r="C794" s="1" t="str">
        <f>"松阪市大黒田町1841-1　"</f>
        <v>松阪市大黒田町1841-1　</v>
      </c>
      <c r="D794" s="1" t="str">
        <f>"0598-25-0031  "</f>
        <v xml:space="preserve">0598-25-0031  </v>
      </c>
    </row>
    <row r="795" spans="1:4" x14ac:dyDescent="0.55000000000000004">
      <c r="A795" s="4">
        <v>2410702258</v>
      </c>
      <c r="B795" s="1" t="s">
        <v>648</v>
      </c>
      <c r="C795" s="1" t="str">
        <f>"松阪市川井町728-8"</f>
        <v>松阪市川井町728-8</v>
      </c>
      <c r="D795" s="1" t="str">
        <f>"0598-25-6800  "</f>
        <v xml:space="preserve">0598-25-6800  </v>
      </c>
    </row>
    <row r="796" spans="1:4" x14ac:dyDescent="0.55000000000000004">
      <c r="A796" s="4">
        <v>2410702282</v>
      </c>
      <c r="B796" s="1" t="s">
        <v>649</v>
      </c>
      <c r="C796" s="1" t="str">
        <f>"松阪市上川町高田4322-6"</f>
        <v>松阪市上川町高田4322-6</v>
      </c>
      <c r="D796" s="1" t="str">
        <f>"0598-60-2600  "</f>
        <v xml:space="preserve">0598-60-2600  </v>
      </c>
    </row>
    <row r="797" spans="1:4" x14ac:dyDescent="0.55000000000000004">
      <c r="A797" s="4">
        <v>2410702308</v>
      </c>
      <c r="B797" s="1" t="s">
        <v>650</v>
      </c>
      <c r="C797" s="1" t="str">
        <f>"松阪市小阿坂町299-1"</f>
        <v>松阪市小阿坂町299-1</v>
      </c>
      <c r="D797" s="1" t="str">
        <f>"0598-58-2301  "</f>
        <v xml:space="preserve">0598-58-2301  </v>
      </c>
    </row>
    <row r="798" spans="1:4" x14ac:dyDescent="0.55000000000000004">
      <c r="A798" s="4">
        <v>2410702316</v>
      </c>
      <c r="B798" s="1" t="s">
        <v>651</v>
      </c>
      <c r="C798" s="1" t="str">
        <f>"松阪市高町192-5"</f>
        <v>松阪市高町192-5</v>
      </c>
      <c r="D798" s="1" t="str">
        <f>"0598-52-2410  "</f>
        <v xml:space="preserve">0598-52-2410  </v>
      </c>
    </row>
    <row r="799" spans="1:4" x14ac:dyDescent="0.55000000000000004">
      <c r="A799" s="4">
        <v>2410702324</v>
      </c>
      <c r="B799" s="1" t="s">
        <v>652</v>
      </c>
      <c r="C799" s="1" t="str">
        <f>"松阪市松崎浦町96-1"</f>
        <v>松阪市松崎浦町96-1</v>
      </c>
      <c r="D799" s="1" t="str">
        <f>"0598-51-1775  "</f>
        <v xml:space="preserve">0598-51-1775  </v>
      </c>
    </row>
    <row r="800" spans="1:4" x14ac:dyDescent="0.55000000000000004">
      <c r="A800" s="4">
        <v>2410702332</v>
      </c>
      <c r="B800" s="1" t="s">
        <v>653</v>
      </c>
      <c r="C800" s="1" t="s">
        <v>2811</v>
      </c>
      <c r="D800" s="1" t="str">
        <f>"0598-50-5070  "</f>
        <v xml:space="preserve">0598-50-5070  </v>
      </c>
    </row>
    <row r="801" spans="1:4" x14ac:dyDescent="0.55000000000000004">
      <c r="A801" s="4">
        <v>2410702340</v>
      </c>
      <c r="B801" s="1" t="s">
        <v>654</v>
      </c>
      <c r="C801" s="1" t="str">
        <f>"松阪市豊原町295-17"</f>
        <v>松阪市豊原町295-17</v>
      </c>
      <c r="D801" s="1" t="str">
        <f>"0598-61-2080  "</f>
        <v xml:space="preserve">0598-61-2080  </v>
      </c>
    </row>
    <row r="802" spans="1:4" x14ac:dyDescent="0.55000000000000004">
      <c r="A802" s="4">
        <v>2410702357</v>
      </c>
      <c r="B802" s="1" t="s">
        <v>655</v>
      </c>
      <c r="C802" s="1" t="s">
        <v>2812</v>
      </c>
      <c r="D802" s="1" t="str">
        <f>"0598-50-2888  "</f>
        <v xml:space="preserve">0598-50-2888  </v>
      </c>
    </row>
    <row r="803" spans="1:4" x14ac:dyDescent="0.55000000000000004">
      <c r="A803" s="4">
        <v>2410702365</v>
      </c>
      <c r="B803" s="1" t="s">
        <v>656</v>
      </c>
      <c r="C803" s="1" t="str">
        <f>"松阪市丹生寺町127-40"</f>
        <v>松阪市丹生寺町127-40</v>
      </c>
      <c r="D803" s="1" t="str">
        <f>"0598-58-1296  "</f>
        <v xml:space="preserve">0598-58-1296  </v>
      </c>
    </row>
    <row r="804" spans="1:4" x14ac:dyDescent="0.55000000000000004">
      <c r="A804" s="4">
        <v>2410702373</v>
      </c>
      <c r="B804" s="1" t="s">
        <v>657</v>
      </c>
      <c r="C804" s="1" t="s">
        <v>2813</v>
      </c>
      <c r="D804" s="1" t="str">
        <f>"0598-21-0005  "</f>
        <v xml:space="preserve">0598-21-0005  </v>
      </c>
    </row>
    <row r="805" spans="1:4" x14ac:dyDescent="0.55000000000000004">
      <c r="A805" s="4">
        <v>2410702381</v>
      </c>
      <c r="B805" s="1" t="s">
        <v>658</v>
      </c>
      <c r="C805" s="1" t="s">
        <v>2814</v>
      </c>
      <c r="D805" s="1" t="str">
        <f>"0598-56-5501  "</f>
        <v xml:space="preserve">0598-56-5501  </v>
      </c>
    </row>
    <row r="806" spans="1:4" x14ac:dyDescent="0.55000000000000004">
      <c r="A806" s="4">
        <v>2410702407</v>
      </c>
      <c r="B806" s="1" t="s">
        <v>660</v>
      </c>
      <c r="C806" s="1" t="s">
        <v>2815</v>
      </c>
      <c r="D806" s="1" t="str">
        <f>"0598-21-0150  "</f>
        <v xml:space="preserve">0598-21-0150  </v>
      </c>
    </row>
    <row r="807" spans="1:4" x14ac:dyDescent="0.55000000000000004">
      <c r="A807" s="4">
        <v>2410702449</v>
      </c>
      <c r="B807" s="1" t="s">
        <v>661</v>
      </c>
      <c r="C807" s="1" t="s">
        <v>2816</v>
      </c>
      <c r="D807" s="1" t="str">
        <f>"0598-20-8320  "</f>
        <v xml:space="preserve">0598-20-8320  </v>
      </c>
    </row>
    <row r="808" spans="1:4" x14ac:dyDescent="0.55000000000000004">
      <c r="A808" s="4">
        <v>2410702472</v>
      </c>
      <c r="B808" s="1" t="s">
        <v>662</v>
      </c>
      <c r="C808" s="1" t="s">
        <v>2817</v>
      </c>
      <c r="D808" s="1" t="str">
        <f>"0598-29-1721  "</f>
        <v xml:space="preserve">0598-29-1721  </v>
      </c>
    </row>
    <row r="809" spans="1:4" x14ac:dyDescent="0.55000000000000004">
      <c r="A809" s="4">
        <v>2410702498</v>
      </c>
      <c r="B809" s="1" t="s">
        <v>659</v>
      </c>
      <c r="C809" s="1" t="str">
        <f>"松阪市久保田町5-7"</f>
        <v>松阪市久保田町5-7</v>
      </c>
      <c r="D809" s="1" t="str">
        <f>"0598-25-5000  "</f>
        <v xml:space="preserve">0598-25-5000  </v>
      </c>
    </row>
    <row r="810" spans="1:4" x14ac:dyDescent="0.55000000000000004">
      <c r="A810" s="4">
        <v>2410702514</v>
      </c>
      <c r="B810" s="1" t="s">
        <v>663</v>
      </c>
      <c r="C810" s="1" t="str">
        <f>"松阪市川井町969-3"</f>
        <v>松阪市川井町969-3</v>
      </c>
      <c r="D810" s="1" t="str">
        <f>"0598-25-1810  "</f>
        <v xml:space="preserve">0598-25-1810  </v>
      </c>
    </row>
    <row r="811" spans="1:4" x14ac:dyDescent="0.55000000000000004">
      <c r="A811" s="4">
        <v>2410702530</v>
      </c>
      <c r="B811" s="1" t="s">
        <v>664</v>
      </c>
      <c r="C811" s="1" t="str">
        <f>"松阪市嬉野小村町522-2"</f>
        <v>松阪市嬉野小村町522-2</v>
      </c>
      <c r="D811" s="1" t="str">
        <f>"0598-42-2366  "</f>
        <v xml:space="preserve">0598-42-2366  </v>
      </c>
    </row>
    <row r="812" spans="1:4" x14ac:dyDescent="0.55000000000000004">
      <c r="A812" s="4">
        <v>2410702548</v>
      </c>
      <c r="B812" s="1" t="s">
        <v>665</v>
      </c>
      <c r="C812" s="1" t="s">
        <v>666</v>
      </c>
      <c r="D812" s="1" t="str">
        <f>"0598-42-1515  "</f>
        <v xml:space="preserve">0598-42-1515  </v>
      </c>
    </row>
    <row r="813" spans="1:4" x14ac:dyDescent="0.55000000000000004">
      <c r="A813" s="4">
        <v>2410702555</v>
      </c>
      <c r="B813" s="1" t="s">
        <v>667</v>
      </c>
      <c r="C813" s="1" t="s">
        <v>2818</v>
      </c>
      <c r="D813" s="1" t="str">
        <f>"0598-20-8920  "</f>
        <v xml:space="preserve">0598-20-8920  </v>
      </c>
    </row>
    <row r="814" spans="1:4" x14ac:dyDescent="0.55000000000000004">
      <c r="A814" s="4">
        <v>2410702571</v>
      </c>
      <c r="B814" s="1" t="s">
        <v>668</v>
      </c>
      <c r="C814" s="1" t="str">
        <f>"松阪市船江町519-1"</f>
        <v>松阪市船江町519-1</v>
      </c>
      <c r="D814" s="1" t="str">
        <f>"0598-23-3866  "</f>
        <v xml:space="preserve">0598-23-3866  </v>
      </c>
    </row>
    <row r="815" spans="1:4" x14ac:dyDescent="0.55000000000000004">
      <c r="A815" s="4">
        <v>2410702589</v>
      </c>
      <c r="B815" s="1" t="s">
        <v>669</v>
      </c>
      <c r="C815" s="1" t="str">
        <f>"松阪市猟師町高須72-1"</f>
        <v>松阪市猟師町高須72-1</v>
      </c>
      <c r="D815" s="1" t="str">
        <f>"0598-51-9200  "</f>
        <v xml:space="preserve">0598-51-9200  </v>
      </c>
    </row>
    <row r="816" spans="1:4" x14ac:dyDescent="0.55000000000000004">
      <c r="A816" s="4">
        <v>2410702597</v>
      </c>
      <c r="B816" s="1" t="s">
        <v>670</v>
      </c>
      <c r="C816" s="1" t="s">
        <v>671</v>
      </c>
      <c r="D816" s="1" t="str">
        <f>"0598-31-1009  "</f>
        <v xml:space="preserve">0598-31-1009  </v>
      </c>
    </row>
    <row r="817" spans="1:4" x14ac:dyDescent="0.55000000000000004">
      <c r="A817" s="4">
        <v>2410702605</v>
      </c>
      <c r="B817" s="1" t="s">
        <v>672</v>
      </c>
      <c r="C817" s="1" t="str">
        <f>"松阪市曽原町404-5"</f>
        <v>松阪市曽原町404-5</v>
      </c>
      <c r="D817" s="1" t="str">
        <f>"0598-31-2266  "</f>
        <v xml:space="preserve">0598-31-2266  </v>
      </c>
    </row>
    <row r="818" spans="1:4" x14ac:dyDescent="0.55000000000000004">
      <c r="A818" s="4">
        <v>2410702613</v>
      </c>
      <c r="B818" s="1" t="s">
        <v>673</v>
      </c>
      <c r="C818" s="1" t="s">
        <v>674</v>
      </c>
      <c r="D818" s="1" t="str">
        <f>"0598-31-3180  "</f>
        <v xml:space="preserve">0598-31-3180  </v>
      </c>
    </row>
    <row r="819" spans="1:4" x14ac:dyDescent="0.55000000000000004">
      <c r="A819" s="4">
        <v>2410702621</v>
      </c>
      <c r="B819" s="1" t="s">
        <v>675</v>
      </c>
      <c r="C819" s="1" t="str">
        <f>"松阪市嬉野算所町字遊開515-1"</f>
        <v>松阪市嬉野算所町字遊開515-1</v>
      </c>
      <c r="D819" s="1" t="str">
        <f>"0598-42-8088  "</f>
        <v xml:space="preserve">0598-42-8088  </v>
      </c>
    </row>
    <row r="820" spans="1:4" x14ac:dyDescent="0.55000000000000004">
      <c r="A820" s="4">
        <v>2410705012</v>
      </c>
      <c r="B820" s="1" t="s">
        <v>676</v>
      </c>
      <c r="C820" s="1" t="s">
        <v>2819</v>
      </c>
      <c r="D820" s="1" t="str">
        <f>"0598-23-1515  "</f>
        <v xml:space="preserve">0598-23-1515  </v>
      </c>
    </row>
    <row r="821" spans="1:4" x14ac:dyDescent="0.55000000000000004">
      <c r="A821" s="4">
        <v>2410705053</v>
      </c>
      <c r="B821" s="1" t="s">
        <v>677</v>
      </c>
      <c r="C821" s="1" t="s">
        <v>678</v>
      </c>
      <c r="D821" s="1" t="str">
        <f>"0598-51-2626  "</f>
        <v xml:space="preserve">0598-51-2626  </v>
      </c>
    </row>
    <row r="822" spans="1:4" x14ac:dyDescent="0.55000000000000004">
      <c r="A822" s="4">
        <v>2410705111</v>
      </c>
      <c r="B822" s="1" t="s">
        <v>679</v>
      </c>
      <c r="C822" s="1" t="s">
        <v>680</v>
      </c>
      <c r="D822" s="1" t="str">
        <f>"0598-21-5252  "</f>
        <v xml:space="preserve">0598-21-5252  </v>
      </c>
    </row>
    <row r="823" spans="1:4" x14ac:dyDescent="0.55000000000000004">
      <c r="A823" s="4">
        <v>2410705145</v>
      </c>
      <c r="B823" s="1" t="s">
        <v>681</v>
      </c>
      <c r="C823" s="1" t="str">
        <f>"松阪市南町443-4"</f>
        <v>松阪市南町443-4</v>
      </c>
      <c r="D823" s="1" t="str">
        <f>"0598-21-5522  "</f>
        <v xml:space="preserve">0598-21-5522  </v>
      </c>
    </row>
    <row r="824" spans="1:4" x14ac:dyDescent="0.55000000000000004">
      <c r="A824" s="4">
        <v>2410705210</v>
      </c>
      <c r="B824" s="1" t="s">
        <v>682</v>
      </c>
      <c r="C824" s="1" t="s">
        <v>2820</v>
      </c>
      <c r="D824" s="1" t="str">
        <f>"0598-51-5311  "</f>
        <v xml:space="preserve">0598-51-5311  </v>
      </c>
    </row>
    <row r="825" spans="1:4" x14ac:dyDescent="0.55000000000000004">
      <c r="A825" s="4">
        <v>2410705236</v>
      </c>
      <c r="B825" s="1" t="s">
        <v>683</v>
      </c>
      <c r="C825" s="1" t="str">
        <f>"松阪市小黒田町490-3"</f>
        <v>松阪市小黒田町490-3</v>
      </c>
      <c r="D825" s="1" t="str">
        <f>"0598-23-8008  "</f>
        <v xml:space="preserve">0598-23-8008  </v>
      </c>
    </row>
    <row r="826" spans="1:4" x14ac:dyDescent="0.55000000000000004">
      <c r="A826" s="4">
        <v>2410705251</v>
      </c>
      <c r="B826" s="1" t="s">
        <v>684</v>
      </c>
      <c r="C826" s="1" t="s">
        <v>2821</v>
      </c>
      <c r="D826" s="1" t="str">
        <f>"0598-21-4005  "</f>
        <v xml:space="preserve">0598-21-4005  </v>
      </c>
    </row>
    <row r="827" spans="1:4" x14ac:dyDescent="0.55000000000000004">
      <c r="A827" s="4">
        <v>2410705269</v>
      </c>
      <c r="B827" s="1" t="s">
        <v>685</v>
      </c>
      <c r="C827" s="1" t="str">
        <f>"松阪市南町200-16"</f>
        <v>松阪市南町200-16</v>
      </c>
      <c r="D827" s="1" t="str">
        <f>"0598-21-3514  "</f>
        <v xml:space="preserve">0598-21-3514  </v>
      </c>
    </row>
    <row r="828" spans="1:4" x14ac:dyDescent="0.55000000000000004">
      <c r="A828" s="4">
        <v>2410705277</v>
      </c>
      <c r="B828" s="1" t="s">
        <v>686</v>
      </c>
      <c r="C828" s="1" t="s">
        <v>2822</v>
      </c>
      <c r="D828" s="1" t="str">
        <f>"0598-23-4060  "</f>
        <v xml:space="preserve">0598-23-4060  </v>
      </c>
    </row>
    <row r="829" spans="1:4" x14ac:dyDescent="0.55000000000000004">
      <c r="A829" s="4">
        <v>2410705285</v>
      </c>
      <c r="B829" s="1" t="s">
        <v>687</v>
      </c>
      <c r="C829" s="1" t="str">
        <f>"松阪市京町169-1"</f>
        <v>松阪市京町169-1</v>
      </c>
      <c r="D829" s="1" t="str">
        <f>"0598-23-2321  "</f>
        <v xml:space="preserve">0598-23-2321  </v>
      </c>
    </row>
    <row r="830" spans="1:4" x14ac:dyDescent="0.55000000000000004">
      <c r="A830" s="4">
        <v>2410705293</v>
      </c>
      <c r="B830" s="1" t="s">
        <v>688</v>
      </c>
      <c r="C830" s="1" t="s">
        <v>689</v>
      </c>
      <c r="D830" s="1" t="str">
        <f>"0598-23-5941  "</f>
        <v xml:space="preserve">0598-23-5941  </v>
      </c>
    </row>
    <row r="831" spans="1:4" x14ac:dyDescent="0.55000000000000004">
      <c r="A831" s="4">
        <v>2410705301</v>
      </c>
      <c r="B831" s="1" t="s">
        <v>690</v>
      </c>
      <c r="C831" s="1" t="s">
        <v>691</v>
      </c>
      <c r="D831" s="1" t="str">
        <f>"0598-26-3846  "</f>
        <v xml:space="preserve">0598-26-3846  </v>
      </c>
    </row>
    <row r="832" spans="1:4" x14ac:dyDescent="0.55000000000000004">
      <c r="A832" s="4">
        <v>2410705319</v>
      </c>
      <c r="B832" s="1" t="s">
        <v>692</v>
      </c>
      <c r="C832" s="1" t="str">
        <f>"松阪市本町2195-1"</f>
        <v>松阪市本町2195-1</v>
      </c>
      <c r="D832" s="1" t="str">
        <f>"0598-21-1763  "</f>
        <v xml:space="preserve">0598-21-1763  </v>
      </c>
    </row>
    <row r="833" spans="1:4" x14ac:dyDescent="0.55000000000000004">
      <c r="A833" s="4">
        <v>2410705327</v>
      </c>
      <c r="B833" s="1" t="s">
        <v>693</v>
      </c>
      <c r="C833" s="1" t="str">
        <f>"松阪市大黒田町821-4"</f>
        <v>松阪市大黒田町821-4</v>
      </c>
      <c r="D833" s="1" t="str">
        <f>"0598-26-1511  "</f>
        <v xml:space="preserve">0598-26-1511  </v>
      </c>
    </row>
    <row r="834" spans="1:4" x14ac:dyDescent="0.55000000000000004">
      <c r="A834" s="4">
        <v>2410705343</v>
      </c>
      <c r="B834" s="1" t="s">
        <v>694</v>
      </c>
      <c r="C834" s="1" t="s">
        <v>2823</v>
      </c>
      <c r="D834" s="1" t="str">
        <f>"0598-23-8800  "</f>
        <v xml:space="preserve">0598-23-8800  </v>
      </c>
    </row>
    <row r="835" spans="1:4" x14ac:dyDescent="0.55000000000000004">
      <c r="A835" s="4">
        <v>2410705376</v>
      </c>
      <c r="B835" s="1" t="s">
        <v>695</v>
      </c>
      <c r="C835" s="1" t="str">
        <f>"松阪市五月町1386-5"</f>
        <v>松阪市五月町1386-5</v>
      </c>
      <c r="D835" s="1" t="str">
        <f>"0598-26-7711  "</f>
        <v xml:space="preserve">0598-26-7711  </v>
      </c>
    </row>
    <row r="836" spans="1:4" x14ac:dyDescent="0.55000000000000004">
      <c r="A836" s="4">
        <v>2410705384</v>
      </c>
      <c r="B836" s="1" t="s">
        <v>696</v>
      </c>
      <c r="C836" s="1" t="s">
        <v>2824</v>
      </c>
      <c r="D836" s="1" t="str">
        <f>"0598-36-0346  "</f>
        <v xml:space="preserve">0598-36-0346  </v>
      </c>
    </row>
    <row r="837" spans="1:4" x14ac:dyDescent="0.55000000000000004">
      <c r="A837" s="4">
        <v>2410705392</v>
      </c>
      <c r="B837" s="1" t="s">
        <v>697</v>
      </c>
      <c r="C837" s="1" t="s">
        <v>698</v>
      </c>
      <c r="D837" s="1" t="str">
        <f>"0598-26-3555  "</f>
        <v xml:space="preserve">0598-26-3555  </v>
      </c>
    </row>
    <row r="838" spans="1:4" x14ac:dyDescent="0.55000000000000004">
      <c r="A838" s="4">
        <v>2410705426</v>
      </c>
      <c r="B838" s="1" t="s">
        <v>699</v>
      </c>
      <c r="C838" s="1" t="str">
        <f>"松阪市新町946-1"</f>
        <v>松阪市新町946-1</v>
      </c>
      <c r="D838" s="1" t="str">
        <f>"0598-21-0259  "</f>
        <v xml:space="preserve">0598-21-0259  </v>
      </c>
    </row>
    <row r="839" spans="1:4" x14ac:dyDescent="0.55000000000000004">
      <c r="A839" s="4">
        <v>2410705475</v>
      </c>
      <c r="B839" s="1" t="s">
        <v>700</v>
      </c>
      <c r="C839" s="1" t="str">
        <f>"松阪市南町238-1"</f>
        <v>松阪市南町238-1</v>
      </c>
      <c r="D839" s="1" t="str">
        <f>"0598-26-0600  "</f>
        <v xml:space="preserve">0598-26-0600  </v>
      </c>
    </row>
    <row r="840" spans="1:4" x14ac:dyDescent="0.55000000000000004">
      <c r="A840" s="4">
        <v>2410705483</v>
      </c>
      <c r="B840" s="1" t="s">
        <v>701</v>
      </c>
      <c r="C840" s="1" t="s">
        <v>2825</v>
      </c>
      <c r="D840" s="1" t="str">
        <f>"0598-29-0051  "</f>
        <v xml:space="preserve">0598-29-0051  </v>
      </c>
    </row>
    <row r="841" spans="1:4" x14ac:dyDescent="0.55000000000000004">
      <c r="A841" s="4">
        <v>2410705509</v>
      </c>
      <c r="B841" s="1" t="s">
        <v>702</v>
      </c>
      <c r="C841" s="1" t="s">
        <v>2826</v>
      </c>
      <c r="D841" s="1" t="str">
        <f>"0598-22-0007  "</f>
        <v xml:space="preserve">0598-22-0007  </v>
      </c>
    </row>
    <row r="842" spans="1:4" x14ac:dyDescent="0.55000000000000004">
      <c r="A842" s="4">
        <v>2410705525</v>
      </c>
      <c r="B842" s="1" t="s">
        <v>703</v>
      </c>
      <c r="C842" s="1" t="str">
        <f>"松阪市宝塚町1509-5"</f>
        <v>松阪市宝塚町1509-5</v>
      </c>
      <c r="D842" s="1" t="str">
        <f>"0598-22-0220  "</f>
        <v xml:space="preserve">0598-22-0220  </v>
      </c>
    </row>
    <row r="843" spans="1:4" x14ac:dyDescent="0.55000000000000004">
      <c r="A843" s="4">
        <v>2410705590</v>
      </c>
      <c r="B843" s="1" t="s">
        <v>704</v>
      </c>
      <c r="C843" s="1" t="s">
        <v>2827</v>
      </c>
      <c r="D843" s="1" t="str">
        <f>"0598-60-0700  "</f>
        <v xml:space="preserve">0598-60-0700  </v>
      </c>
    </row>
    <row r="844" spans="1:4" x14ac:dyDescent="0.55000000000000004">
      <c r="A844" s="4">
        <v>2410705616</v>
      </c>
      <c r="B844" s="1" t="s">
        <v>705</v>
      </c>
      <c r="C844" s="1" t="s">
        <v>2828</v>
      </c>
      <c r="D844" s="1" t="str">
        <f>"0598-34-0054  "</f>
        <v xml:space="preserve">0598-34-0054  </v>
      </c>
    </row>
    <row r="845" spans="1:4" x14ac:dyDescent="0.55000000000000004">
      <c r="A845" s="4">
        <v>2410705624</v>
      </c>
      <c r="B845" s="1" t="s">
        <v>706</v>
      </c>
      <c r="C845" s="1" t="s">
        <v>707</v>
      </c>
      <c r="D845" s="1" t="str">
        <f>"0598-29-8700  "</f>
        <v xml:space="preserve">0598-29-8700  </v>
      </c>
    </row>
    <row r="846" spans="1:4" x14ac:dyDescent="0.55000000000000004">
      <c r="A846" s="4">
        <v>2410705640</v>
      </c>
      <c r="B846" s="1" t="s">
        <v>708</v>
      </c>
      <c r="C846" s="1" t="s">
        <v>2829</v>
      </c>
      <c r="D846" s="1" t="str">
        <f>"0598-23-1030  "</f>
        <v xml:space="preserve">0598-23-1030  </v>
      </c>
    </row>
    <row r="847" spans="1:4" x14ac:dyDescent="0.55000000000000004">
      <c r="A847" s="4">
        <v>2410705657</v>
      </c>
      <c r="B847" s="1" t="s">
        <v>709</v>
      </c>
      <c r="C847" s="1" t="str">
        <f>"松阪市上川町2194-3"</f>
        <v>松阪市上川町2194-3</v>
      </c>
      <c r="D847" s="1" t="str">
        <f>"0598-28-8828  "</f>
        <v xml:space="preserve">0598-28-8828  </v>
      </c>
    </row>
    <row r="848" spans="1:4" x14ac:dyDescent="0.55000000000000004">
      <c r="A848" s="4">
        <v>2410705665</v>
      </c>
      <c r="B848" s="1" t="s">
        <v>710</v>
      </c>
      <c r="C848" s="1" t="s">
        <v>613</v>
      </c>
      <c r="D848" s="1" t="str">
        <f>"0598-21-5222  "</f>
        <v xml:space="preserve">0598-21-5222  </v>
      </c>
    </row>
    <row r="849" spans="1:4" x14ac:dyDescent="0.55000000000000004">
      <c r="A849" s="4">
        <v>2410705681</v>
      </c>
      <c r="B849" s="1" t="s">
        <v>711</v>
      </c>
      <c r="C849" s="1" t="str">
        <f>"松阪市小黒田町251-2"</f>
        <v>松阪市小黒田町251-2</v>
      </c>
      <c r="D849" s="1" t="str">
        <f>"0598-21-2806  "</f>
        <v xml:space="preserve">0598-21-2806  </v>
      </c>
    </row>
    <row r="850" spans="1:4" x14ac:dyDescent="0.55000000000000004">
      <c r="A850" s="4">
        <v>2410705707</v>
      </c>
      <c r="B850" s="1" t="s">
        <v>712</v>
      </c>
      <c r="C850" s="1" t="str">
        <f>"松阪市嬉野中川新町1-6"</f>
        <v>松阪市嬉野中川新町1-6</v>
      </c>
      <c r="D850" s="1" t="str">
        <f>"0598-42-7211  "</f>
        <v xml:space="preserve">0598-42-7211  </v>
      </c>
    </row>
    <row r="851" spans="1:4" x14ac:dyDescent="0.55000000000000004">
      <c r="A851" s="4">
        <v>2410705731</v>
      </c>
      <c r="B851" s="1" t="s">
        <v>713</v>
      </c>
      <c r="C851" s="1" t="s">
        <v>2830</v>
      </c>
      <c r="D851" s="1" t="str">
        <f>"0598-48-0777  "</f>
        <v xml:space="preserve">0598-48-0777  </v>
      </c>
    </row>
    <row r="852" spans="1:4" x14ac:dyDescent="0.55000000000000004">
      <c r="A852" s="4">
        <v>2410705749</v>
      </c>
      <c r="B852" s="1" t="s">
        <v>714</v>
      </c>
      <c r="C852" s="1" t="str">
        <f>"松阪市飯南町横野353-2"</f>
        <v>松阪市飯南町横野353-2</v>
      </c>
      <c r="D852" s="1" t="str">
        <f>"0598-32-2002  "</f>
        <v xml:space="preserve">0598-32-2002  </v>
      </c>
    </row>
    <row r="853" spans="1:4" x14ac:dyDescent="0.55000000000000004">
      <c r="A853" s="4">
        <v>2410705756</v>
      </c>
      <c r="B853" s="1" t="s">
        <v>715</v>
      </c>
      <c r="C853" s="1" t="s">
        <v>2831</v>
      </c>
      <c r="D853" s="1" t="str">
        <f>"0598-47-0106  "</f>
        <v xml:space="preserve">0598-47-0106  </v>
      </c>
    </row>
    <row r="854" spans="1:4" x14ac:dyDescent="0.55000000000000004">
      <c r="A854" s="4">
        <v>2410705764</v>
      </c>
      <c r="B854" s="1" t="s">
        <v>716</v>
      </c>
      <c r="C854" s="1" t="s">
        <v>2832</v>
      </c>
      <c r="D854" s="1" t="str">
        <f>"0598-45-0023  "</f>
        <v xml:space="preserve">0598-45-0023  </v>
      </c>
    </row>
    <row r="855" spans="1:4" x14ac:dyDescent="0.55000000000000004">
      <c r="A855" s="4">
        <v>2410705772</v>
      </c>
      <c r="B855" s="1" t="s">
        <v>717</v>
      </c>
      <c r="C855" s="1" t="s">
        <v>2833</v>
      </c>
      <c r="D855" s="1" t="str">
        <f>"0598-46-0003  "</f>
        <v xml:space="preserve">0598-46-0003  </v>
      </c>
    </row>
    <row r="856" spans="1:4" x14ac:dyDescent="0.55000000000000004">
      <c r="A856" s="4">
        <v>2410705780</v>
      </c>
      <c r="B856" s="1" t="s">
        <v>718</v>
      </c>
      <c r="C856" s="1" t="str">
        <f>"松阪市飯南町粥見3910-1"</f>
        <v>松阪市飯南町粥見3910-1</v>
      </c>
      <c r="D856" s="1" t="str">
        <f>"0598-32-2205  "</f>
        <v xml:space="preserve">0598-32-2205  </v>
      </c>
    </row>
    <row r="857" spans="1:4" x14ac:dyDescent="0.55000000000000004">
      <c r="A857" s="4">
        <v>2410705814</v>
      </c>
      <c r="B857" s="1" t="s">
        <v>719</v>
      </c>
      <c r="C857" s="1" t="s">
        <v>2834</v>
      </c>
      <c r="D857" s="1" t="str">
        <f>"0598-21-0009  "</f>
        <v xml:space="preserve">0598-21-0009  </v>
      </c>
    </row>
    <row r="858" spans="1:4" x14ac:dyDescent="0.55000000000000004">
      <c r="A858" s="4">
        <v>2410705822</v>
      </c>
      <c r="B858" s="1" t="s">
        <v>720</v>
      </c>
      <c r="C858" s="1" t="s">
        <v>2835</v>
      </c>
      <c r="D858" s="1" t="str">
        <f>"0598-42-2258  "</f>
        <v xml:space="preserve">0598-42-2258  </v>
      </c>
    </row>
    <row r="859" spans="1:4" x14ac:dyDescent="0.55000000000000004">
      <c r="A859" s="4">
        <v>2410705830</v>
      </c>
      <c r="B859" s="1" t="s">
        <v>721</v>
      </c>
      <c r="C859" s="1" t="s">
        <v>2836</v>
      </c>
      <c r="D859" s="1" t="str">
        <f>"0598-25-5700  "</f>
        <v xml:space="preserve">0598-25-5700  </v>
      </c>
    </row>
    <row r="860" spans="1:4" x14ac:dyDescent="0.55000000000000004">
      <c r="A860" s="4">
        <v>2410705848</v>
      </c>
      <c r="B860" s="1" t="s">
        <v>722</v>
      </c>
      <c r="C860" s="1" t="s">
        <v>2837</v>
      </c>
      <c r="D860" s="1" t="str">
        <f>"0598-42-2900  "</f>
        <v xml:space="preserve">0598-42-2900  </v>
      </c>
    </row>
    <row r="861" spans="1:4" x14ac:dyDescent="0.55000000000000004">
      <c r="A861" s="4">
        <v>2410705855</v>
      </c>
      <c r="B861" s="1" t="s">
        <v>723</v>
      </c>
      <c r="C861" s="1" t="str">
        <f>"松阪市嬉野中川新町2丁目57-1"</f>
        <v>松阪市嬉野中川新町2丁目57-1</v>
      </c>
      <c r="D861" s="1" t="str">
        <f>"0598-42-8733  "</f>
        <v xml:space="preserve">0598-42-8733  </v>
      </c>
    </row>
    <row r="862" spans="1:4" x14ac:dyDescent="0.55000000000000004">
      <c r="A862" s="4">
        <v>2410705863</v>
      </c>
      <c r="B862" s="1" t="s">
        <v>724</v>
      </c>
      <c r="C862" s="1" t="s">
        <v>2838</v>
      </c>
      <c r="D862" s="1" t="str">
        <f>"0598-53-1177  "</f>
        <v xml:space="preserve">0598-53-1177  </v>
      </c>
    </row>
    <row r="863" spans="1:4" x14ac:dyDescent="0.55000000000000004">
      <c r="A863" s="4">
        <v>2410705897</v>
      </c>
      <c r="B863" s="1" t="s">
        <v>725</v>
      </c>
      <c r="C863" s="1" t="str">
        <f>"松阪市市場庄町1105-3"</f>
        <v>松阪市市場庄町1105-3</v>
      </c>
      <c r="D863" s="1" t="str">
        <f>"0598-56-6001  "</f>
        <v xml:space="preserve">0598-56-6001  </v>
      </c>
    </row>
    <row r="864" spans="1:4" x14ac:dyDescent="0.55000000000000004">
      <c r="A864" s="4">
        <v>2410705913</v>
      </c>
      <c r="B864" s="1" t="s">
        <v>726</v>
      </c>
      <c r="C864" s="1" t="str">
        <f>"松阪市下村町1843-6"</f>
        <v>松阪市下村町1843-6</v>
      </c>
      <c r="D864" s="1" t="str">
        <f>"0598-60-0277  "</f>
        <v xml:space="preserve">0598-60-0277  </v>
      </c>
    </row>
    <row r="865" spans="1:4" x14ac:dyDescent="0.55000000000000004">
      <c r="A865" s="4">
        <v>2410705939</v>
      </c>
      <c r="B865" s="1" t="s">
        <v>727</v>
      </c>
      <c r="C865" s="1" t="str">
        <f>"松阪市駅部田町752-1"</f>
        <v>松阪市駅部田町752-1</v>
      </c>
      <c r="D865" s="1" t="str">
        <f>"0598-25-1080  "</f>
        <v xml:space="preserve">0598-25-1080  </v>
      </c>
    </row>
    <row r="866" spans="1:4" x14ac:dyDescent="0.55000000000000004">
      <c r="A866" s="4">
        <v>2410705954</v>
      </c>
      <c r="B866" s="1" t="s">
        <v>728</v>
      </c>
      <c r="C866" s="1" t="s">
        <v>2839</v>
      </c>
      <c r="D866" s="1" t="str">
        <f>"0598-61-2220  "</f>
        <v xml:space="preserve">0598-61-2220  </v>
      </c>
    </row>
    <row r="867" spans="1:4" x14ac:dyDescent="0.55000000000000004">
      <c r="A867" s="4">
        <v>2410705970</v>
      </c>
      <c r="B867" s="1" t="s">
        <v>729</v>
      </c>
      <c r="C867" s="1" t="s">
        <v>2840</v>
      </c>
      <c r="D867" s="1" t="str">
        <f>"0598-59-0311  "</f>
        <v xml:space="preserve">0598-59-0311  </v>
      </c>
    </row>
    <row r="868" spans="1:4" x14ac:dyDescent="0.55000000000000004">
      <c r="A868" s="4">
        <v>2410705988</v>
      </c>
      <c r="B868" s="1" t="s">
        <v>730</v>
      </c>
      <c r="C868" s="1" t="str">
        <f>"松阪市曽原町811-1"</f>
        <v>松阪市曽原町811-1</v>
      </c>
      <c r="D868" s="1" t="str">
        <f>"0598-56-2250  "</f>
        <v xml:space="preserve">0598-56-2250  </v>
      </c>
    </row>
    <row r="869" spans="1:4" x14ac:dyDescent="0.55000000000000004">
      <c r="A869" s="4">
        <v>2410705996</v>
      </c>
      <c r="B869" s="1" t="s">
        <v>731</v>
      </c>
      <c r="C869" s="1" t="str">
        <f>"松阪市垣鼻町1761-23"</f>
        <v>松阪市垣鼻町1761-23</v>
      </c>
      <c r="D869" s="1" t="str">
        <f>"0598-25-1024  "</f>
        <v xml:space="preserve">0598-25-1024  </v>
      </c>
    </row>
    <row r="870" spans="1:4" x14ac:dyDescent="0.55000000000000004">
      <c r="A870" s="4">
        <v>2410715003</v>
      </c>
      <c r="B870" s="1" t="s">
        <v>732</v>
      </c>
      <c r="C870" s="1" t="s">
        <v>733</v>
      </c>
      <c r="D870" s="1" t="str">
        <f>"0598-31-3480  "</f>
        <v xml:space="preserve">0598-31-3480  </v>
      </c>
    </row>
    <row r="871" spans="1:4" x14ac:dyDescent="0.55000000000000004">
      <c r="A871" s="4">
        <v>2410715011</v>
      </c>
      <c r="B871" s="1" t="s">
        <v>734</v>
      </c>
      <c r="C871" s="1" t="s">
        <v>2841</v>
      </c>
      <c r="D871" s="1" t="str">
        <f>"0598-30-6101  "</f>
        <v xml:space="preserve">0598-30-6101  </v>
      </c>
    </row>
    <row r="872" spans="1:4" x14ac:dyDescent="0.55000000000000004">
      <c r="A872" s="4">
        <v>2410715029</v>
      </c>
      <c r="B872" s="1" t="s">
        <v>735</v>
      </c>
      <c r="C872" s="1" t="str">
        <f>"松阪市上川町高田4322-1"</f>
        <v>松阪市上川町高田4322-1</v>
      </c>
      <c r="D872" s="1" t="str">
        <f>"0598-60-2024  "</f>
        <v xml:space="preserve">0598-60-2024  </v>
      </c>
    </row>
    <row r="873" spans="1:4" x14ac:dyDescent="0.55000000000000004">
      <c r="A873" s="4">
        <v>2410715037</v>
      </c>
      <c r="B873" s="1" t="s">
        <v>736</v>
      </c>
      <c r="C873" s="1" t="str">
        <f>"松阪市嬉野中川町838-8"</f>
        <v>松阪市嬉野中川町838-8</v>
      </c>
      <c r="D873" s="1" t="str">
        <f>"0598-42-8000  "</f>
        <v xml:space="preserve">0598-42-8000  </v>
      </c>
    </row>
    <row r="874" spans="1:4" x14ac:dyDescent="0.55000000000000004">
      <c r="A874" s="4">
        <v>2410715045</v>
      </c>
      <c r="B874" s="1" t="s">
        <v>737</v>
      </c>
      <c r="C874" s="1" t="str">
        <f>"松阪市立田町字向田上141-1"</f>
        <v>松阪市立田町字向田上141-1</v>
      </c>
      <c r="D874" s="1" t="str">
        <f>"059-861-0600  "</f>
        <v xml:space="preserve">059-861-0600  </v>
      </c>
    </row>
    <row r="875" spans="1:4" x14ac:dyDescent="0.55000000000000004">
      <c r="A875" s="4">
        <v>2410715052</v>
      </c>
      <c r="B875" s="1" t="s">
        <v>738</v>
      </c>
      <c r="C875" s="1" t="str">
        <f>"松阪市大黒田町469-1"</f>
        <v>松阪市大黒田町469-1</v>
      </c>
      <c r="D875" s="1" t="str">
        <f>"0598-23-8801  "</f>
        <v xml:space="preserve">0598-23-8801  </v>
      </c>
    </row>
    <row r="876" spans="1:4" x14ac:dyDescent="0.55000000000000004">
      <c r="A876" s="4">
        <v>2410715060</v>
      </c>
      <c r="B876" s="1" t="s">
        <v>739</v>
      </c>
      <c r="C876" s="1" t="s">
        <v>740</v>
      </c>
      <c r="D876" s="1" t="str">
        <f>"0598-31-2520  "</f>
        <v xml:space="preserve">0598-31-2520  </v>
      </c>
    </row>
    <row r="877" spans="1:4" x14ac:dyDescent="0.55000000000000004">
      <c r="A877" s="4">
        <v>2430700837</v>
      </c>
      <c r="B877" s="1" t="s">
        <v>1215</v>
      </c>
      <c r="C877" s="1" t="str">
        <f>"松阪市中町1903-2"</f>
        <v>松阪市中町1903-2</v>
      </c>
      <c r="D877" s="1" t="str">
        <f>"0598-21-1653  "</f>
        <v xml:space="preserve">0598-21-1653  </v>
      </c>
    </row>
    <row r="878" spans="1:4" x14ac:dyDescent="0.55000000000000004">
      <c r="A878" s="4">
        <v>2430701009</v>
      </c>
      <c r="B878" s="1" t="s">
        <v>1216</v>
      </c>
      <c r="C878" s="1" t="str">
        <f>"松阪市下村町813-2"</f>
        <v>松阪市下村町813-2</v>
      </c>
      <c r="D878" s="1" t="str">
        <f>"0598-29-6020  "</f>
        <v xml:space="preserve">0598-29-6020  </v>
      </c>
    </row>
    <row r="879" spans="1:4" x14ac:dyDescent="0.55000000000000004">
      <c r="A879" s="4">
        <v>2430701223</v>
      </c>
      <c r="B879" s="1" t="s">
        <v>1217</v>
      </c>
      <c r="C879" s="1" t="str">
        <f>"松阪市久保町467-1"</f>
        <v>松阪市久保町467-1</v>
      </c>
      <c r="D879" s="1" t="str">
        <f>"0598-25-5522  "</f>
        <v xml:space="preserve">0598-25-5522  </v>
      </c>
    </row>
    <row r="880" spans="1:4" x14ac:dyDescent="0.55000000000000004">
      <c r="A880" s="4">
        <v>2430701264</v>
      </c>
      <c r="B880" s="1" t="s">
        <v>1218</v>
      </c>
      <c r="C880" s="1" t="str">
        <f>"松阪市駅部田町字花岡1888-37"</f>
        <v>松阪市駅部田町字花岡1888-37</v>
      </c>
      <c r="D880" s="1" t="str">
        <f>"0598-25-3111  "</f>
        <v xml:space="preserve">0598-25-3111  </v>
      </c>
    </row>
    <row r="881" spans="1:4" x14ac:dyDescent="0.55000000000000004">
      <c r="A881" s="4">
        <v>2430701561</v>
      </c>
      <c r="B881" s="1" t="s">
        <v>1219</v>
      </c>
      <c r="C881" s="1" t="str">
        <f>"松阪市豊原町283-1"</f>
        <v>松阪市豊原町283-1</v>
      </c>
      <c r="D881" s="1" t="str">
        <f>"0598-28-5518  "</f>
        <v xml:space="preserve">0598-28-5518  </v>
      </c>
    </row>
    <row r="882" spans="1:4" x14ac:dyDescent="0.55000000000000004">
      <c r="A882" s="4">
        <v>2430701611</v>
      </c>
      <c r="B882" s="1" t="s">
        <v>1220</v>
      </c>
      <c r="C882" s="1" t="str">
        <f>"松阪市垣鼻町455-7"</f>
        <v>松阪市垣鼻町455-7</v>
      </c>
      <c r="D882" s="1" t="str">
        <f>"0598-26-4618  "</f>
        <v xml:space="preserve">0598-26-4618  </v>
      </c>
    </row>
    <row r="883" spans="1:4" x14ac:dyDescent="0.55000000000000004">
      <c r="A883" s="4">
        <v>2430701652</v>
      </c>
      <c r="B883" s="1" t="s">
        <v>1221</v>
      </c>
      <c r="C883" s="1" t="str">
        <f>"松阪市飯高町宮前中切270-1"</f>
        <v>松阪市飯高町宮前中切270-1</v>
      </c>
      <c r="D883" s="1" t="str">
        <f>"0598-46-7700  "</f>
        <v xml:space="preserve">0598-46-7700  </v>
      </c>
    </row>
    <row r="884" spans="1:4" x14ac:dyDescent="0.55000000000000004">
      <c r="A884" s="4">
        <v>2430701702</v>
      </c>
      <c r="B884" s="1" t="s">
        <v>1222</v>
      </c>
      <c r="C884" s="1" t="str">
        <f>"松阪市大黒田町540-1"</f>
        <v>松阪市大黒田町540-1</v>
      </c>
      <c r="D884" s="1" t="str">
        <f>"0598-26-5066  "</f>
        <v xml:space="preserve">0598-26-5066  </v>
      </c>
    </row>
    <row r="885" spans="1:4" x14ac:dyDescent="0.55000000000000004">
      <c r="A885" s="4">
        <v>2412700409</v>
      </c>
      <c r="B885" s="1" t="s">
        <v>1053</v>
      </c>
      <c r="C885" s="1" t="s">
        <v>2939</v>
      </c>
      <c r="D885" s="1" t="str">
        <f>"0598-38-2009  "</f>
        <v xml:space="preserve">0598-38-2009  </v>
      </c>
    </row>
    <row r="886" spans="1:4" x14ac:dyDescent="0.55000000000000004">
      <c r="A886" s="4">
        <v>2412700581</v>
      </c>
      <c r="B886" s="1" t="s">
        <v>1057</v>
      </c>
      <c r="C886" s="1" t="str">
        <f>"多気郡多気町相可1513-2"</f>
        <v>多気郡多気町相可1513-2</v>
      </c>
      <c r="D886" s="1" t="str">
        <f>"0598-38-8080  "</f>
        <v xml:space="preserve">0598-38-8080  </v>
      </c>
    </row>
    <row r="887" spans="1:4" x14ac:dyDescent="0.55000000000000004">
      <c r="A887" s="4">
        <v>2412705127</v>
      </c>
      <c r="B887" s="1" t="s">
        <v>1064</v>
      </c>
      <c r="C887" s="1" t="str">
        <f>"多気郡多気町西池上寺尻1297-1"</f>
        <v>多気郡多気町西池上寺尻1297-1</v>
      </c>
      <c r="D887" s="1" t="str">
        <f>"0598-38-4300  "</f>
        <v xml:space="preserve">0598-38-4300  </v>
      </c>
    </row>
    <row r="888" spans="1:4" x14ac:dyDescent="0.55000000000000004">
      <c r="A888" s="4">
        <v>2432705073</v>
      </c>
      <c r="B888" s="1" t="s">
        <v>1258</v>
      </c>
      <c r="C888" s="1" t="str">
        <f>"多気郡多気町相可1001-1"</f>
        <v>多気郡多気町相可1001-1</v>
      </c>
      <c r="D888" s="1" t="str">
        <f>"0598-38-8000  "</f>
        <v xml:space="preserve">0598-38-8000  </v>
      </c>
    </row>
    <row r="889" spans="1:4" x14ac:dyDescent="0.55000000000000004">
      <c r="A889" s="4">
        <v>2432705081</v>
      </c>
      <c r="B889" s="1" t="s">
        <v>1259</v>
      </c>
      <c r="C889" s="1" t="str">
        <f>"多気郡多気町相可793-5"</f>
        <v>多気郡多気町相可793-5</v>
      </c>
      <c r="D889" s="1" t="str">
        <f>"0598-38-2152  "</f>
        <v xml:space="preserve">0598-38-2152  </v>
      </c>
    </row>
    <row r="890" spans="1:4" x14ac:dyDescent="0.55000000000000004">
      <c r="A890" s="4">
        <v>2412700524</v>
      </c>
      <c r="B890" s="1" t="s">
        <v>1054</v>
      </c>
      <c r="C890" s="1" t="str">
        <f>"多気郡明和町金剛坂816-66"</f>
        <v>多気郡明和町金剛坂816-66</v>
      </c>
      <c r="D890" s="1" t="str">
        <f>"0596-53-1100  "</f>
        <v xml:space="preserve">0596-53-1100  </v>
      </c>
    </row>
    <row r="891" spans="1:4" x14ac:dyDescent="0.55000000000000004">
      <c r="A891" s="4">
        <v>2412700565</v>
      </c>
      <c r="B891" s="1" t="s">
        <v>1055</v>
      </c>
      <c r="C891" s="1" t="str">
        <f>"多気郡明和町明星1749-1"</f>
        <v>多気郡明和町明星1749-1</v>
      </c>
      <c r="D891" s="1" t="str">
        <f>"0596-52-5200  "</f>
        <v xml:space="preserve">0596-52-5200  </v>
      </c>
    </row>
    <row r="892" spans="1:4" x14ac:dyDescent="0.55000000000000004">
      <c r="A892" s="4">
        <v>2412700573</v>
      </c>
      <c r="B892" s="1" t="s">
        <v>1056</v>
      </c>
      <c r="C892" s="1" t="str">
        <f>"多気郡明和町斎宮3726-2"</f>
        <v>多気郡明和町斎宮3726-2</v>
      </c>
      <c r="D892" s="1" t="str">
        <f>"0596-53-0700  "</f>
        <v xml:space="preserve">0596-53-0700  </v>
      </c>
    </row>
    <row r="893" spans="1:4" x14ac:dyDescent="0.55000000000000004">
      <c r="A893" s="4">
        <v>2412700599</v>
      </c>
      <c r="B893" s="1" t="s">
        <v>1058</v>
      </c>
      <c r="C893" s="1" t="str">
        <f>"多気郡明和町金剛坂812-39"</f>
        <v>多気郡明和町金剛坂812-39</v>
      </c>
      <c r="D893" s="1" t="str">
        <f>"0596-53-1112  "</f>
        <v xml:space="preserve">0596-53-1112  </v>
      </c>
    </row>
    <row r="894" spans="1:4" x14ac:dyDescent="0.55000000000000004">
      <c r="A894" s="4">
        <v>2412700607</v>
      </c>
      <c r="B894" s="1" t="s">
        <v>1059</v>
      </c>
      <c r="C894" s="1" t="str">
        <f>"多気郡明和町竹川33-31"</f>
        <v>多気郡明和町竹川33-31</v>
      </c>
      <c r="D894" s="1" t="str">
        <f>"0596-53-0011  "</f>
        <v xml:space="preserve">0596-53-0011  </v>
      </c>
    </row>
    <row r="895" spans="1:4" x14ac:dyDescent="0.55000000000000004">
      <c r="A895" s="4">
        <v>2412700615</v>
      </c>
      <c r="B895" s="1" t="s">
        <v>1060</v>
      </c>
      <c r="C895" s="1" t="str">
        <f>"多気郡明和町金剛坂728-1"</f>
        <v>多気郡明和町金剛坂728-1</v>
      </c>
      <c r="D895" s="1" t="str">
        <f>"0596-63-6652  "</f>
        <v xml:space="preserve">0596-63-6652  </v>
      </c>
    </row>
    <row r="896" spans="1:4" x14ac:dyDescent="0.55000000000000004">
      <c r="A896" s="4">
        <v>2412705101</v>
      </c>
      <c r="B896" s="1" t="s">
        <v>1062</v>
      </c>
      <c r="C896" s="1" t="str">
        <f>"多気郡明和町前野415-8"</f>
        <v>多気郡明和町前野415-8</v>
      </c>
      <c r="D896" s="1" t="str">
        <f>"0596-55-2207  "</f>
        <v xml:space="preserve">0596-55-2207  </v>
      </c>
    </row>
    <row r="897" spans="1:4" x14ac:dyDescent="0.55000000000000004">
      <c r="A897" s="4">
        <v>2412705119</v>
      </c>
      <c r="B897" s="1" t="s">
        <v>1063</v>
      </c>
      <c r="C897" s="1" t="s">
        <v>2940</v>
      </c>
      <c r="D897" s="1" t="str">
        <f>"0596-52-5005  "</f>
        <v xml:space="preserve">0596-52-5005  </v>
      </c>
    </row>
    <row r="898" spans="1:4" x14ac:dyDescent="0.55000000000000004">
      <c r="A898" s="4">
        <v>2412705150</v>
      </c>
      <c r="B898" s="1" t="s">
        <v>1067</v>
      </c>
      <c r="C898" s="1" t="s">
        <v>1068</v>
      </c>
      <c r="D898" s="1" t="str">
        <f>"0596-52-0131  "</f>
        <v xml:space="preserve">0596-52-0131  </v>
      </c>
    </row>
    <row r="899" spans="1:4" x14ac:dyDescent="0.55000000000000004">
      <c r="A899" s="4">
        <v>2412705184</v>
      </c>
      <c r="B899" s="1" t="s">
        <v>1070</v>
      </c>
      <c r="C899" s="1" t="s">
        <v>2941</v>
      </c>
      <c r="D899" s="1" t="str">
        <f>"0596-55-3988  "</f>
        <v xml:space="preserve">0596-55-3988  </v>
      </c>
    </row>
    <row r="900" spans="1:4" x14ac:dyDescent="0.55000000000000004">
      <c r="A900" s="4">
        <v>2412705192</v>
      </c>
      <c r="B900" s="1" t="s">
        <v>1071</v>
      </c>
      <c r="C900" s="1" t="str">
        <f>"多気郡明和町金剛坂822-15"</f>
        <v>多気郡明和町金剛坂822-15</v>
      </c>
      <c r="D900" s="1" t="str">
        <f>"0596-53-0088  "</f>
        <v xml:space="preserve">0596-53-0088  </v>
      </c>
    </row>
    <row r="901" spans="1:4" x14ac:dyDescent="0.55000000000000004">
      <c r="A901" s="4">
        <v>2412705226</v>
      </c>
      <c r="B901" s="1" t="s">
        <v>1073</v>
      </c>
      <c r="C901" s="1" t="str">
        <f>"多気郡明和町大字大淀2227-1"</f>
        <v>多気郡明和町大字大淀2227-1</v>
      </c>
      <c r="D901" s="1" t="str">
        <f>"0596-55-8188  "</f>
        <v xml:space="preserve">0596-55-8188  </v>
      </c>
    </row>
    <row r="902" spans="1:4" x14ac:dyDescent="0.55000000000000004">
      <c r="A902" s="4">
        <v>2432700520</v>
      </c>
      <c r="B902" s="1" t="s">
        <v>1256</v>
      </c>
      <c r="C902" s="1" t="str">
        <f>"多気郡明和町馬之上1181-1"</f>
        <v>多気郡明和町馬之上1181-1</v>
      </c>
      <c r="D902" s="1" t="str">
        <f>"0596-64-8212  "</f>
        <v xml:space="preserve">0596-64-8212  </v>
      </c>
    </row>
    <row r="903" spans="1:4" x14ac:dyDescent="0.55000000000000004">
      <c r="A903" s="4">
        <v>2432705040</v>
      </c>
      <c r="B903" s="1" t="s">
        <v>1257</v>
      </c>
      <c r="C903" s="1" t="str">
        <f>"多気郡明和町明星976-3"</f>
        <v>多気郡明和町明星976-3</v>
      </c>
      <c r="D903" s="1" t="str">
        <f>"0596-52-7007  "</f>
        <v xml:space="preserve">0596-52-7007  </v>
      </c>
    </row>
    <row r="904" spans="1:4" x14ac:dyDescent="0.55000000000000004">
      <c r="A904" s="4">
        <v>2412705069</v>
      </c>
      <c r="B904" s="1" t="s">
        <v>1061</v>
      </c>
      <c r="C904" s="1" t="str">
        <f>"多気郡大台町上三瀬663-2"</f>
        <v>多気郡大台町上三瀬663-2</v>
      </c>
      <c r="D904" s="1" t="str">
        <f>"0598-82-1313  "</f>
        <v xml:space="preserve">0598-82-1313  </v>
      </c>
    </row>
    <row r="905" spans="1:4" x14ac:dyDescent="0.55000000000000004">
      <c r="A905" s="4">
        <v>2412705135</v>
      </c>
      <c r="B905" s="1" t="s">
        <v>1065</v>
      </c>
      <c r="C905" s="1" t="str">
        <f>"多気郡大台町佐原457-20"</f>
        <v>多気郡大台町佐原457-20</v>
      </c>
      <c r="D905" s="1" t="str">
        <f>"0598-82-2600  "</f>
        <v xml:space="preserve">0598-82-2600  </v>
      </c>
    </row>
    <row r="906" spans="1:4" x14ac:dyDescent="0.55000000000000004">
      <c r="A906" s="4">
        <v>2412705143</v>
      </c>
      <c r="B906" s="1" t="s">
        <v>1066</v>
      </c>
      <c r="C906" s="1" t="str">
        <f>"多気郡大台町栃原1242-11"</f>
        <v>多気郡大台町栃原1242-11</v>
      </c>
      <c r="D906" s="1" t="str">
        <f>"0598-85-0039  "</f>
        <v xml:space="preserve">0598-85-0039  </v>
      </c>
    </row>
    <row r="907" spans="1:4" x14ac:dyDescent="0.55000000000000004">
      <c r="A907" s="4">
        <v>2412705168</v>
      </c>
      <c r="B907" s="1" t="s">
        <v>1069</v>
      </c>
      <c r="C907" s="1" t="str">
        <f>"多気郡大台町新田472-4"</f>
        <v>多気郡大台町新田472-4</v>
      </c>
      <c r="D907" s="1" t="str">
        <f>"0598-85-0106  "</f>
        <v xml:space="preserve">0598-85-0106  </v>
      </c>
    </row>
    <row r="908" spans="1:4" x14ac:dyDescent="0.55000000000000004">
      <c r="A908" s="4">
        <v>2412705200</v>
      </c>
      <c r="B908" s="1" t="s">
        <v>1072</v>
      </c>
      <c r="C908" s="1" t="str">
        <f>"多気郡大台町栃原1098-4"</f>
        <v>多気郡大台町栃原1098-4</v>
      </c>
      <c r="D908" s="1" t="str">
        <f>"0598-84-6868  "</f>
        <v xml:space="preserve">0598-84-6868  </v>
      </c>
    </row>
    <row r="909" spans="1:4" x14ac:dyDescent="0.55000000000000004">
      <c r="A909" s="4">
        <v>2412705234</v>
      </c>
      <c r="B909" s="1" t="s">
        <v>1074</v>
      </c>
      <c r="C909" s="1" t="s">
        <v>2942</v>
      </c>
      <c r="D909" s="1" t="str">
        <f>"0598-76-1133  "</f>
        <v xml:space="preserve">0598-76-1133  </v>
      </c>
    </row>
    <row r="910" spans="1:4" x14ac:dyDescent="0.55000000000000004">
      <c r="A910" s="4">
        <v>2410800029</v>
      </c>
      <c r="B910" s="1" t="s">
        <v>741</v>
      </c>
      <c r="C910" s="1" t="s">
        <v>2842</v>
      </c>
      <c r="D910" s="1" t="str">
        <f>"0596-36-4572  "</f>
        <v xml:space="preserve">0596-36-4572  </v>
      </c>
    </row>
    <row r="911" spans="1:4" x14ac:dyDescent="0.55000000000000004">
      <c r="A911" s="4">
        <v>2410801183</v>
      </c>
      <c r="B911" s="1" t="s">
        <v>742</v>
      </c>
      <c r="C911" s="1" t="s">
        <v>743</v>
      </c>
      <c r="D911" s="1" t="str">
        <f>"0596-23-1258  "</f>
        <v xml:space="preserve">0596-23-1258  </v>
      </c>
    </row>
    <row r="912" spans="1:4" x14ac:dyDescent="0.55000000000000004">
      <c r="A912" s="4">
        <v>2410801274</v>
      </c>
      <c r="B912" s="1" t="s">
        <v>744</v>
      </c>
      <c r="C912" s="1" t="str">
        <f>"伊勢市一之木1丁目14-19"</f>
        <v>伊勢市一之木1丁目14-19</v>
      </c>
      <c r="D912" s="1" t="str">
        <f>"0596-28-2110  "</f>
        <v xml:space="preserve">0596-28-2110  </v>
      </c>
    </row>
    <row r="913" spans="1:4" x14ac:dyDescent="0.55000000000000004">
      <c r="A913" s="4">
        <v>2410801332</v>
      </c>
      <c r="B913" s="1" t="s">
        <v>745</v>
      </c>
      <c r="C913" s="1" t="str">
        <f>"伊勢市二俣1丁目4-16"</f>
        <v>伊勢市二俣1丁目4-16</v>
      </c>
      <c r="D913" s="1" t="str">
        <f>"0596-28-5356  "</f>
        <v xml:space="preserve">0596-28-5356  </v>
      </c>
    </row>
    <row r="914" spans="1:4" x14ac:dyDescent="0.55000000000000004">
      <c r="A914" s="4">
        <v>2410801407</v>
      </c>
      <c r="B914" s="1" t="s">
        <v>746</v>
      </c>
      <c r="C914" s="1" t="str">
        <f>"伊勢市岡本2丁目1-40"</f>
        <v>伊勢市岡本2丁目1-40</v>
      </c>
      <c r="D914" s="1" t="str">
        <f>"0596-23-1212  "</f>
        <v xml:space="preserve">0596-23-1212  </v>
      </c>
    </row>
    <row r="915" spans="1:4" x14ac:dyDescent="0.55000000000000004">
      <c r="A915" s="4">
        <v>2410801415</v>
      </c>
      <c r="B915" s="1" t="s">
        <v>747</v>
      </c>
      <c r="C915" s="1" t="str">
        <f>"伊勢市岩渕1丁目13-3"</f>
        <v>伊勢市岩渕1丁目13-3</v>
      </c>
      <c r="D915" s="1" t="str">
        <f>"0596-22-1105  "</f>
        <v xml:space="preserve">0596-22-1105  </v>
      </c>
    </row>
    <row r="916" spans="1:4" x14ac:dyDescent="0.55000000000000004">
      <c r="A916" s="4">
        <v>2410801456</v>
      </c>
      <c r="B916" s="1" t="s">
        <v>748</v>
      </c>
      <c r="C916" s="1" t="str">
        <f>"伊勢市岩渕2丁目2-3"</f>
        <v>伊勢市岩渕2丁目2-3</v>
      </c>
      <c r="D916" s="1" t="str">
        <f>"0596-28-3402  "</f>
        <v xml:space="preserve">0596-28-3402  </v>
      </c>
    </row>
    <row r="917" spans="1:4" x14ac:dyDescent="0.55000000000000004">
      <c r="A917" s="4">
        <v>2410801506</v>
      </c>
      <c r="B917" s="1" t="s">
        <v>749</v>
      </c>
      <c r="C917" s="1" t="str">
        <f>"伊勢市中島2丁目1-10　39ビル1F"</f>
        <v>伊勢市中島2丁目1-10　39ビル1F</v>
      </c>
      <c r="D917" s="1" t="str">
        <f>"0596-22-8166  "</f>
        <v xml:space="preserve">0596-22-8166  </v>
      </c>
    </row>
    <row r="918" spans="1:4" x14ac:dyDescent="0.55000000000000004">
      <c r="A918" s="4">
        <v>2410801571</v>
      </c>
      <c r="B918" s="1" t="s">
        <v>750</v>
      </c>
      <c r="C918" s="1" t="str">
        <f>"伊勢市宇治浦田2-4-74"</f>
        <v>伊勢市宇治浦田2-4-74</v>
      </c>
      <c r="D918" s="1" t="str">
        <f>"0596-22-3376  "</f>
        <v xml:space="preserve">0596-22-3376  </v>
      </c>
    </row>
    <row r="919" spans="1:4" x14ac:dyDescent="0.55000000000000004">
      <c r="A919" s="4">
        <v>2410801639</v>
      </c>
      <c r="B919" s="1" t="s">
        <v>751</v>
      </c>
      <c r="C919" s="1" t="str">
        <f>"伊勢市一志町3-13"</f>
        <v>伊勢市一志町3-13</v>
      </c>
      <c r="D919" s="1" t="str">
        <f>"0596-23-1561  "</f>
        <v xml:space="preserve">0596-23-1561  </v>
      </c>
    </row>
    <row r="920" spans="1:4" x14ac:dyDescent="0.55000000000000004">
      <c r="A920" s="4">
        <v>2410801654</v>
      </c>
      <c r="B920" s="1" t="s">
        <v>752</v>
      </c>
      <c r="C920" s="1" t="str">
        <f>"伊勢市楠部町202-30"</f>
        <v>伊勢市楠部町202-30</v>
      </c>
      <c r="D920" s="1" t="str">
        <f>"0596-20-3387  "</f>
        <v xml:space="preserve">0596-20-3387  </v>
      </c>
    </row>
    <row r="921" spans="1:4" x14ac:dyDescent="0.55000000000000004">
      <c r="A921" s="4">
        <v>2410801688</v>
      </c>
      <c r="B921" s="1" t="s">
        <v>753</v>
      </c>
      <c r="C921" s="1" t="str">
        <f>"伊勢市楠部町乙139-2"</f>
        <v>伊勢市楠部町乙139-2</v>
      </c>
      <c r="D921" s="1" t="str">
        <f>"0596-26-2001  "</f>
        <v xml:space="preserve">0596-26-2001  </v>
      </c>
    </row>
    <row r="922" spans="1:4" x14ac:dyDescent="0.55000000000000004">
      <c r="A922" s="4">
        <v>2410801704</v>
      </c>
      <c r="B922" s="1" t="s">
        <v>754</v>
      </c>
      <c r="C922" s="1" t="str">
        <f>"伊勢市浦口2丁目7-4"</f>
        <v>伊勢市浦口2丁目7-4</v>
      </c>
      <c r="D922" s="1" t="str">
        <f>"0596-28-7040  "</f>
        <v xml:space="preserve">0596-28-7040  </v>
      </c>
    </row>
    <row r="923" spans="1:4" x14ac:dyDescent="0.55000000000000004">
      <c r="A923" s="4">
        <v>2410801746</v>
      </c>
      <c r="B923" s="1" t="s">
        <v>755</v>
      </c>
      <c r="C923" s="1" t="str">
        <f>"伊勢市黒瀬町690-2"</f>
        <v>伊勢市黒瀬町690-2</v>
      </c>
      <c r="D923" s="1" t="str">
        <f>"0596-21-5252  "</f>
        <v xml:space="preserve">0596-21-5252  </v>
      </c>
    </row>
    <row r="924" spans="1:4" x14ac:dyDescent="0.55000000000000004">
      <c r="A924" s="4">
        <v>2410801829</v>
      </c>
      <c r="B924" s="1" t="s">
        <v>756</v>
      </c>
      <c r="C924" s="1" t="str">
        <f>"伊勢市小俣町明野726-1"</f>
        <v>伊勢市小俣町明野726-1</v>
      </c>
      <c r="D924" s="1" t="str">
        <f>"0596-37-2275  "</f>
        <v xml:space="preserve">0596-37-2275  </v>
      </c>
    </row>
    <row r="925" spans="1:4" x14ac:dyDescent="0.55000000000000004">
      <c r="A925" s="4">
        <v>2410801837</v>
      </c>
      <c r="B925" s="1" t="s">
        <v>757</v>
      </c>
      <c r="C925" s="1" t="s">
        <v>2843</v>
      </c>
      <c r="D925" s="1" t="str">
        <f>"0596-21-0660  "</f>
        <v xml:space="preserve">0596-21-0660  </v>
      </c>
    </row>
    <row r="926" spans="1:4" x14ac:dyDescent="0.55000000000000004">
      <c r="A926" s="4">
        <v>2410801860</v>
      </c>
      <c r="B926" s="1" t="s">
        <v>758</v>
      </c>
      <c r="C926" s="1" t="s">
        <v>759</v>
      </c>
      <c r="D926" s="1" t="str">
        <f>"0596-22-4309  "</f>
        <v xml:space="preserve">0596-22-4309  </v>
      </c>
    </row>
    <row r="927" spans="1:4" x14ac:dyDescent="0.55000000000000004">
      <c r="A927" s="4">
        <v>2410801886</v>
      </c>
      <c r="B927" s="1" t="s">
        <v>760</v>
      </c>
      <c r="C927" s="1" t="str">
        <f>"伊勢市小俣町元町200-6"</f>
        <v>伊勢市小俣町元町200-6</v>
      </c>
      <c r="D927" s="1" t="str">
        <f>"0596-23-2960  "</f>
        <v xml:space="preserve">0596-23-2960  </v>
      </c>
    </row>
    <row r="928" spans="1:4" x14ac:dyDescent="0.55000000000000004">
      <c r="A928" s="4">
        <v>2410801910</v>
      </c>
      <c r="B928" s="1" t="s">
        <v>761</v>
      </c>
      <c r="C928" s="1" t="s">
        <v>2844</v>
      </c>
      <c r="D928" s="1" t="str">
        <f>"0596-44-1711  "</f>
        <v xml:space="preserve">0596-44-1711  </v>
      </c>
    </row>
    <row r="929" spans="1:4" x14ac:dyDescent="0.55000000000000004">
      <c r="A929" s="4">
        <v>2410801969</v>
      </c>
      <c r="B929" s="1" t="s">
        <v>762</v>
      </c>
      <c r="C929" s="1" t="str">
        <f>"伊勢市上地町4210-3"</f>
        <v>伊勢市上地町4210-3</v>
      </c>
      <c r="D929" s="1" t="str">
        <f>"0596-20-9888  "</f>
        <v xml:space="preserve">0596-20-9888  </v>
      </c>
    </row>
    <row r="930" spans="1:4" x14ac:dyDescent="0.55000000000000004">
      <c r="A930" s="4">
        <v>2410801985</v>
      </c>
      <c r="B930" s="1" t="s">
        <v>763</v>
      </c>
      <c r="C930" s="1" t="str">
        <f>"伊勢市一之木2-11-18"</f>
        <v>伊勢市一之木2-11-18</v>
      </c>
      <c r="D930" s="1" t="str">
        <f>"0596-21-2480  "</f>
        <v xml:space="preserve">0596-21-2480  </v>
      </c>
    </row>
    <row r="931" spans="1:4" x14ac:dyDescent="0.55000000000000004">
      <c r="A931" s="4">
        <v>2410802017</v>
      </c>
      <c r="B931" s="1" t="s">
        <v>764</v>
      </c>
      <c r="C931" s="1" t="s">
        <v>2845</v>
      </c>
      <c r="D931" s="1" t="str">
        <f>"0596-26-0303  "</f>
        <v xml:space="preserve">0596-26-0303  </v>
      </c>
    </row>
    <row r="932" spans="1:4" x14ac:dyDescent="0.55000000000000004">
      <c r="A932" s="4">
        <v>2410802041</v>
      </c>
      <c r="B932" s="1" t="s">
        <v>765</v>
      </c>
      <c r="C932" s="1" t="str">
        <f>"伊勢市一之木4-5-36"</f>
        <v>伊勢市一之木4-5-36</v>
      </c>
      <c r="D932" s="1" t="str">
        <f>"0596-63-5111  "</f>
        <v xml:space="preserve">0596-63-5111  </v>
      </c>
    </row>
    <row r="933" spans="1:4" x14ac:dyDescent="0.55000000000000004">
      <c r="A933" s="4">
        <v>2410802074</v>
      </c>
      <c r="B933" s="1" t="s">
        <v>766</v>
      </c>
      <c r="C933" s="1" t="str">
        <f>"伊勢市一志町6-7"</f>
        <v>伊勢市一志町6-7</v>
      </c>
      <c r="D933" s="1" t="str">
        <f>"0596-28-3357  "</f>
        <v xml:space="preserve">0596-28-3357  </v>
      </c>
    </row>
    <row r="934" spans="1:4" x14ac:dyDescent="0.55000000000000004">
      <c r="A934" s="4">
        <v>2410802082</v>
      </c>
      <c r="B934" s="1" t="s">
        <v>767</v>
      </c>
      <c r="C934" s="1" t="s">
        <v>2846</v>
      </c>
      <c r="D934" s="1" t="str">
        <f>"0596-28-2260  "</f>
        <v xml:space="preserve">0596-28-2260  </v>
      </c>
    </row>
    <row r="935" spans="1:4" x14ac:dyDescent="0.55000000000000004">
      <c r="A935" s="4">
        <v>2410802090</v>
      </c>
      <c r="B935" s="1" t="s">
        <v>768</v>
      </c>
      <c r="C935" s="1" t="str">
        <f>"伊勢市小木町470-1"</f>
        <v>伊勢市小木町470-1</v>
      </c>
      <c r="D935" s="1" t="str">
        <f>"0596-31-3000  "</f>
        <v xml:space="preserve">0596-31-3000  </v>
      </c>
    </row>
    <row r="936" spans="1:4" x14ac:dyDescent="0.55000000000000004">
      <c r="A936" s="4">
        <v>2410802116</v>
      </c>
      <c r="B936" s="1" t="s">
        <v>769</v>
      </c>
      <c r="C936" s="1" t="str">
        <f>"伊勢市吹上1丁目5-6"</f>
        <v>伊勢市吹上1丁目5-6</v>
      </c>
      <c r="D936" s="1" t="str">
        <f>"0596-28-3265  "</f>
        <v xml:space="preserve">0596-28-3265  </v>
      </c>
    </row>
    <row r="937" spans="1:4" x14ac:dyDescent="0.55000000000000004">
      <c r="A937" s="4">
        <v>2410802124</v>
      </c>
      <c r="B937" s="1" t="s">
        <v>770</v>
      </c>
      <c r="C937" s="1" t="str">
        <f>"伊勢市船江3-3-9"</f>
        <v>伊勢市船江3-3-9</v>
      </c>
      <c r="D937" s="1" t="str">
        <f>"0596-27-3000  "</f>
        <v xml:space="preserve">0596-27-3000  </v>
      </c>
    </row>
    <row r="938" spans="1:4" x14ac:dyDescent="0.55000000000000004">
      <c r="A938" s="4">
        <v>2410802132</v>
      </c>
      <c r="B938" s="1" t="s">
        <v>771</v>
      </c>
      <c r="C938" s="1" t="str">
        <f>"伊勢市小木町520-1"</f>
        <v>伊勢市小木町520-1</v>
      </c>
      <c r="D938" s="1" t="str">
        <f>"0596-31-3330  "</f>
        <v xml:space="preserve">0596-31-3330  </v>
      </c>
    </row>
    <row r="939" spans="1:4" x14ac:dyDescent="0.55000000000000004">
      <c r="A939" s="4">
        <v>2410802140</v>
      </c>
      <c r="B939" s="1" t="s">
        <v>772</v>
      </c>
      <c r="C939" s="1" t="s">
        <v>2847</v>
      </c>
      <c r="D939" s="1" t="str">
        <f>"0596-22-0100  "</f>
        <v xml:space="preserve">0596-22-0100  </v>
      </c>
    </row>
    <row r="940" spans="1:4" x14ac:dyDescent="0.55000000000000004">
      <c r="A940" s="4">
        <v>2410802165</v>
      </c>
      <c r="B940" s="1" t="s">
        <v>773</v>
      </c>
      <c r="C940" s="1" t="s">
        <v>2848</v>
      </c>
      <c r="D940" s="1" t="str">
        <f>"0596-20-1113  "</f>
        <v xml:space="preserve">0596-20-1113  </v>
      </c>
    </row>
    <row r="941" spans="1:4" x14ac:dyDescent="0.55000000000000004">
      <c r="A941" s="4">
        <v>2410802173</v>
      </c>
      <c r="B941" s="1" t="s">
        <v>774</v>
      </c>
      <c r="C941" s="1" t="str">
        <f>"伊勢市勢田町569-2"</f>
        <v>伊勢市勢田町569-2</v>
      </c>
      <c r="D941" s="1" t="str">
        <f>"0596-63-5692  "</f>
        <v xml:space="preserve">0596-63-5692  </v>
      </c>
    </row>
    <row r="942" spans="1:4" x14ac:dyDescent="0.55000000000000004">
      <c r="A942" s="4">
        <v>2410802215</v>
      </c>
      <c r="B942" s="1" t="s">
        <v>776</v>
      </c>
      <c r="C942" s="1" t="s">
        <v>777</v>
      </c>
      <c r="D942" s="1" t="str">
        <f>"0596-20-1145  "</f>
        <v xml:space="preserve">0596-20-1145  </v>
      </c>
    </row>
    <row r="943" spans="1:4" x14ac:dyDescent="0.55000000000000004">
      <c r="A943" s="4">
        <v>2410802223</v>
      </c>
      <c r="B943" s="1" t="s">
        <v>778</v>
      </c>
      <c r="C943" s="1" t="str">
        <f>"伊勢市一之木4丁目2-44"</f>
        <v>伊勢市一之木4丁目2-44</v>
      </c>
      <c r="D943" s="1" t="str">
        <f>"0596-21-3216  "</f>
        <v xml:space="preserve">0596-21-3216  </v>
      </c>
    </row>
    <row r="944" spans="1:4" x14ac:dyDescent="0.55000000000000004">
      <c r="A944" s="4">
        <v>2410802231</v>
      </c>
      <c r="B944" s="1" t="s">
        <v>779</v>
      </c>
      <c r="C944" s="1" t="str">
        <f>"伊勢市宮町1丁目3-24"</f>
        <v>伊勢市宮町1丁目3-24</v>
      </c>
      <c r="D944" s="1" t="str">
        <f>"0596-72-8820  "</f>
        <v xml:space="preserve">0596-72-8820  </v>
      </c>
    </row>
    <row r="945" spans="1:4" x14ac:dyDescent="0.55000000000000004">
      <c r="A945" s="4">
        <v>2410802256</v>
      </c>
      <c r="B945" s="1" t="s">
        <v>780</v>
      </c>
      <c r="C945" s="1" t="str">
        <f>"伊勢市上地町4214-1"</f>
        <v>伊勢市上地町4214-1</v>
      </c>
      <c r="D945" s="1" t="str">
        <f>"0596-22-7771  "</f>
        <v xml:space="preserve">0596-22-7771  </v>
      </c>
    </row>
    <row r="946" spans="1:4" x14ac:dyDescent="0.55000000000000004">
      <c r="A946" s="4">
        <v>2410802264</v>
      </c>
      <c r="B946" s="1" t="s">
        <v>781</v>
      </c>
      <c r="C946" s="1" t="s">
        <v>2849</v>
      </c>
      <c r="D946" s="1" t="str">
        <f>"0596-22-3900  "</f>
        <v xml:space="preserve">0596-22-3900  </v>
      </c>
    </row>
    <row r="947" spans="1:4" x14ac:dyDescent="0.55000000000000004">
      <c r="A947" s="4">
        <v>2410802272</v>
      </c>
      <c r="B947" s="1" t="s">
        <v>782</v>
      </c>
      <c r="C947" s="1" t="str">
        <f>"伊勢市船江3-6-18"</f>
        <v>伊勢市船江3-6-18</v>
      </c>
      <c r="D947" s="1" t="str">
        <f>"0596-22-0808  "</f>
        <v xml:space="preserve">0596-22-0808  </v>
      </c>
    </row>
    <row r="948" spans="1:4" x14ac:dyDescent="0.55000000000000004">
      <c r="A948" s="4">
        <v>2410802280</v>
      </c>
      <c r="B948" s="1" t="s">
        <v>783</v>
      </c>
      <c r="C948" s="1" t="s">
        <v>2850</v>
      </c>
      <c r="D948" s="1" t="str">
        <f>"0596-21-1112  "</f>
        <v xml:space="preserve">0596-21-1112  </v>
      </c>
    </row>
    <row r="949" spans="1:4" x14ac:dyDescent="0.55000000000000004">
      <c r="A949" s="4">
        <v>2410802306</v>
      </c>
      <c r="B949" s="1" t="s">
        <v>784</v>
      </c>
      <c r="C949" s="1" t="s">
        <v>785</v>
      </c>
      <c r="D949" s="1" t="str">
        <f>"0596-64-8677  "</f>
        <v xml:space="preserve">0596-64-8677  </v>
      </c>
    </row>
    <row r="950" spans="1:4" x14ac:dyDescent="0.55000000000000004">
      <c r="A950" s="4">
        <v>2410802314</v>
      </c>
      <c r="B950" s="1" t="s">
        <v>786</v>
      </c>
      <c r="C950" s="1" t="s">
        <v>787</v>
      </c>
      <c r="D950" s="1" t="str">
        <f>"0596-63-8165  "</f>
        <v xml:space="preserve">0596-63-8165  </v>
      </c>
    </row>
    <row r="951" spans="1:4" x14ac:dyDescent="0.55000000000000004">
      <c r="A951" s="4">
        <v>2410802322</v>
      </c>
      <c r="B951" s="1" t="s">
        <v>788</v>
      </c>
      <c r="C951" s="1" t="s">
        <v>789</v>
      </c>
      <c r="D951" s="1" t="str">
        <f>"0596-63-6400  "</f>
        <v xml:space="preserve">0596-63-6400  </v>
      </c>
    </row>
    <row r="952" spans="1:4" x14ac:dyDescent="0.55000000000000004">
      <c r="A952" s="4">
        <v>2410802330</v>
      </c>
      <c r="B952" s="1" t="s">
        <v>790</v>
      </c>
      <c r="C952" s="1" t="s">
        <v>791</v>
      </c>
      <c r="D952" s="1" t="str">
        <f>"0596-72-8858  "</f>
        <v xml:space="preserve">0596-72-8858  </v>
      </c>
    </row>
    <row r="953" spans="1:4" x14ac:dyDescent="0.55000000000000004">
      <c r="A953" s="4">
        <v>2410802348</v>
      </c>
      <c r="B953" s="1" t="s">
        <v>792</v>
      </c>
      <c r="C953" s="1" t="str">
        <f>"伊勢市神久2丁目1-15"</f>
        <v>伊勢市神久2丁目1-15</v>
      </c>
      <c r="D953" s="1" t="str">
        <f>"0596-21-1717  "</f>
        <v xml:space="preserve">0596-21-1717  </v>
      </c>
    </row>
    <row r="954" spans="1:4" x14ac:dyDescent="0.55000000000000004">
      <c r="A954" s="4">
        <v>2410805036</v>
      </c>
      <c r="B954" s="1" t="s">
        <v>793</v>
      </c>
      <c r="C954" s="1" t="s">
        <v>2851</v>
      </c>
      <c r="D954" s="1" t="str">
        <f>"0596-23-5111  "</f>
        <v xml:space="preserve">0596-23-5111  </v>
      </c>
    </row>
    <row r="955" spans="1:4" x14ac:dyDescent="0.55000000000000004">
      <c r="A955" s="4">
        <v>2410805101</v>
      </c>
      <c r="B955" s="1" t="s">
        <v>794</v>
      </c>
      <c r="C955" s="1" t="str">
        <f>"伊勢市八日市場町9-12"</f>
        <v>伊勢市八日市場町9-12</v>
      </c>
      <c r="D955" s="1" t="str">
        <f>"0596-28-1122  "</f>
        <v xml:space="preserve">0596-28-1122  </v>
      </c>
    </row>
    <row r="956" spans="1:4" x14ac:dyDescent="0.55000000000000004">
      <c r="A956" s="4">
        <v>2410805135</v>
      </c>
      <c r="B956" s="1" t="s">
        <v>795</v>
      </c>
      <c r="C956" s="1" t="str">
        <f>"伊勢市河崎2-17-11"</f>
        <v>伊勢市河崎2-17-11</v>
      </c>
      <c r="D956" s="1" t="str">
        <f>"0596-28-5902  "</f>
        <v xml:space="preserve">0596-28-5902  </v>
      </c>
    </row>
    <row r="957" spans="1:4" x14ac:dyDescent="0.55000000000000004">
      <c r="A957" s="4">
        <v>2410805143</v>
      </c>
      <c r="B957" s="1" t="s">
        <v>796</v>
      </c>
      <c r="C957" s="1" t="s">
        <v>797</v>
      </c>
      <c r="D957" s="1" t="str">
        <f>"0596-28-3931  "</f>
        <v xml:space="preserve">0596-28-3931  </v>
      </c>
    </row>
    <row r="958" spans="1:4" x14ac:dyDescent="0.55000000000000004">
      <c r="A958" s="4">
        <v>2410805168</v>
      </c>
      <c r="B958" s="1" t="s">
        <v>798</v>
      </c>
      <c r="C958" s="1" t="str">
        <f>"伊勢市岩渕2-7-12"</f>
        <v>伊勢市岩渕2-7-12</v>
      </c>
      <c r="D958" s="1" t="str">
        <f>"0596-27-1187  "</f>
        <v xml:space="preserve">0596-27-1187  </v>
      </c>
    </row>
    <row r="959" spans="1:4" x14ac:dyDescent="0.55000000000000004">
      <c r="A959" s="4">
        <v>2410805184</v>
      </c>
      <c r="B959" s="1" t="s">
        <v>799</v>
      </c>
      <c r="C959" s="1" t="str">
        <f>"伊勢市河崎1丁目9-37"</f>
        <v>伊勢市河崎1丁目9-37</v>
      </c>
      <c r="D959" s="1" t="str">
        <f>"0596-28-0100  "</f>
        <v xml:space="preserve">0596-28-0100  </v>
      </c>
    </row>
    <row r="960" spans="1:4" x14ac:dyDescent="0.55000000000000004">
      <c r="A960" s="4">
        <v>2410805192</v>
      </c>
      <c r="B960" s="1" t="s">
        <v>800</v>
      </c>
      <c r="C960" s="1" t="str">
        <f>"伊勢市藤里町698-15"</f>
        <v>伊勢市藤里町698-15</v>
      </c>
      <c r="D960" s="1" t="str">
        <f>"0596-23-5211  "</f>
        <v xml:space="preserve">0596-23-5211  </v>
      </c>
    </row>
    <row r="961" spans="1:4" x14ac:dyDescent="0.55000000000000004">
      <c r="A961" s="4">
        <v>2410805218</v>
      </c>
      <c r="B961" s="1" t="s">
        <v>801</v>
      </c>
      <c r="C961" s="1" t="str">
        <f>"伊勢市一之木5-15-5"</f>
        <v>伊勢市一之木5-15-5</v>
      </c>
      <c r="D961" s="1" t="str">
        <f>"0596-23-1515  "</f>
        <v xml:space="preserve">0596-23-1515  </v>
      </c>
    </row>
    <row r="962" spans="1:4" x14ac:dyDescent="0.55000000000000004">
      <c r="A962" s="4">
        <v>2410805226</v>
      </c>
      <c r="B962" s="1" t="s">
        <v>802</v>
      </c>
      <c r="C962" s="1" t="str">
        <f>"伊勢市一之木3丁目5-13"</f>
        <v>伊勢市一之木3丁目5-13</v>
      </c>
      <c r="D962" s="1" t="str">
        <f>"0596-28-8718  "</f>
        <v xml:space="preserve">0596-28-8718  </v>
      </c>
    </row>
    <row r="963" spans="1:4" x14ac:dyDescent="0.55000000000000004">
      <c r="A963" s="4">
        <v>2410805259</v>
      </c>
      <c r="B963" s="1" t="s">
        <v>803</v>
      </c>
      <c r="C963" s="1" t="str">
        <f>"伊勢市河崎1-12-1"</f>
        <v>伊勢市河崎1-12-1</v>
      </c>
      <c r="D963" s="1" t="str">
        <f>"0596-28-7556  "</f>
        <v xml:space="preserve">0596-28-7556  </v>
      </c>
    </row>
    <row r="964" spans="1:4" x14ac:dyDescent="0.55000000000000004">
      <c r="A964" s="4">
        <v>2410805267</v>
      </c>
      <c r="B964" s="1" t="s">
        <v>804</v>
      </c>
      <c r="C964" s="1" t="s">
        <v>2852</v>
      </c>
      <c r="D964" s="1" t="str">
        <f>"0596-25-3111  "</f>
        <v xml:space="preserve">0596-25-3111  </v>
      </c>
    </row>
    <row r="965" spans="1:4" x14ac:dyDescent="0.55000000000000004">
      <c r="A965" s="4">
        <v>2410805283</v>
      </c>
      <c r="B965" s="1" t="s">
        <v>805</v>
      </c>
      <c r="C965" s="1" t="str">
        <f>"伊勢市浦口2丁目2-13"</f>
        <v>伊勢市浦口2丁目2-13</v>
      </c>
      <c r="D965" s="1" t="str">
        <f>"0596-23-1211  "</f>
        <v xml:space="preserve">0596-23-1211  </v>
      </c>
    </row>
    <row r="966" spans="1:4" x14ac:dyDescent="0.55000000000000004">
      <c r="A966" s="4">
        <v>2410805291</v>
      </c>
      <c r="B966" s="1" t="s">
        <v>806</v>
      </c>
      <c r="C966" s="1" t="str">
        <f>"伊勢市河崎1-12-2"</f>
        <v>伊勢市河崎1-12-2</v>
      </c>
      <c r="D966" s="1" t="str">
        <f>"0596-28-0101  "</f>
        <v xml:space="preserve">0596-28-0101  </v>
      </c>
    </row>
    <row r="967" spans="1:4" x14ac:dyDescent="0.55000000000000004">
      <c r="A967" s="4">
        <v>2410805309</v>
      </c>
      <c r="B967" s="1" t="s">
        <v>807</v>
      </c>
      <c r="C967" s="1" t="s">
        <v>2853</v>
      </c>
      <c r="D967" s="1" t="str">
        <f>"0596-28-8425  "</f>
        <v xml:space="preserve">0596-28-8425  </v>
      </c>
    </row>
    <row r="968" spans="1:4" x14ac:dyDescent="0.55000000000000004">
      <c r="A968" s="4">
        <v>2410805333</v>
      </c>
      <c r="B968" s="1" t="s">
        <v>808</v>
      </c>
      <c r="C968" s="1" t="s">
        <v>2854</v>
      </c>
      <c r="D968" s="1" t="str">
        <f>"0596-37-5030  "</f>
        <v xml:space="preserve">0596-37-5030  </v>
      </c>
    </row>
    <row r="969" spans="1:4" x14ac:dyDescent="0.55000000000000004">
      <c r="A969" s="4">
        <v>2410805341</v>
      </c>
      <c r="B969" s="1" t="s">
        <v>809</v>
      </c>
      <c r="C969" s="1" t="str">
        <f>"伊勢市神久5-7-56"</f>
        <v>伊勢市神久5-7-56</v>
      </c>
      <c r="D969" s="1" t="str">
        <f>"0596-22-1181  "</f>
        <v xml:space="preserve">0596-22-1181  </v>
      </c>
    </row>
    <row r="970" spans="1:4" x14ac:dyDescent="0.55000000000000004">
      <c r="A970" s="4">
        <v>2410805358</v>
      </c>
      <c r="B970" s="1" t="s">
        <v>810</v>
      </c>
      <c r="C970" s="1" t="str">
        <f>"伊勢市本町5-13"</f>
        <v>伊勢市本町5-13</v>
      </c>
      <c r="D970" s="1" t="str">
        <f>"0596-28-7802  "</f>
        <v xml:space="preserve">0596-28-7802  </v>
      </c>
    </row>
    <row r="971" spans="1:4" x14ac:dyDescent="0.55000000000000004">
      <c r="A971" s="4">
        <v>2410805374</v>
      </c>
      <c r="B971" s="1" t="s">
        <v>811</v>
      </c>
      <c r="C971" s="1" t="s">
        <v>2855</v>
      </c>
      <c r="D971" s="1" t="str">
        <f>"0596-36-6500  "</f>
        <v xml:space="preserve">0596-36-6500  </v>
      </c>
    </row>
    <row r="972" spans="1:4" x14ac:dyDescent="0.55000000000000004">
      <c r="A972" s="4">
        <v>2410805408</v>
      </c>
      <c r="B972" s="1" t="s">
        <v>812</v>
      </c>
      <c r="C972" s="1" t="str">
        <f>"伊勢市神田久志本町1539-6"</f>
        <v>伊勢市神田久志本町1539-6</v>
      </c>
      <c r="D972" s="1" t="str">
        <f>"0596-23-2288  "</f>
        <v xml:space="preserve">0596-23-2288  </v>
      </c>
    </row>
    <row r="973" spans="1:4" x14ac:dyDescent="0.55000000000000004">
      <c r="A973" s="4">
        <v>2410805416</v>
      </c>
      <c r="B973" s="1" t="s">
        <v>813</v>
      </c>
      <c r="C973" s="1" t="s">
        <v>2856</v>
      </c>
      <c r="D973" s="1" t="str">
        <f>"0596-36-4693  "</f>
        <v xml:space="preserve">0596-36-4693  </v>
      </c>
    </row>
    <row r="974" spans="1:4" x14ac:dyDescent="0.55000000000000004">
      <c r="A974" s="4">
        <v>2410805440</v>
      </c>
      <c r="B974" s="1" t="s">
        <v>814</v>
      </c>
      <c r="C974" s="1" t="s">
        <v>2857</v>
      </c>
      <c r="D974" s="1" t="str">
        <f>"0596-20-6911  "</f>
        <v xml:space="preserve">0596-20-6911  </v>
      </c>
    </row>
    <row r="975" spans="1:4" x14ac:dyDescent="0.55000000000000004">
      <c r="A975" s="4">
        <v>2410805465</v>
      </c>
      <c r="B975" s="1" t="s">
        <v>815</v>
      </c>
      <c r="C975" s="1" t="str">
        <f>"伊勢市御薗町高向810-1"</f>
        <v>伊勢市御薗町高向810-1</v>
      </c>
      <c r="D975" s="1" t="str">
        <f>"0596-22-1155  "</f>
        <v xml:space="preserve">0596-22-1155  </v>
      </c>
    </row>
    <row r="976" spans="1:4" x14ac:dyDescent="0.55000000000000004">
      <c r="A976" s="4">
        <v>2410805481</v>
      </c>
      <c r="B976" s="1" t="s">
        <v>816</v>
      </c>
      <c r="C976" s="1" t="str">
        <f>"伊勢市一志町7-1"</f>
        <v>伊勢市一志町7-1</v>
      </c>
      <c r="D976" s="1" t="str">
        <f>"0596-24-3387  "</f>
        <v xml:space="preserve">0596-24-3387  </v>
      </c>
    </row>
    <row r="977" spans="1:4" x14ac:dyDescent="0.55000000000000004">
      <c r="A977" s="4">
        <v>2410805507</v>
      </c>
      <c r="B977" s="1" t="s">
        <v>817</v>
      </c>
      <c r="C977" s="1" t="s">
        <v>818</v>
      </c>
      <c r="D977" s="1" t="str">
        <f>"0596-28-2171  "</f>
        <v xml:space="preserve">0596-28-2171  </v>
      </c>
    </row>
    <row r="978" spans="1:4" x14ac:dyDescent="0.55000000000000004">
      <c r="A978" s="4">
        <v>2410805549</v>
      </c>
      <c r="B978" s="1" t="s">
        <v>819</v>
      </c>
      <c r="C978" s="1" t="s">
        <v>2858</v>
      </c>
      <c r="D978" s="1" t="str">
        <f>"0596-25-8741  "</f>
        <v xml:space="preserve">0596-25-8741  </v>
      </c>
    </row>
    <row r="979" spans="1:4" x14ac:dyDescent="0.55000000000000004">
      <c r="A979" s="4">
        <v>2410805556</v>
      </c>
      <c r="B979" s="1" t="s">
        <v>820</v>
      </c>
      <c r="C979" s="1" t="str">
        <f>"伊勢市御薗町長屋1997-1"</f>
        <v>伊勢市御薗町長屋1997-1</v>
      </c>
      <c r="D979" s="1" t="str">
        <f>"0596-26-2111  "</f>
        <v xml:space="preserve">0596-26-2111  </v>
      </c>
    </row>
    <row r="980" spans="1:4" x14ac:dyDescent="0.55000000000000004">
      <c r="A980" s="4">
        <v>2410805580</v>
      </c>
      <c r="B980" s="1" t="s">
        <v>821</v>
      </c>
      <c r="C980" s="1" t="str">
        <f>"伊勢市藤里町671-17"</f>
        <v>伊勢市藤里町671-17</v>
      </c>
      <c r="D980" s="1" t="str">
        <f>"0596-20-0220  "</f>
        <v xml:space="preserve">0596-20-0220  </v>
      </c>
    </row>
    <row r="981" spans="1:4" x14ac:dyDescent="0.55000000000000004">
      <c r="A981" s="4">
        <v>2410805598</v>
      </c>
      <c r="B981" s="1" t="s">
        <v>822</v>
      </c>
      <c r="C981" s="1" t="s">
        <v>823</v>
      </c>
      <c r="D981" s="1" t="str">
        <f>"0596-35-0700  "</f>
        <v xml:space="preserve">0596-35-0700  </v>
      </c>
    </row>
    <row r="982" spans="1:4" x14ac:dyDescent="0.55000000000000004">
      <c r="A982" s="4">
        <v>2410805622</v>
      </c>
      <c r="B982" s="1" t="s">
        <v>824</v>
      </c>
      <c r="C982" s="1" t="s">
        <v>2859</v>
      </c>
      <c r="D982" s="1" t="str">
        <f>"0596-38-0555  "</f>
        <v xml:space="preserve">0596-38-0555  </v>
      </c>
    </row>
    <row r="983" spans="1:4" x14ac:dyDescent="0.55000000000000004">
      <c r="A983" s="4">
        <v>2410805630</v>
      </c>
      <c r="B983" s="1" t="s">
        <v>825</v>
      </c>
      <c r="C983" s="1" t="s">
        <v>2860</v>
      </c>
      <c r="D983" s="1" t="str">
        <f>"0596-22-2218  "</f>
        <v xml:space="preserve">0596-22-2218  </v>
      </c>
    </row>
    <row r="984" spans="1:4" x14ac:dyDescent="0.55000000000000004">
      <c r="A984" s="4">
        <v>2410805648</v>
      </c>
      <c r="B984" s="1" t="s">
        <v>826</v>
      </c>
      <c r="C984" s="1" t="str">
        <f>"伊勢市二見町溝口401-1"</f>
        <v>伊勢市二見町溝口401-1</v>
      </c>
      <c r="D984" s="1" t="str">
        <f>"0596-44-2323  "</f>
        <v xml:space="preserve">0596-44-2323  </v>
      </c>
    </row>
    <row r="985" spans="1:4" x14ac:dyDescent="0.55000000000000004">
      <c r="A985" s="4">
        <v>2410805655</v>
      </c>
      <c r="B985" s="1" t="s">
        <v>827</v>
      </c>
      <c r="C985" s="1" t="str">
        <f>"伊勢市中之町72-1"</f>
        <v>伊勢市中之町72-1</v>
      </c>
      <c r="D985" s="1" t="str">
        <f>"0596-20-3100  "</f>
        <v xml:space="preserve">0596-20-3100  </v>
      </c>
    </row>
    <row r="986" spans="1:4" x14ac:dyDescent="0.55000000000000004">
      <c r="A986" s="4">
        <v>2410805663</v>
      </c>
      <c r="B986" s="1" t="s">
        <v>828</v>
      </c>
      <c r="C986" s="1" t="str">
        <f>"伊勢市御薗町高向686-27"</f>
        <v>伊勢市御薗町高向686-27</v>
      </c>
      <c r="D986" s="1" t="str">
        <f>"0596-20-0155  "</f>
        <v xml:space="preserve">0596-20-0155  </v>
      </c>
    </row>
    <row r="987" spans="1:4" x14ac:dyDescent="0.55000000000000004">
      <c r="A987" s="4">
        <v>2410805671</v>
      </c>
      <c r="B987" s="1" t="s">
        <v>829</v>
      </c>
      <c r="C987" s="1" t="s">
        <v>2861</v>
      </c>
      <c r="D987" s="1" t="str">
        <f>"0596-20-8104  "</f>
        <v xml:space="preserve">0596-20-8104  </v>
      </c>
    </row>
    <row r="988" spans="1:4" x14ac:dyDescent="0.55000000000000004">
      <c r="A988" s="4">
        <v>2410805689</v>
      </c>
      <c r="B988" s="1" t="s">
        <v>830</v>
      </c>
      <c r="C988" s="1" t="str">
        <f>"伊勢市津村町792-1"</f>
        <v>伊勢市津村町792-1</v>
      </c>
      <c r="D988" s="1" t="str">
        <f>"0596-39-7717  "</f>
        <v xml:space="preserve">0596-39-7717  </v>
      </c>
    </row>
    <row r="989" spans="1:4" x14ac:dyDescent="0.55000000000000004">
      <c r="A989" s="4">
        <v>2410805697</v>
      </c>
      <c r="B989" s="1" t="s">
        <v>831</v>
      </c>
      <c r="C989" s="1" t="s">
        <v>2862</v>
      </c>
      <c r="D989" s="1" t="str">
        <f>"0596-63-8881  "</f>
        <v xml:space="preserve">0596-63-8881  </v>
      </c>
    </row>
    <row r="990" spans="1:4" x14ac:dyDescent="0.55000000000000004">
      <c r="A990" s="4">
        <v>2410805713</v>
      </c>
      <c r="B990" s="1" t="s">
        <v>832</v>
      </c>
      <c r="C990" s="1" t="str">
        <f>"伊勢市小木町260-1"</f>
        <v>伊勢市小木町260-1</v>
      </c>
      <c r="D990" s="1" t="str">
        <f>"0596-31-2000  "</f>
        <v xml:space="preserve">0596-31-2000  </v>
      </c>
    </row>
    <row r="991" spans="1:4" x14ac:dyDescent="0.55000000000000004">
      <c r="A991" s="4">
        <v>2410805721</v>
      </c>
      <c r="B991" s="1" t="s">
        <v>833</v>
      </c>
      <c r="C991" s="1" t="s">
        <v>2863</v>
      </c>
      <c r="D991" s="1" t="str">
        <f>"0596-31-0031  "</f>
        <v xml:space="preserve">0596-31-0031  </v>
      </c>
    </row>
    <row r="992" spans="1:4" x14ac:dyDescent="0.55000000000000004">
      <c r="A992" s="4">
        <v>2410805747</v>
      </c>
      <c r="B992" s="1" t="s">
        <v>834</v>
      </c>
      <c r="C992" s="1" t="str">
        <f>"伊勢市船江1丁目2-38"</f>
        <v>伊勢市船江1丁目2-38</v>
      </c>
      <c r="D992" s="1" t="str">
        <f>"0596-21-0002  "</f>
        <v xml:space="preserve">0596-21-0002  </v>
      </c>
    </row>
    <row r="993" spans="1:4" x14ac:dyDescent="0.55000000000000004">
      <c r="A993" s="4">
        <v>2410805754</v>
      </c>
      <c r="B993" s="1" t="s">
        <v>835</v>
      </c>
      <c r="C993" s="1" t="str">
        <f>"伊勢市常盤２丁目9-21"</f>
        <v>伊勢市常盤２丁目9-21</v>
      </c>
      <c r="D993" s="1" t="str">
        <f>"0596-24-7156  "</f>
        <v xml:space="preserve">0596-24-7156  </v>
      </c>
    </row>
    <row r="994" spans="1:4" x14ac:dyDescent="0.55000000000000004">
      <c r="A994" s="4">
        <v>2410805762</v>
      </c>
      <c r="B994" s="1" t="s">
        <v>836</v>
      </c>
      <c r="C994" s="1" t="s">
        <v>2864</v>
      </c>
      <c r="D994" s="1" t="str">
        <f>"0596-29-1159  "</f>
        <v xml:space="preserve">0596-29-1159  </v>
      </c>
    </row>
    <row r="995" spans="1:4" x14ac:dyDescent="0.55000000000000004">
      <c r="A995" s="4">
        <v>2410805804</v>
      </c>
      <c r="B995" s="1" t="s">
        <v>837</v>
      </c>
      <c r="C995" s="1" t="s">
        <v>2865</v>
      </c>
      <c r="D995" s="1" t="str">
        <f>"0596-23-2525  "</f>
        <v xml:space="preserve">0596-23-2525  </v>
      </c>
    </row>
    <row r="996" spans="1:4" x14ac:dyDescent="0.55000000000000004">
      <c r="A996" s="4">
        <v>2410805812</v>
      </c>
      <c r="B996" s="1" t="s">
        <v>838</v>
      </c>
      <c r="C996" s="1" t="str">
        <f>"伊勢市宮後3-8-52"</f>
        <v>伊勢市宮後3-8-52</v>
      </c>
      <c r="D996" s="1" t="str">
        <f>"0596-23-7711  "</f>
        <v xml:space="preserve">0596-23-7711  </v>
      </c>
    </row>
    <row r="997" spans="1:4" x14ac:dyDescent="0.55000000000000004">
      <c r="A997" s="4">
        <v>2410805820</v>
      </c>
      <c r="B997" s="1" t="s">
        <v>839</v>
      </c>
      <c r="C997" s="1" t="s">
        <v>2866</v>
      </c>
      <c r="D997" s="1" t="str">
        <f>"0596-20-5111  "</f>
        <v xml:space="preserve">0596-20-5111  </v>
      </c>
    </row>
    <row r="998" spans="1:4" x14ac:dyDescent="0.55000000000000004">
      <c r="A998" s="4">
        <v>2410805838</v>
      </c>
      <c r="B998" s="1" t="s">
        <v>840</v>
      </c>
      <c r="C998" s="1" t="s">
        <v>2867</v>
      </c>
      <c r="D998" s="1" t="str">
        <f>"0596-72-8070  "</f>
        <v xml:space="preserve">0596-72-8070  </v>
      </c>
    </row>
    <row r="999" spans="1:4" x14ac:dyDescent="0.55000000000000004">
      <c r="A999" s="4">
        <v>2410805846</v>
      </c>
      <c r="B999" s="1" t="s">
        <v>775</v>
      </c>
      <c r="C999" s="1" t="str">
        <f>"伊勢市岩渕2-2-18"</f>
        <v>伊勢市岩渕2-2-18</v>
      </c>
      <c r="D999" s="1" t="str">
        <f>"0596-21-1380  "</f>
        <v xml:space="preserve">0596-21-1380  </v>
      </c>
    </row>
    <row r="1000" spans="1:4" x14ac:dyDescent="0.55000000000000004">
      <c r="A1000" s="4">
        <v>2410805853</v>
      </c>
      <c r="B1000" s="1" t="s">
        <v>841</v>
      </c>
      <c r="C1000" s="1" t="s">
        <v>842</v>
      </c>
      <c r="D1000" s="1" t="str">
        <f>"0596-22-4545  "</f>
        <v xml:space="preserve">0596-22-4545  </v>
      </c>
    </row>
    <row r="1001" spans="1:4" x14ac:dyDescent="0.55000000000000004">
      <c r="A1001" s="4">
        <v>2410805879</v>
      </c>
      <c r="B1001" s="1" t="s">
        <v>843</v>
      </c>
      <c r="C1001" s="1" t="s">
        <v>844</v>
      </c>
      <c r="D1001" s="1" t="str">
        <f>"0596-27-1717  "</f>
        <v xml:space="preserve">0596-27-1717  </v>
      </c>
    </row>
    <row r="1002" spans="1:4" x14ac:dyDescent="0.55000000000000004">
      <c r="A1002" s="4">
        <v>2430800660</v>
      </c>
      <c r="B1002" s="1" t="s">
        <v>1223</v>
      </c>
      <c r="C1002" s="1" t="str">
        <f>"伊勢市神久2丁目1-48"</f>
        <v>伊勢市神久2丁目1-48</v>
      </c>
      <c r="D1002" s="1" t="str">
        <f>"0596-23-0266  "</f>
        <v xml:space="preserve">0596-23-0266  </v>
      </c>
    </row>
    <row r="1003" spans="1:4" x14ac:dyDescent="0.55000000000000004">
      <c r="A1003" s="4">
        <v>2430801387</v>
      </c>
      <c r="B1003" s="1" t="s">
        <v>1224</v>
      </c>
      <c r="C1003" s="1" t="s">
        <v>1225</v>
      </c>
      <c r="D1003" s="1" t="str">
        <f>"0596-37-6480  "</f>
        <v xml:space="preserve">0596-37-6480  </v>
      </c>
    </row>
    <row r="1004" spans="1:4" x14ac:dyDescent="0.55000000000000004">
      <c r="A1004" s="4">
        <v>2430801486</v>
      </c>
      <c r="B1004" s="1" t="s">
        <v>1226</v>
      </c>
      <c r="C1004" s="1" t="str">
        <f>"伊勢市神久3-1-35"</f>
        <v>伊勢市神久3-1-35</v>
      </c>
      <c r="D1004" s="1" t="str">
        <f>"0596-24-0121  "</f>
        <v xml:space="preserve">0596-24-0121  </v>
      </c>
    </row>
    <row r="1005" spans="1:4" x14ac:dyDescent="0.55000000000000004">
      <c r="A1005" s="4">
        <v>2430801536</v>
      </c>
      <c r="B1005" s="1" t="s">
        <v>1227</v>
      </c>
      <c r="C1005" s="1" t="str">
        <f>"伊勢市小俣町本町341-237"</f>
        <v>伊勢市小俣町本町341-237</v>
      </c>
      <c r="D1005" s="1" t="str">
        <f>"0596-72-8800  "</f>
        <v xml:space="preserve">0596-72-8800  </v>
      </c>
    </row>
    <row r="1006" spans="1:4" x14ac:dyDescent="0.55000000000000004">
      <c r="A1006" s="4">
        <v>2430801585</v>
      </c>
      <c r="B1006" s="1" t="s">
        <v>1228</v>
      </c>
      <c r="C1006" s="1" t="str">
        <f>"伊勢市曽祢1-4-18"</f>
        <v>伊勢市曽祢1-4-18</v>
      </c>
      <c r="D1006" s="1" t="str">
        <f>"0596-28-2985  "</f>
        <v xml:space="preserve">0596-28-2985  </v>
      </c>
    </row>
    <row r="1007" spans="1:4" x14ac:dyDescent="0.55000000000000004">
      <c r="A1007" s="4">
        <v>2430805057</v>
      </c>
      <c r="B1007" s="1" t="s">
        <v>1229</v>
      </c>
      <c r="C1007" s="1" t="str">
        <f>"伊勢市神田久志本町1321-2"</f>
        <v>伊勢市神田久志本町1321-2</v>
      </c>
      <c r="D1007" s="1" t="str">
        <f>"0596-27-5555  "</f>
        <v xml:space="preserve">0596-27-5555  </v>
      </c>
    </row>
    <row r="1008" spans="1:4" x14ac:dyDescent="0.55000000000000004">
      <c r="A1008" s="4">
        <v>2430805073</v>
      </c>
      <c r="B1008" s="1" t="s">
        <v>1230</v>
      </c>
      <c r="C1008" s="1" t="str">
        <f>"伊勢市楠部町458-1"</f>
        <v>伊勢市楠部町458-1</v>
      </c>
      <c r="D1008" s="1" t="str">
        <f>"0596-23-6480  "</f>
        <v xml:space="preserve">0596-23-6480  </v>
      </c>
    </row>
    <row r="1009" spans="1:4" x14ac:dyDescent="0.55000000000000004">
      <c r="A1009" s="4">
        <v>2430805099</v>
      </c>
      <c r="B1009" s="1" t="s">
        <v>1231</v>
      </c>
      <c r="C1009" s="1" t="str">
        <f>"伊勢市西豊浜町1296-2"</f>
        <v>伊勢市西豊浜町1296-2</v>
      </c>
      <c r="D1009" s="1" t="str">
        <f>"0596-37-4973  "</f>
        <v xml:space="preserve">0596-37-4973  </v>
      </c>
    </row>
    <row r="1010" spans="1:4" x14ac:dyDescent="0.55000000000000004">
      <c r="A1010" s="4">
        <v>2430805156</v>
      </c>
      <c r="B1010" s="1" t="s">
        <v>1232</v>
      </c>
      <c r="C1010" s="1" t="str">
        <f>"伊勢市岩渕2丁目4-37"</f>
        <v>伊勢市岩渕2丁目4-37</v>
      </c>
      <c r="D1010" s="1" t="str">
        <f>"0596-21-5888  "</f>
        <v xml:space="preserve">0596-21-5888  </v>
      </c>
    </row>
    <row r="1011" spans="1:4" x14ac:dyDescent="0.55000000000000004">
      <c r="A1011" s="4">
        <v>2430805164</v>
      </c>
      <c r="B1011" s="1" t="s">
        <v>1233</v>
      </c>
      <c r="C1011" s="1" t="str">
        <f>"伊勢市小木町558-1"</f>
        <v>伊勢市小木町558-1</v>
      </c>
      <c r="D1011" s="1" t="str">
        <f>"0596-36-5677  "</f>
        <v xml:space="preserve">0596-36-5677  </v>
      </c>
    </row>
    <row r="1012" spans="1:4" x14ac:dyDescent="0.55000000000000004">
      <c r="A1012" s="4">
        <v>2430805172</v>
      </c>
      <c r="B1012" s="1" t="s">
        <v>1234</v>
      </c>
      <c r="C1012" s="1" t="s">
        <v>1235</v>
      </c>
      <c r="D1012" s="1" t="str">
        <f>"0596-36-2264  "</f>
        <v xml:space="preserve">0596-36-2264  </v>
      </c>
    </row>
    <row r="1013" spans="1:4" x14ac:dyDescent="0.55000000000000004">
      <c r="A1013" s="4">
        <v>2430805180</v>
      </c>
      <c r="B1013" s="1" t="s">
        <v>1236</v>
      </c>
      <c r="C1013" s="1" t="str">
        <f>"伊勢市宮後1丁目8-3"</f>
        <v>伊勢市宮後1丁目8-3</v>
      </c>
      <c r="D1013" s="1" t="str">
        <f>"0596-28-2426  "</f>
        <v xml:space="preserve">0596-28-2426  </v>
      </c>
    </row>
    <row r="1014" spans="1:4" x14ac:dyDescent="0.55000000000000004">
      <c r="A1014" s="4" t="s">
        <v>2629</v>
      </c>
      <c r="B1014" s="1" t="s">
        <v>2630</v>
      </c>
      <c r="C1014" s="1" t="str">
        <f>"伊勢市御薗町高向810-1"</f>
        <v>伊勢市御薗町高向810-1</v>
      </c>
      <c r="D1014" s="1" t="str">
        <f>"0596-22-1155  "</f>
        <v xml:space="preserve">0596-22-1155  </v>
      </c>
    </row>
    <row r="1015" spans="1:4" x14ac:dyDescent="0.55000000000000004">
      <c r="A1015" s="4">
        <v>2412801272</v>
      </c>
      <c r="B1015" s="1" t="s">
        <v>1079</v>
      </c>
      <c r="C1015" s="1" t="str">
        <f>"度会郡玉城町佐田500-1"</f>
        <v>度会郡玉城町佐田500-1</v>
      </c>
      <c r="D1015" s="1" t="str">
        <f>"0596-58-8499  "</f>
        <v xml:space="preserve">0596-58-8499  </v>
      </c>
    </row>
    <row r="1016" spans="1:4" x14ac:dyDescent="0.55000000000000004">
      <c r="A1016" s="4">
        <v>2412801298</v>
      </c>
      <c r="B1016" s="1" t="s">
        <v>1081</v>
      </c>
      <c r="C1016" s="1" t="str">
        <f>"度会郡玉城町玉川286-1"</f>
        <v>度会郡玉城町玉川286-1</v>
      </c>
      <c r="D1016" s="1" t="str">
        <f>"0596-58-1525  "</f>
        <v xml:space="preserve">0596-58-1525  </v>
      </c>
    </row>
    <row r="1017" spans="1:4" x14ac:dyDescent="0.55000000000000004">
      <c r="A1017" s="4">
        <v>2412801306</v>
      </c>
      <c r="B1017" s="1" t="s">
        <v>1082</v>
      </c>
      <c r="C1017" s="1" t="str">
        <f>"度会郡玉城町岡村461-2"</f>
        <v>度会郡玉城町岡村461-2</v>
      </c>
      <c r="D1017" s="1" t="str">
        <f>"0596-58-8787  "</f>
        <v xml:space="preserve">0596-58-8787  </v>
      </c>
    </row>
    <row r="1018" spans="1:4" x14ac:dyDescent="0.55000000000000004">
      <c r="A1018" s="4">
        <v>2412805034</v>
      </c>
      <c r="B1018" s="1" t="s">
        <v>1084</v>
      </c>
      <c r="C1018" s="1" t="s">
        <v>2944</v>
      </c>
      <c r="D1018" s="1" t="str">
        <f>"0596-58-3039  "</f>
        <v xml:space="preserve">0596-58-3039  </v>
      </c>
    </row>
    <row r="1019" spans="1:4" x14ac:dyDescent="0.55000000000000004">
      <c r="A1019" s="4">
        <v>2412805364</v>
      </c>
      <c r="B1019" s="1" t="s">
        <v>1088</v>
      </c>
      <c r="C1019" s="1" t="str">
        <f>"度会郡玉城町蚊野2148-8"</f>
        <v>度会郡玉城町蚊野2148-8</v>
      </c>
      <c r="D1019" s="1" t="str">
        <f>"0596-58-7067  "</f>
        <v xml:space="preserve">0596-58-7067  </v>
      </c>
    </row>
    <row r="1020" spans="1:4" x14ac:dyDescent="0.55000000000000004">
      <c r="A1020" s="4">
        <v>2412805398</v>
      </c>
      <c r="B1020" s="1" t="s">
        <v>1089</v>
      </c>
      <c r="C1020" s="1" t="s">
        <v>2947</v>
      </c>
      <c r="D1020" s="1" t="str">
        <f>"0596-58-3120  "</f>
        <v xml:space="preserve">0596-58-3120  </v>
      </c>
    </row>
    <row r="1021" spans="1:4" x14ac:dyDescent="0.55000000000000004">
      <c r="A1021" s="4">
        <v>2412805414</v>
      </c>
      <c r="B1021" s="1" t="s">
        <v>1090</v>
      </c>
      <c r="C1021" s="1" t="str">
        <f>"度会郡玉城町下田辺725-15"</f>
        <v>度会郡玉城町下田辺725-15</v>
      </c>
      <c r="D1021" s="1" t="str">
        <f>"0596-58-6300  "</f>
        <v xml:space="preserve">0596-58-6300  </v>
      </c>
    </row>
    <row r="1022" spans="1:4" x14ac:dyDescent="0.55000000000000004">
      <c r="A1022" s="4">
        <v>2412805505</v>
      </c>
      <c r="B1022" s="1" t="s">
        <v>1094</v>
      </c>
      <c r="C1022" s="1" t="str">
        <f>"度会郡玉城町玉川653-1"</f>
        <v>度会郡玉城町玉川653-1</v>
      </c>
      <c r="D1022" s="1" t="str">
        <f>"0596-58-0550  "</f>
        <v xml:space="preserve">0596-58-0550  </v>
      </c>
    </row>
    <row r="1023" spans="1:4" x14ac:dyDescent="0.55000000000000004">
      <c r="A1023" s="4">
        <v>2412801017</v>
      </c>
      <c r="B1023" s="1" t="s">
        <v>1076</v>
      </c>
      <c r="C1023" s="1" t="str">
        <f>"度会郡度会町大野木2809-1"</f>
        <v>度会郡度会町大野木2809-1</v>
      </c>
      <c r="D1023" s="1" t="str">
        <f>"0596-62-2255  "</f>
        <v xml:space="preserve">0596-62-2255  </v>
      </c>
    </row>
    <row r="1024" spans="1:4" x14ac:dyDescent="0.55000000000000004">
      <c r="A1024" s="4">
        <v>2432800858</v>
      </c>
      <c r="B1024" s="1" t="s">
        <v>1260</v>
      </c>
      <c r="C1024" s="1" t="str">
        <f>"度会郡度会町大野木3572-32"</f>
        <v>度会郡度会町大野木3572-32</v>
      </c>
      <c r="D1024" s="1" t="str">
        <f>"0596-62-3456  "</f>
        <v xml:space="preserve">0596-62-3456  </v>
      </c>
    </row>
    <row r="1025" spans="1:4" x14ac:dyDescent="0.55000000000000004">
      <c r="A1025" s="4">
        <v>2412801058</v>
      </c>
      <c r="B1025" s="1" t="s">
        <v>1077</v>
      </c>
      <c r="C1025" s="1" t="str">
        <f>"度会郡大紀町大内山730-4"</f>
        <v>度会郡大紀町大内山730-4</v>
      </c>
      <c r="D1025" s="1" t="str">
        <f>"0598-72-2012  "</f>
        <v xml:space="preserve">0598-72-2012  </v>
      </c>
    </row>
    <row r="1026" spans="1:4" x14ac:dyDescent="0.55000000000000004">
      <c r="A1026" s="4">
        <v>2412801280</v>
      </c>
      <c r="B1026" s="1" t="s">
        <v>1080</v>
      </c>
      <c r="C1026" s="1" t="str">
        <f>"度会郡大紀町錦915-45"</f>
        <v>度会郡大紀町錦915-45</v>
      </c>
      <c r="D1026" s="1" t="str">
        <f>"0598-75-1000  "</f>
        <v xml:space="preserve">0598-75-1000  </v>
      </c>
    </row>
    <row r="1027" spans="1:4" x14ac:dyDescent="0.55000000000000004">
      <c r="A1027" s="4">
        <v>2412801314</v>
      </c>
      <c r="B1027" s="1" t="s">
        <v>1083</v>
      </c>
      <c r="C1027" s="1" t="str">
        <f>"度会郡大紀町滝原1516-3"</f>
        <v>度会郡大紀町滝原1516-3</v>
      </c>
      <c r="D1027" s="1" t="str">
        <f>"0598-86-3122  "</f>
        <v xml:space="preserve">0598-86-3122  </v>
      </c>
    </row>
    <row r="1028" spans="1:4" x14ac:dyDescent="0.55000000000000004">
      <c r="A1028" s="4">
        <v>2412805455</v>
      </c>
      <c r="B1028" s="1" t="s">
        <v>1091</v>
      </c>
      <c r="C1028" s="1" t="s">
        <v>2948</v>
      </c>
      <c r="D1028" s="1" t="str">
        <f>"0598-86-3111  "</f>
        <v xml:space="preserve">0598-86-3111  </v>
      </c>
    </row>
    <row r="1029" spans="1:4" x14ac:dyDescent="0.55000000000000004">
      <c r="A1029" s="4">
        <v>2412800993</v>
      </c>
      <c r="B1029" s="1" t="s">
        <v>1075</v>
      </c>
      <c r="C1029" s="1" t="str">
        <f>"度会郡南伊勢町村山1118-6"</f>
        <v>度会郡南伊勢町村山1118-6</v>
      </c>
      <c r="D1029" s="1" t="str">
        <f>"0596-76-2000  "</f>
        <v xml:space="preserve">0596-76-2000  </v>
      </c>
    </row>
    <row r="1030" spans="1:4" x14ac:dyDescent="0.55000000000000004">
      <c r="A1030" s="4">
        <v>2412801264</v>
      </c>
      <c r="B1030" s="1" t="s">
        <v>1078</v>
      </c>
      <c r="C1030" s="1" t="s">
        <v>2943</v>
      </c>
      <c r="D1030" s="1" t="str">
        <f>"0599-67-0070  "</f>
        <v xml:space="preserve">0599-67-0070  </v>
      </c>
    </row>
    <row r="1031" spans="1:4" x14ac:dyDescent="0.55000000000000004">
      <c r="A1031" s="4">
        <v>2412805109</v>
      </c>
      <c r="B1031" s="1" t="s">
        <v>1085</v>
      </c>
      <c r="C1031" s="1" t="s">
        <v>2945</v>
      </c>
      <c r="D1031" s="1" t="str">
        <f>"0599-66-0011  "</f>
        <v xml:space="preserve">0599-66-0011  </v>
      </c>
    </row>
    <row r="1032" spans="1:4" x14ac:dyDescent="0.55000000000000004">
      <c r="A1032" s="4">
        <v>2412805299</v>
      </c>
      <c r="B1032" s="1" t="s">
        <v>1086</v>
      </c>
      <c r="C1032" s="1" t="str">
        <f>"度会郡南伊勢町古和浦93-1"</f>
        <v>度会郡南伊勢町古和浦93-1</v>
      </c>
      <c r="D1032" s="1" t="str">
        <f>"0599-66-0011  "</f>
        <v xml:space="preserve">0599-66-0011  </v>
      </c>
    </row>
    <row r="1033" spans="1:4" x14ac:dyDescent="0.55000000000000004">
      <c r="A1033" s="4">
        <v>2412805331</v>
      </c>
      <c r="B1033" s="1" t="s">
        <v>1087</v>
      </c>
      <c r="C1033" s="1" t="s">
        <v>2946</v>
      </c>
      <c r="D1033" s="1" t="str">
        <f>"0599-69-2015  "</f>
        <v xml:space="preserve">0599-69-2015  </v>
      </c>
    </row>
    <row r="1034" spans="1:4" x14ac:dyDescent="0.55000000000000004">
      <c r="A1034" s="4">
        <v>2412805497</v>
      </c>
      <c r="B1034" s="1" t="s">
        <v>1092</v>
      </c>
      <c r="C1034" s="1" t="s">
        <v>1093</v>
      </c>
      <c r="D1034" s="1" t="str">
        <f>"0596-72-0001  "</f>
        <v xml:space="preserve">0596-72-0001  </v>
      </c>
    </row>
    <row r="1035" spans="1:4" x14ac:dyDescent="0.55000000000000004">
      <c r="A1035" s="4">
        <v>2412805513</v>
      </c>
      <c r="B1035" s="1" t="s">
        <v>1095</v>
      </c>
      <c r="C1035" s="1" t="s">
        <v>2949</v>
      </c>
      <c r="D1035" s="1" t="str">
        <f>"0599-67-1100  "</f>
        <v xml:space="preserve">0599-67-1100  </v>
      </c>
    </row>
    <row r="1036" spans="1:4" x14ac:dyDescent="0.55000000000000004">
      <c r="A1036" s="4">
        <v>2410905026</v>
      </c>
      <c r="B1036" s="1" t="s">
        <v>845</v>
      </c>
      <c r="C1036" s="1" t="str">
        <f>"鳥羽市神島町85-2"</f>
        <v>鳥羽市神島町85-2</v>
      </c>
      <c r="D1036" s="1" t="str">
        <f>"0599-38-2033  "</f>
        <v xml:space="preserve">0599-38-2033  </v>
      </c>
    </row>
    <row r="1037" spans="1:4" x14ac:dyDescent="0.55000000000000004">
      <c r="A1037" s="4">
        <v>2410905034</v>
      </c>
      <c r="B1037" s="1" t="s">
        <v>846</v>
      </c>
      <c r="C1037" s="1" t="s">
        <v>2868</v>
      </c>
      <c r="D1037" s="1" t="str">
        <f>"0599-37-3051  "</f>
        <v xml:space="preserve">0599-37-3051  </v>
      </c>
    </row>
    <row r="1038" spans="1:4" x14ac:dyDescent="0.55000000000000004">
      <c r="A1038" s="4">
        <v>2410905042</v>
      </c>
      <c r="B1038" s="1" t="s">
        <v>847</v>
      </c>
      <c r="C1038" s="1" t="str">
        <f>"鳥羽市相差町1028-1"</f>
        <v>鳥羽市相差町1028-1</v>
      </c>
      <c r="D1038" s="1" t="str">
        <f>"0599-33-6006  "</f>
        <v xml:space="preserve">0599-33-6006  </v>
      </c>
    </row>
    <row r="1039" spans="1:4" x14ac:dyDescent="0.55000000000000004">
      <c r="A1039" s="4">
        <v>2410905075</v>
      </c>
      <c r="B1039" s="1" t="s">
        <v>848</v>
      </c>
      <c r="C1039" s="1" t="str">
        <f>"鳥羽市浦村町1373-4"</f>
        <v>鳥羽市浦村町1373-4</v>
      </c>
      <c r="D1039" s="1" t="str">
        <f>"0599-32-5270  "</f>
        <v xml:space="preserve">0599-32-5270  </v>
      </c>
    </row>
    <row r="1040" spans="1:4" x14ac:dyDescent="0.55000000000000004">
      <c r="A1040" s="4">
        <v>2410905083</v>
      </c>
      <c r="B1040" s="1" t="s">
        <v>849</v>
      </c>
      <c r="C1040" s="1" t="str">
        <f>"鳥羽市石鏡町341-6"</f>
        <v>鳥羽市石鏡町341-6</v>
      </c>
      <c r="D1040" s="1" t="str">
        <f>"0599-32-5263  "</f>
        <v xml:space="preserve">0599-32-5263  </v>
      </c>
    </row>
    <row r="1041" spans="1:4" x14ac:dyDescent="0.55000000000000004">
      <c r="A1041" s="4">
        <v>2410905109</v>
      </c>
      <c r="B1041" s="1" t="s">
        <v>850</v>
      </c>
      <c r="C1041" s="1" t="s">
        <v>2869</v>
      </c>
      <c r="D1041" s="1" t="str">
        <f>"0599-34-2149  "</f>
        <v xml:space="preserve">0599-34-2149  </v>
      </c>
    </row>
    <row r="1042" spans="1:4" x14ac:dyDescent="0.55000000000000004">
      <c r="A1042" s="4">
        <v>2410905125</v>
      </c>
      <c r="B1042" s="1" t="s">
        <v>851</v>
      </c>
      <c r="C1042" s="1" t="s">
        <v>2870</v>
      </c>
      <c r="D1042" s="1" t="str">
        <f>"0599-26-3746  "</f>
        <v xml:space="preserve">0599-26-3746  </v>
      </c>
    </row>
    <row r="1043" spans="1:4" x14ac:dyDescent="0.55000000000000004">
      <c r="A1043" s="4">
        <v>2410905141</v>
      </c>
      <c r="B1043" s="1" t="s">
        <v>852</v>
      </c>
      <c r="C1043" s="1" t="str">
        <f>"鳥羽市鳥羽１丁目5-5"</f>
        <v>鳥羽市鳥羽１丁目5-5</v>
      </c>
      <c r="D1043" s="1" t="str">
        <f>"0599-25-5004  "</f>
        <v xml:space="preserve">0599-25-5004  </v>
      </c>
    </row>
    <row r="1044" spans="1:4" x14ac:dyDescent="0.55000000000000004">
      <c r="A1044" s="4">
        <v>2410905166</v>
      </c>
      <c r="B1044" s="1" t="s">
        <v>853</v>
      </c>
      <c r="C1044" s="1" t="str">
        <f>"鳥羽市大明西町3-20"</f>
        <v>鳥羽市大明西町3-20</v>
      </c>
      <c r="D1044" s="1" t="str">
        <f>"0599-25-1515  "</f>
        <v xml:space="preserve">0599-25-1515  </v>
      </c>
    </row>
    <row r="1045" spans="1:4" x14ac:dyDescent="0.55000000000000004">
      <c r="A1045" s="4">
        <v>2410905182</v>
      </c>
      <c r="B1045" s="1" t="s">
        <v>854</v>
      </c>
      <c r="C1045" s="1" t="str">
        <f>"鳥羽市鳥羽4丁目13-7"</f>
        <v>鳥羽市鳥羽4丁目13-7</v>
      </c>
      <c r="D1045" s="1" t="str">
        <f>"0599-21-0707  "</f>
        <v xml:space="preserve">0599-21-0707  </v>
      </c>
    </row>
    <row r="1046" spans="1:4" x14ac:dyDescent="0.55000000000000004">
      <c r="A1046" s="4">
        <v>2410905190</v>
      </c>
      <c r="B1046" s="1" t="s">
        <v>855</v>
      </c>
      <c r="C1046" s="1" t="str">
        <f>"鳥羽市大明東町2090-305"</f>
        <v>鳥羽市大明東町2090-305</v>
      </c>
      <c r="D1046" s="1" t="str">
        <f>"0599-21-0001  "</f>
        <v xml:space="preserve">0599-21-0001  </v>
      </c>
    </row>
    <row r="1047" spans="1:4" x14ac:dyDescent="0.55000000000000004">
      <c r="A1047" s="4">
        <v>2410905208</v>
      </c>
      <c r="B1047" s="1" t="s">
        <v>856</v>
      </c>
      <c r="C1047" s="1" t="str">
        <f>"鳥羽市浦村町244-4"</f>
        <v>鳥羽市浦村町244-4</v>
      </c>
      <c r="D1047" s="1" t="str">
        <f>"0599-32-1025  "</f>
        <v xml:space="preserve">0599-32-1025  </v>
      </c>
    </row>
    <row r="1048" spans="1:4" x14ac:dyDescent="0.55000000000000004">
      <c r="A1048" s="4">
        <v>2410905216</v>
      </c>
      <c r="B1048" s="1" t="s">
        <v>857</v>
      </c>
      <c r="C1048" s="1" t="str">
        <f>"鳥羽市大明西町1-1　鳥羽ショッピングプラザハロー２階"</f>
        <v>鳥羽市大明西町1-1　鳥羽ショッピングプラザハロー２階</v>
      </c>
      <c r="D1048" s="1" t="str">
        <f>"0599-25-0020  "</f>
        <v xml:space="preserve">0599-25-0020  </v>
      </c>
    </row>
    <row r="1049" spans="1:4" x14ac:dyDescent="0.55000000000000004">
      <c r="A1049" s="4">
        <v>2430900205</v>
      </c>
      <c r="B1049" s="1" t="s">
        <v>1237</v>
      </c>
      <c r="C1049" s="1" t="str">
        <f>"鳥羽市鳥羽3丁目10-3"</f>
        <v>鳥羽市鳥羽3丁目10-3</v>
      </c>
      <c r="D1049" s="1" t="str">
        <f>"0599-25-2539  "</f>
        <v xml:space="preserve">0599-25-2539  </v>
      </c>
    </row>
    <row r="1050" spans="1:4" x14ac:dyDescent="0.55000000000000004">
      <c r="A1050" s="4">
        <v>2412900652</v>
      </c>
      <c r="B1050" s="1" t="s">
        <v>1096</v>
      </c>
      <c r="C1050" s="1" t="str">
        <f>"志摩市阿児町鵜方3126-15"</f>
        <v>志摩市阿児町鵜方3126-15</v>
      </c>
      <c r="D1050" s="1" t="str">
        <f>"0599-43-1033  "</f>
        <v xml:space="preserve">0599-43-1033  </v>
      </c>
    </row>
    <row r="1051" spans="1:4" x14ac:dyDescent="0.55000000000000004">
      <c r="A1051" s="4">
        <v>2412900678</v>
      </c>
      <c r="B1051" s="1" t="s">
        <v>1097</v>
      </c>
      <c r="C1051" s="1" t="s">
        <v>2950</v>
      </c>
      <c r="D1051" s="1" t="str">
        <f>"0599-55-3111  "</f>
        <v xml:space="preserve">0599-55-3111  </v>
      </c>
    </row>
    <row r="1052" spans="1:4" x14ac:dyDescent="0.55000000000000004">
      <c r="A1052" s="4">
        <v>2412900686</v>
      </c>
      <c r="B1052" s="1" t="s">
        <v>1098</v>
      </c>
      <c r="C1052" s="1" t="str">
        <f>"志摩市大王町波切3138-3"</f>
        <v>志摩市大王町波切3138-3</v>
      </c>
      <c r="D1052" s="1" t="str">
        <f>"0599-72-0053  "</f>
        <v xml:space="preserve">0599-72-0053  </v>
      </c>
    </row>
    <row r="1053" spans="1:4" x14ac:dyDescent="0.55000000000000004">
      <c r="A1053" s="4">
        <v>2412900694</v>
      </c>
      <c r="B1053" s="1" t="s">
        <v>1099</v>
      </c>
      <c r="C1053" s="1" t="s">
        <v>2951</v>
      </c>
      <c r="D1053" s="1" t="str">
        <f>"0599-55-3333  "</f>
        <v xml:space="preserve">0599-55-3333  </v>
      </c>
    </row>
    <row r="1054" spans="1:4" x14ac:dyDescent="0.55000000000000004">
      <c r="A1054" s="4">
        <v>2412900751</v>
      </c>
      <c r="B1054" s="1" t="s">
        <v>1100</v>
      </c>
      <c r="C1054" s="1" t="str">
        <f>"志摩市阿児町鵜方3098-15"</f>
        <v>志摩市阿児町鵜方3098-15</v>
      </c>
      <c r="D1054" s="1" t="str">
        <f>"0599-46-0101  "</f>
        <v xml:space="preserve">0599-46-0101  </v>
      </c>
    </row>
    <row r="1055" spans="1:4" x14ac:dyDescent="0.55000000000000004">
      <c r="A1055" s="4">
        <v>2412900769</v>
      </c>
      <c r="B1055" s="1" t="s">
        <v>1101</v>
      </c>
      <c r="C1055" s="1" t="s">
        <v>2952</v>
      </c>
      <c r="D1055" s="1" t="str">
        <f>"0599-46-1100  "</f>
        <v xml:space="preserve">0599-46-1100  </v>
      </c>
    </row>
    <row r="1056" spans="1:4" x14ac:dyDescent="0.55000000000000004">
      <c r="A1056" s="4">
        <v>2412900777</v>
      </c>
      <c r="B1056" s="1" t="s">
        <v>1102</v>
      </c>
      <c r="C1056" s="1" t="s">
        <v>2953</v>
      </c>
      <c r="D1056" s="1" t="str">
        <f>"0599-72-2663  "</f>
        <v xml:space="preserve">0599-72-2663  </v>
      </c>
    </row>
    <row r="1057" spans="1:4" x14ac:dyDescent="0.55000000000000004">
      <c r="A1057" s="4">
        <v>2412900785</v>
      </c>
      <c r="B1057" s="1" t="s">
        <v>1103</v>
      </c>
      <c r="C1057" s="1" t="str">
        <f>"志摩市浜島町南張7-1"</f>
        <v>志摩市浜島町南張7-1</v>
      </c>
      <c r="D1057" s="1" t="str">
        <f>"0599-53-1235  "</f>
        <v xml:space="preserve">0599-53-1235  </v>
      </c>
    </row>
    <row r="1058" spans="1:4" x14ac:dyDescent="0.55000000000000004">
      <c r="A1058" s="4">
        <v>2412900793</v>
      </c>
      <c r="B1058" s="1" t="s">
        <v>1104</v>
      </c>
      <c r="C1058" s="1" t="s">
        <v>2954</v>
      </c>
      <c r="D1058" s="1" t="str">
        <f>"0599-57-2223  "</f>
        <v xml:space="preserve">0599-57-2223  </v>
      </c>
    </row>
    <row r="1059" spans="1:4" x14ac:dyDescent="0.55000000000000004">
      <c r="A1059" s="4">
        <v>2412900801</v>
      </c>
      <c r="B1059" s="1" t="s">
        <v>1105</v>
      </c>
      <c r="C1059" s="1" t="str">
        <f>"志摩市阿児町鵜方3163-7"</f>
        <v>志摩市阿児町鵜方3163-7</v>
      </c>
      <c r="D1059" s="1" t="str">
        <f>"0599-43-1193  "</f>
        <v xml:space="preserve">0599-43-1193  </v>
      </c>
    </row>
    <row r="1060" spans="1:4" x14ac:dyDescent="0.55000000000000004">
      <c r="A1060" s="4">
        <v>2412900819</v>
      </c>
      <c r="B1060" s="1" t="s">
        <v>1106</v>
      </c>
      <c r="C1060" s="1" t="str">
        <f>"志摩市阿児町鵜方3283-2"</f>
        <v>志摩市阿児町鵜方3283-2</v>
      </c>
      <c r="D1060" s="1" t="str">
        <f>"0599-43-8341  "</f>
        <v xml:space="preserve">0599-43-8341  </v>
      </c>
    </row>
    <row r="1061" spans="1:4" x14ac:dyDescent="0.55000000000000004">
      <c r="A1061" s="4">
        <v>2412900835</v>
      </c>
      <c r="B1061" s="1" t="s">
        <v>1107</v>
      </c>
      <c r="C1061" s="1" t="s">
        <v>2955</v>
      </c>
      <c r="D1061" s="1" t="str">
        <f>"0599-45-8800  "</f>
        <v xml:space="preserve">0599-45-8800  </v>
      </c>
    </row>
    <row r="1062" spans="1:4" x14ac:dyDescent="0.55000000000000004">
      <c r="A1062" s="4">
        <v>2412900843</v>
      </c>
      <c r="B1062" s="1" t="s">
        <v>452</v>
      </c>
      <c r="C1062" s="1" t="str">
        <f>"志摩市志摩町片田3033-5"</f>
        <v>志摩市志摩町片田3033-5</v>
      </c>
      <c r="D1062" s="1" t="str">
        <f>"0599-84-0777  "</f>
        <v xml:space="preserve">0599-84-0777  </v>
      </c>
    </row>
    <row r="1063" spans="1:4" x14ac:dyDescent="0.55000000000000004">
      <c r="A1063" s="4">
        <v>2412900876</v>
      </c>
      <c r="B1063" s="1" t="s">
        <v>1108</v>
      </c>
      <c r="C1063" s="1" t="str">
        <f>"志摩市阿児町鵜方3016-24　三重ファミリービル2F"</f>
        <v>志摩市阿児町鵜方3016-24　三重ファミリービル2F</v>
      </c>
      <c r="D1063" s="1" t="str">
        <f>"0599-44-2828  "</f>
        <v xml:space="preserve">0599-44-2828  </v>
      </c>
    </row>
    <row r="1064" spans="1:4" x14ac:dyDescent="0.55000000000000004">
      <c r="A1064" s="4">
        <v>2412900918</v>
      </c>
      <c r="B1064" s="1" t="s">
        <v>1109</v>
      </c>
      <c r="C1064" s="1" t="str">
        <f>"志摩市阿児町鵜方748-5"</f>
        <v>志摩市阿児町鵜方748-5</v>
      </c>
      <c r="D1064" s="1" t="str">
        <f>"0599-43-0010  "</f>
        <v xml:space="preserve">0599-43-0010  </v>
      </c>
    </row>
    <row r="1065" spans="1:4" x14ac:dyDescent="0.55000000000000004">
      <c r="A1065" s="4">
        <v>2412900926</v>
      </c>
      <c r="B1065" s="1" t="s">
        <v>1110</v>
      </c>
      <c r="C1065" s="1" t="str">
        <f>"志摩市志摩町和具1960-1"</f>
        <v>志摩市志摩町和具1960-1</v>
      </c>
      <c r="D1065" s="1" t="str">
        <f>"0599-85-0007  "</f>
        <v xml:space="preserve">0599-85-0007  </v>
      </c>
    </row>
    <row r="1066" spans="1:4" x14ac:dyDescent="0.55000000000000004">
      <c r="A1066" s="4">
        <v>2412900959</v>
      </c>
      <c r="B1066" s="1" t="s">
        <v>1111</v>
      </c>
      <c r="C1066" s="1" t="str">
        <f>"志摩市阿児町鵜方2420-6"</f>
        <v>志摩市阿児町鵜方2420-6</v>
      </c>
      <c r="D1066" s="1" t="str">
        <f>"0599-52-0003  "</f>
        <v xml:space="preserve">0599-52-0003  </v>
      </c>
    </row>
    <row r="1067" spans="1:4" x14ac:dyDescent="0.55000000000000004">
      <c r="A1067" s="4">
        <v>2412900975</v>
      </c>
      <c r="B1067" s="1" t="s">
        <v>1112</v>
      </c>
      <c r="C1067" s="1" t="str">
        <f>"志摩市阿児町甲賀2390-1"</f>
        <v>志摩市阿児町甲賀2390-1</v>
      </c>
      <c r="D1067" s="1" t="str">
        <f>"0599-45-2201  "</f>
        <v xml:space="preserve">0599-45-2201  </v>
      </c>
    </row>
    <row r="1068" spans="1:4" x14ac:dyDescent="0.55000000000000004">
      <c r="A1068" s="4">
        <v>2412900983</v>
      </c>
      <c r="B1068" s="1" t="s">
        <v>1113</v>
      </c>
      <c r="C1068" s="1" t="str">
        <f>"志摩市浜島町浜島1779－11"</f>
        <v>志摩市浜島町浜島1779－11</v>
      </c>
      <c r="D1068" s="1" t="str">
        <f>"0599-53-2525  "</f>
        <v xml:space="preserve">0599-53-2525  </v>
      </c>
    </row>
    <row r="1069" spans="1:4" x14ac:dyDescent="0.55000000000000004">
      <c r="A1069" s="4">
        <v>2412905032</v>
      </c>
      <c r="B1069" s="1" t="s">
        <v>1114</v>
      </c>
      <c r="C1069" s="1" t="s">
        <v>2956</v>
      </c>
      <c r="D1069" s="1" t="str">
        <f>"0599-43-0501  "</f>
        <v xml:space="preserve">0599-43-0501  </v>
      </c>
    </row>
    <row r="1070" spans="1:4" x14ac:dyDescent="0.55000000000000004">
      <c r="A1070" s="4">
        <v>2412905040</v>
      </c>
      <c r="B1070" s="1" t="s">
        <v>1115</v>
      </c>
      <c r="C1070" s="1" t="s">
        <v>2611</v>
      </c>
      <c r="D1070" s="1" t="str">
        <f>"0599-72-5555  "</f>
        <v xml:space="preserve">0599-72-5555  </v>
      </c>
    </row>
    <row r="1071" spans="1:4" x14ac:dyDescent="0.55000000000000004">
      <c r="A1071" s="4">
        <v>2412905149</v>
      </c>
      <c r="B1071" s="1" t="s">
        <v>1116</v>
      </c>
      <c r="C1071" s="1" t="s">
        <v>2957</v>
      </c>
      <c r="D1071" s="1" t="str">
        <f>"0599-53-0101  "</f>
        <v xml:space="preserve">0599-53-0101  </v>
      </c>
    </row>
    <row r="1072" spans="1:4" x14ac:dyDescent="0.55000000000000004">
      <c r="A1072" s="4">
        <v>2412905156</v>
      </c>
      <c r="B1072" s="1" t="s">
        <v>1117</v>
      </c>
      <c r="C1072" s="1" t="str">
        <f>"志摩市阿児町鵜方1206-4"</f>
        <v>志摩市阿児町鵜方1206-4</v>
      </c>
      <c r="D1072" s="1" t="str">
        <f>"0599-43-2491  "</f>
        <v xml:space="preserve">0599-43-2491  </v>
      </c>
    </row>
    <row r="1073" spans="1:4" x14ac:dyDescent="0.55000000000000004">
      <c r="A1073" s="4">
        <v>2412905164</v>
      </c>
      <c r="B1073" s="1" t="s">
        <v>1118</v>
      </c>
      <c r="C1073" s="1" t="s">
        <v>1119</v>
      </c>
      <c r="D1073" s="1" t="str">
        <f>"0599-43-0007  "</f>
        <v xml:space="preserve">0599-43-0007  </v>
      </c>
    </row>
    <row r="1074" spans="1:4" x14ac:dyDescent="0.55000000000000004">
      <c r="A1074" s="4">
        <v>2412905180</v>
      </c>
      <c r="B1074" s="1" t="s">
        <v>1120</v>
      </c>
      <c r="C1074" s="1" t="str">
        <f>"志摩市阿児町鵜方3036-3"</f>
        <v>志摩市阿児町鵜方3036-3</v>
      </c>
      <c r="D1074" s="1" t="str">
        <f>"0599-43-4327  "</f>
        <v xml:space="preserve">0599-43-4327  </v>
      </c>
    </row>
    <row r="1075" spans="1:4" x14ac:dyDescent="0.55000000000000004">
      <c r="A1075" s="4">
        <v>2412905198</v>
      </c>
      <c r="B1075" s="1" t="s">
        <v>1121</v>
      </c>
      <c r="C1075" s="1" t="str">
        <f>"志摩市磯部町迫間48-1"</f>
        <v>志摩市磯部町迫間48-1</v>
      </c>
      <c r="D1075" s="1" t="str">
        <f>"0599-55-0218  "</f>
        <v xml:space="preserve">0599-55-0218  </v>
      </c>
    </row>
    <row r="1076" spans="1:4" x14ac:dyDescent="0.55000000000000004">
      <c r="A1076" s="4">
        <v>2412905206</v>
      </c>
      <c r="B1076" s="1" t="s">
        <v>1122</v>
      </c>
      <c r="C1076" s="1" t="s">
        <v>2958</v>
      </c>
      <c r="D1076" s="1" t="str">
        <f>"0599-55-0008  "</f>
        <v xml:space="preserve">0599-55-0008  </v>
      </c>
    </row>
    <row r="1077" spans="1:4" x14ac:dyDescent="0.55000000000000004">
      <c r="A1077" s="4">
        <v>2412905222</v>
      </c>
      <c r="B1077" s="1" t="s">
        <v>1123</v>
      </c>
      <c r="C1077" s="1" t="s">
        <v>2959</v>
      </c>
      <c r="D1077" s="1" t="str">
        <f>"0599-85-0047  "</f>
        <v xml:space="preserve">0599-85-0047  </v>
      </c>
    </row>
    <row r="1078" spans="1:4" x14ac:dyDescent="0.55000000000000004">
      <c r="A1078" s="4">
        <v>2412905230</v>
      </c>
      <c r="B1078" s="1" t="s">
        <v>1124</v>
      </c>
      <c r="C1078" s="1" t="s">
        <v>2960</v>
      </c>
      <c r="D1078" s="1" t="str">
        <f>"0599-85-0276  "</f>
        <v xml:space="preserve">0599-85-0276  </v>
      </c>
    </row>
    <row r="1079" spans="1:4" x14ac:dyDescent="0.55000000000000004">
      <c r="A1079" s="4">
        <v>2412905248</v>
      </c>
      <c r="B1079" s="1" t="s">
        <v>1125</v>
      </c>
      <c r="C1079" s="1" t="str">
        <f>"志摩市阿児町鵜方3009-23"</f>
        <v>志摩市阿児町鵜方3009-23</v>
      </c>
      <c r="D1079" s="1" t="str">
        <f>"0599-46-1525  "</f>
        <v xml:space="preserve">0599-46-1525  </v>
      </c>
    </row>
    <row r="1080" spans="1:4" x14ac:dyDescent="0.55000000000000004">
      <c r="A1080" s="4">
        <v>2412905263</v>
      </c>
      <c r="B1080" s="1" t="s">
        <v>1126</v>
      </c>
      <c r="C1080" s="1" t="str">
        <f>"志摩市阿児町鵜方2555-9"</f>
        <v>志摩市阿児町鵜方2555-9</v>
      </c>
      <c r="D1080" s="1" t="str">
        <f>"0599-43-1511  "</f>
        <v xml:space="preserve">0599-43-1511  </v>
      </c>
    </row>
    <row r="1081" spans="1:4" x14ac:dyDescent="0.55000000000000004">
      <c r="A1081" s="4">
        <v>2412905305</v>
      </c>
      <c r="B1081" s="1" t="s">
        <v>1127</v>
      </c>
      <c r="C1081" s="1" t="s">
        <v>2961</v>
      </c>
      <c r="D1081" s="1" t="str">
        <f>"0599-44-0007  "</f>
        <v xml:space="preserve">0599-44-0007  </v>
      </c>
    </row>
    <row r="1082" spans="1:4" x14ac:dyDescent="0.55000000000000004">
      <c r="A1082" s="4">
        <v>2412905313</v>
      </c>
      <c r="B1082" s="1" t="s">
        <v>1128</v>
      </c>
      <c r="C1082" s="1" t="s">
        <v>2962</v>
      </c>
      <c r="D1082" s="1" t="str">
        <f>"0599-84-1001  "</f>
        <v xml:space="preserve">0599-84-1001  </v>
      </c>
    </row>
    <row r="1083" spans="1:4" x14ac:dyDescent="0.55000000000000004">
      <c r="A1083" s="4">
        <v>2412905339</v>
      </c>
      <c r="B1083" s="1" t="s">
        <v>1129</v>
      </c>
      <c r="C1083" s="1" t="str">
        <f>"志摩市阿児町甲賀字鹿谷4128-1"</f>
        <v>志摩市阿児町甲賀字鹿谷4128-1</v>
      </c>
      <c r="D1083" s="1" t="str">
        <f>"0599-45-8011  "</f>
        <v xml:space="preserve">0599-45-8011  </v>
      </c>
    </row>
    <row r="1084" spans="1:4" x14ac:dyDescent="0.55000000000000004">
      <c r="A1084" s="4">
        <v>2412905347</v>
      </c>
      <c r="B1084" s="1" t="s">
        <v>1130</v>
      </c>
      <c r="C1084" s="1" t="s">
        <v>2963</v>
      </c>
      <c r="D1084" s="1" t="str">
        <f>"0599-56-0005  "</f>
        <v xml:space="preserve">0599-56-0005  </v>
      </c>
    </row>
    <row r="1085" spans="1:4" x14ac:dyDescent="0.55000000000000004">
      <c r="A1085" s="4">
        <v>2432900583</v>
      </c>
      <c r="B1085" s="1" t="s">
        <v>1261</v>
      </c>
      <c r="C1085" s="1" t="s">
        <v>2990</v>
      </c>
      <c r="D1085" s="1" t="str">
        <f>"0599-55-0149  "</f>
        <v xml:space="preserve">0599-55-0149  </v>
      </c>
    </row>
    <row r="1086" spans="1:4" x14ac:dyDescent="0.55000000000000004">
      <c r="A1086" s="4">
        <v>2432905020</v>
      </c>
      <c r="B1086" s="1" t="s">
        <v>1262</v>
      </c>
      <c r="C1086" s="1" t="s">
        <v>1263</v>
      </c>
      <c r="D1086" s="1" t="str">
        <f>"0599-45-4182  "</f>
        <v xml:space="preserve">0599-45-4182  </v>
      </c>
    </row>
    <row r="1087" spans="1:4" x14ac:dyDescent="0.55000000000000004">
      <c r="A1087" s="4">
        <v>2432905046</v>
      </c>
      <c r="B1087" s="1" t="s">
        <v>1264</v>
      </c>
      <c r="C1087" s="1" t="str">
        <f>"志摩市阿児町鵜方3074-16"</f>
        <v>志摩市阿児町鵜方3074-16</v>
      </c>
      <c r="D1087" s="1" t="str">
        <f>"0599-43-6857  "</f>
        <v xml:space="preserve">0599-43-6857  </v>
      </c>
    </row>
    <row r="1088" spans="1:4" x14ac:dyDescent="0.55000000000000004">
      <c r="A1088" s="4">
        <v>2411000579</v>
      </c>
      <c r="B1088" s="1" t="s">
        <v>858</v>
      </c>
      <c r="C1088" s="1" t="str">
        <f>"尾鷲市中川18-9"</f>
        <v>尾鷲市中川18-9</v>
      </c>
      <c r="D1088" s="1" t="str">
        <f>"0597-22-8080  "</f>
        <v xml:space="preserve">0597-22-8080  </v>
      </c>
    </row>
    <row r="1089" spans="1:4" x14ac:dyDescent="0.55000000000000004">
      <c r="A1089" s="4">
        <v>2411000587</v>
      </c>
      <c r="B1089" s="1" t="s">
        <v>859</v>
      </c>
      <c r="C1089" s="1" t="str">
        <f>"尾鷲市上野町5-39"</f>
        <v>尾鷲市上野町5-39</v>
      </c>
      <c r="D1089" s="1" t="str">
        <f>"0597-22-3535  "</f>
        <v xml:space="preserve">0597-22-3535  </v>
      </c>
    </row>
    <row r="1090" spans="1:4" x14ac:dyDescent="0.55000000000000004">
      <c r="A1090" s="4">
        <v>2411000603</v>
      </c>
      <c r="B1090" s="1" t="s">
        <v>860</v>
      </c>
      <c r="C1090" s="1" t="str">
        <f>"尾鷲市大滝町10-9"</f>
        <v>尾鷲市大滝町10-9</v>
      </c>
      <c r="D1090" s="1" t="str">
        <f>"0597-22-8501  "</f>
        <v xml:space="preserve">0597-22-8501  </v>
      </c>
    </row>
    <row r="1091" spans="1:4" x14ac:dyDescent="0.55000000000000004">
      <c r="A1091" s="4">
        <v>2411000611</v>
      </c>
      <c r="B1091" s="1" t="s">
        <v>861</v>
      </c>
      <c r="C1091" s="1" t="s">
        <v>2871</v>
      </c>
      <c r="D1091" s="1" t="str">
        <f>"0597-22-0062  "</f>
        <v xml:space="preserve">0597-22-0062  </v>
      </c>
    </row>
    <row r="1092" spans="1:4" x14ac:dyDescent="0.55000000000000004">
      <c r="A1092" s="4">
        <v>2411000652</v>
      </c>
      <c r="B1092" s="1" t="s">
        <v>862</v>
      </c>
      <c r="C1092" s="1" t="str">
        <f>"尾鷲市九鬼町1080-1"</f>
        <v>尾鷲市九鬼町1080-1</v>
      </c>
      <c r="D1092" s="1" t="str">
        <f>"0597-29-2037  "</f>
        <v xml:space="preserve">0597-29-2037  </v>
      </c>
    </row>
    <row r="1093" spans="1:4" x14ac:dyDescent="0.55000000000000004">
      <c r="A1093" s="4">
        <v>2411000660</v>
      </c>
      <c r="B1093" s="1" t="s">
        <v>863</v>
      </c>
      <c r="C1093" s="1" t="str">
        <f>"尾鷲市中央町4-3"</f>
        <v>尾鷲市中央町4-3</v>
      </c>
      <c r="D1093" s="1" t="str">
        <f>"0597-25-3000  "</f>
        <v xml:space="preserve">0597-25-3000  </v>
      </c>
    </row>
    <row r="1094" spans="1:4" x14ac:dyDescent="0.55000000000000004">
      <c r="A1094" s="4">
        <v>2411000686</v>
      </c>
      <c r="B1094" s="1" t="s">
        <v>864</v>
      </c>
      <c r="C1094" s="1" t="str">
        <f>"尾鷲市中央町10-24"</f>
        <v>尾鷲市中央町10-24</v>
      </c>
      <c r="D1094" s="1" t="str">
        <f>"0597-22-3773  "</f>
        <v xml:space="preserve">0597-22-3773  </v>
      </c>
    </row>
    <row r="1095" spans="1:4" x14ac:dyDescent="0.55000000000000004">
      <c r="A1095" s="4">
        <v>2411000702</v>
      </c>
      <c r="B1095" s="1" t="s">
        <v>865</v>
      </c>
      <c r="C1095" s="1" t="str">
        <f>"尾鷲市中川18-9"</f>
        <v>尾鷲市中川18-9</v>
      </c>
      <c r="D1095" s="1" t="str">
        <f>"0597-22-8080  "</f>
        <v xml:space="preserve">0597-22-8080  </v>
      </c>
    </row>
    <row r="1096" spans="1:4" x14ac:dyDescent="0.55000000000000004">
      <c r="A1096" s="4">
        <v>2411005065</v>
      </c>
      <c r="B1096" s="1" t="s">
        <v>866</v>
      </c>
      <c r="C1096" s="1" t="str">
        <f>"尾鷲市上野町5-25"</f>
        <v>尾鷲市上野町5-25</v>
      </c>
      <c r="D1096" s="1" t="str">
        <f>"0597-22-3111  "</f>
        <v xml:space="preserve">0597-22-3111  </v>
      </c>
    </row>
    <row r="1097" spans="1:4" x14ac:dyDescent="0.55000000000000004">
      <c r="A1097" s="4">
        <v>2411005149</v>
      </c>
      <c r="B1097" s="1" t="s">
        <v>867</v>
      </c>
      <c r="C1097" s="1" t="str">
        <f>"尾鷲市朝日町11-17"</f>
        <v>尾鷲市朝日町11-17</v>
      </c>
      <c r="D1097" s="1" t="str">
        <f>"0597-23-3210  "</f>
        <v xml:space="preserve">0597-23-3210  </v>
      </c>
    </row>
    <row r="1098" spans="1:4" x14ac:dyDescent="0.55000000000000004">
      <c r="A1098" s="4">
        <v>2411005156</v>
      </c>
      <c r="B1098" s="1" t="s">
        <v>868</v>
      </c>
      <c r="C1098" s="1" t="str">
        <f>"尾鷲市上野町4-26"</f>
        <v>尾鷲市上野町4-26</v>
      </c>
      <c r="D1098" s="1" t="str">
        <f>"0597-22-5611  "</f>
        <v xml:space="preserve">0597-22-5611  </v>
      </c>
    </row>
    <row r="1099" spans="1:4" x14ac:dyDescent="0.55000000000000004">
      <c r="A1099" s="4">
        <v>2411005198</v>
      </c>
      <c r="B1099" s="1" t="s">
        <v>869</v>
      </c>
      <c r="C1099" s="1" t="str">
        <f>"尾鷲市三木里町字木場967-8"</f>
        <v>尾鷲市三木里町字木場967-8</v>
      </c>
      <c r="D1099" s="1" t="str">
        <f>"0597-28-2102  "</f>
        <v xml:space="preserve">0597-28-2102  </v>
      </c>
    </row>
    <row r="1100" spans="1:4" x14ac:dyDescent="0.55000000000000004">
      <c r="A1100" s="4">
        <v>2411005206</v>
      </c>
      <c r="B1100" s="1" t="s">
        <v>870</v>
      </c>
      <c r="C1100" s="1" t="str">
        <f>"尾鷲市中村町7-13"</f>
        <v>尾鷲市中村町7-13</v>
      </c>
      <c r="D1100" s="1" t="str">
        <f>"0597-25-0010  "</f>
        <v xml:space="preserve">0597-25-0010  </v>
      </c>
    </row>
    <row r="1101" spans="1:4" x14ac:dyDescent="0.55000000000000004">
      <c r="A1101" s="4">
        <v>2411005214</v>
      </c>
      <c r="B1101" s="1" t="s">
        <v>871</v>
      </c>
      <c r="C1101" s="1" t="str">
        <f>"尾鷲市三木里町294-3"</f>
        <v>尾鷲市三木里町294-3</v>
      </c>
      <c r="D1101" s="1" t="str">
        <f>"0597-28-8000  "</f>
        <v xml:space="preserve">0597-28-8000  </v>
      </c>
    </row>
    <row r="1102" spans="1:4" x14ac:dyDescent="0.55000000000000004">
      <c r="A1102" s="4">
        <v>2431005004</v>
      </c>
      <c r="B1102" s="1" t="s">
        <v>1238</v>
      </c>
      <c r="C1102" s="1" t="str">
        <f>"尾鷲市南陽町10-6"</f>
        <v>尾鷲市南陽町10-6</v>
      </c>
      <c r="D1102" s="1" t="str">
        <f>"0597-37-4182  "</f>
        <v xml:space="preserve">0597-37-4182  </v>
      </c>
    </row>
    <row r="1103" spans="1:4" x14ac:dyDescent="0.55000000000000004">
      <c r="A1103" s="4">
        <v>2413000577</v>
      </c>
      <c r="B1103" s="1" t="s">
        <v>292</v>
      </c>
      <c r="C1103" s="1" t="str">
        <f>"北牟婁郡紀北町相賀480-136"</f>
        <v>北牟婁郡紀北町相賀480-136</v>
      </c>
      <c r="D1103" s="1" t="str">
        <f>"0597-32-1666  "</f>
        <v xml:space="preserve">0597-32-1666  </v>
      </c>
    </row>
    <row r="1104" spans="1:4" x14ac:dyDescent="0.55000000000000004">
      <c r="A1104" s="4">
        <v>2413000601</v>
      </c>
      <c r="B1104" s="1" t="s">
        <v>1132</v>
      </c>
      <c r="C1104" s="1" t="str">
        <f>"北牟婁郡紀北町東長島200-21"</f>
        <v>北牟婁郡紀北町東長島200-21</v>
      </c>
      <c r="D1104" s="1" t="str">
        <f>"0597-47-4800  "</f>
        <v xml:space="preserve">0597-47-4800  </v>
      </c>
    </row>
    <row r="1105" spans="1:4" x14ac:dyDescent="0.55000000000000004">
      <c r="A1105" s="4">
        <v>2413000817</v>
      </c>
      <c r="B1105" s="1" t="s">
        <v>1131</v>
      </c>
      <c r="C1105" s="1" t="str">
        <f>"北牟婁郡紀北町東長島324-13"</f>
        <v>北牟婁郡紀北町東長島324-13</v>
      </c>
      <c r="D1105" s="1" t="str">
        <f>"0597-47-0722  "</f>
        <v xml:space="preserve">0597-47-0722  </v>
      </c>
    </row>
    <row r="1106" spans="1:4" x14ac:dyDescent="0.55000000000000004">
      <c r="A1106" s="4">
        <v>2413005022</v>
      </c>
      <c r="B1106" s="1" t="s">
        <v>1133</v>
      </c>
      <c r="C1106" s="1" t="s">
        <v>2964</v>
      </c>
      <c r="D1106" s="1" t="str">
        <f>"0597-47-1651  "</f>
        <v xml:space="preserve">0597-47-1651  </v>
      </c>
    </row>
    <row r="1107" spans="1:4" x14ac:dyDescent="0.55000000000000004">
      <c r="A1107" s="4">
        <v>2413005089</v>
      </c>
      <c r="B1107" s="1" t="s">
        <v>1134</v>
      </c>
      <c r="C1107" s="1" t="s">
        <v>2965</v>
      </c>
      <c r="D1107" s="1" t="str">
        <f>"0597-32-2266  "</f>
        <v xml:space="preserve">0597-32-2266  </v>
      </c>
    </row>
    <row r="1108" spans="1:4" x14ac:dyDescent="0.55000000000000004">
      <c r="A1108" s="4">
        <v>2413005097</v>
      </c>
      <c r="B1108" s="1" t="s">
        <v>1135</v>
      </c>
      <c r="C1108" s="1" t="s">
        <v>2966</v>
      </c>
      <c r="D1108" s="1" t="str">
        <f>"0597-36-1111  "</f>
        <v xml:space="preserve">0597-36-1111  </v>
      </c>
    </row>
    <row r="1109" spans="1:4" x14ac:dyDescent="0.55000000000000004">
      <c r="A1109" s="4">
        <v>2413005113</v>
      </c>
      <c r="B1109" s="1" t="s">
        <v>1136</v>
      </c>
      <c r="C1109" s="1" t="s">
        <v>2967</v>
      </c>
      <c r="D1109" s="1" t="str">
        <f>"0597-33-1100  "</f>
        <v xml:space="preserve">0597-33-1100  </v>
      </c>
    </row>
    <row r="1110" spans="1:4" x14ac:dyDescent="0.55000000000000004">
      <c r="A1110" s="4">
        <v>2413005121</v>
      </c>
      <c r="B1110" s="1" t="s">
        <v>1137</v>
      </c>
      <c r="C1110" s="1" t="str">
        <f>"北牟婁郡紀北町島原2972-3"</f>
        <v>北牟婁郡紀北町島原2972-3</v>
      </c>
      <c r="D1110" s="1" t="str">
        <f>"0597-47-4346  "</f>
        <v xml:space="preserve">0597-47-4346  </v>
      </c>
    </row>
    <row r="1111" spans="1:4" x14ac:dyDescent="0.55000000000000004">
      <c r="A1111" s="4">
        <v>2413005139</v>
      </c>
      <c r="B1111" s="1" t="s">
        <v>1138</v>
      </c>
      <c r="C1111" s="1" t="str">
        <f>"北牟婁郡紀北町三浦205-1"</f>
        <v>北牟婁郡紀北町三浦205-1</v>
      </c>
      <c r="D1111" s="1" t="str">
        <f>"0597-49-3303  "</f>
        <v xml:space="preserve">0597-49-3303  </v>
      </c>
    </row>
    <row r="1112" spans="1:4" x14ac:dyDescent="0.55000000000000004">
      <c r="A1112" s="4">
        <v>2413005154</v>
      </c>
      <c r="B1112" s="1" t="s">
        <v>1139</v>
      </c>
      <c r="C1112" s="1" t="s">
        <v>2968</v>
      </c>
      <c r="D1112" s="1" t="str">
        <f>"0597-47-3341  "</f>
        <v xml:space="preserve">0597-47-3341  </v>
      </c>
    </row>
    <row r="1113" spans="1:4" x14ac:dyDescent="0.55000000000000004">
      <c r="A1113" s="4">
        <v>2413005162</v>
      </c>
      <c r="B1113" s="1" t="s">
        <v>1140</v>
      </c>
      <c r="C1113" s="1" t="str">
        <f>"北牟婁郡紀北町相賀1941-4"</f>
        <v>北牟婁郡紀北町相賀1941-4</v>
      </c>
      <c r="D1113" s="1" t="str">
        <f>"0597-32-1188  "</f>
        <v xml:space="preserve">0597-32-1188  </v>
      </c>
    </row>
    <row r="1114" spans="1:4" x14ac:dyDescent="0.55000000000000004">
      <c r="A1114" s="4">
        <v>2413005170</v>
      </c>
      <c r="B1114" s="1" t="s">
        <v>1141</v>
      </c>
      <c r="C1114" s="1" t="str">
        <f>"北牟婁郡紀北町東長島200-21"</f>
        <v>北牟婁郡紀北町東長島200-21</v>
      </c>
      <c r="D1114" s="1" t="str">
        <f>"0597-47-4800  "</f>
        <v xml:space="preserve">0597-47-4800  </v>
      </c>
    </row>
    <row r="1115" spans="1:4" x14ac:dyDescent="0.55000000000000004">
      <c r="A1115" s="4">
        <v>2411100403</v>
      </c>
      <c r="B1115" s="1" t="s">
        <v>872</v>
      </c>
      <c r="C1115" s="1" t="str">
        <f>"熊野市有馬町1233-1"</f>
        <v>熊野市有馬町1233-1</v>
      </c>
      <c r="D1115" s="1" t="str">
        <f>"0597-89-3739  "</f>
        <v xml:space="preserve">0597-89-3739  </v>
      </c>
    </row>
    <row r="1116" spans="1:4" x14ac:dyDescent="0.55000000000000004">
      <c r="A1116" s="4">
        <v>2411100429</v>
      </c>
      <c r="B1116" s="1" t="s">
        <v>873</v>
      </c>
      <c r="C1116" s="1" t="str">
        <f>"熊野市井戸町903-7"</f>
        <v>熊野市井戸町903-7</v>
      </c>
      <c r="D1116" s="1" t="str">
        <f>"0597-85-2021  "</f>
        <v xml:space="preserve">0597-85-2021  </v>
      </c>
    </row>
    <row r="1117" spans="1:4" x14ac:dyDescent="0.55000000000000004">
      <c r="A1117" s="4">
        <v>2411100445</v>
      </c>
      <c r="B1117" s="1" t="s">
        <v>874</v>
      </c>
      <c r="C1117" s="1" t="s">
        <v>2872</v>
      </c>
      <c r="D1117" s="1" t="str">
        <f>"0597-85-2043  "</f>
        <v xml:space="preserve">0597-85-2043  </v>
      </c>
    </row>
    <row r="1118" spans="1:4" x14ac:dyDescent="0.55000000000000004">
      <c r="A1118" s="4">
        <v>2411100452</v>
      </c>
      <c r="B1118" s="1" t="s">
        <v>875</v>
      </c>
      <c r="C1118" s="1" t="s">
        <v>2873</v>
      </c>
      <c r="D1118" s="1" t="str">
        <f>"0597-89-1717  "</f>
        <v xml:space="preserve">0597-89-1717  </v>
      </c>
    </row>
    <row r="1119" spans="1:4" x14ac:dyDescent="0.55000000000000004">
      <c r="A1119" s="4">
        <v>2411100460</v>
      </c>
      <c r="B1119" s="1" t="s">
        <v>876</v>
      </c>
      <c r="C1119" s="1" t="str">
        <f>"熊野市井戸町丸山647-4"</f>
        <v>熊野市井戸町丸山647-4</v>
      </c>
      <c r="D1119" s="1" t="str">
        <f>"0597-89-2626  "</f>
        <v xml:space="preserve">0597-89-2626  </v>
      </c>
    </row>
    <row r="1120" spans="1:4" x14ac:dyDescent="0.55000000000000004">
      <c r="A1120" s="4">
        <v>2411100478</v>
      </c>
      <c r="B1120" s="1" t="s">
        <v>877</v>
      </c>
      <c r="C1120" s="1" t="s">
        <v>2874</v>
      </c>
      <c r="D1120" s="1" t="str">
        <f>"0597-85-3668  "</f>
        <v xml:space="preserve">0597-85-3668  </v>
      </c>
    </row>
    <row r="1121" spans="1:4" x14ac:dyDescent="0.55000000000000004">
      <c r="A1121" s="4">
        <v>2411100502</v>
      </c>
      <c r="B1121" s="1" t="s">
        <v>878</v>
      </c>
      <c r="C1121" s="1" t="s">
        <v>2875</v>
      </c>
      <c r="D1121" s="1" t="str">
        <f>"0597-89-5035  "</f>
        <v xml:space="preserve">0597-89-5035  </v>
      </c>
    </row>
    <row r="1122" spans="1:4" x14ac:dyDescent="0.55000000000000004">
      <c r="A1122" s="4">
        <v>2411100510</v>
      </c>
      <c r="B1122" s="1" t="s">
        <v>879</v>
      </c>
      <c r="C1122" s="1" t="s">
        <v>880</v>
      </c>
      <c r="D1122" s="1" t="str">
        <f>"0597-88-0035  "</f>
        <v xml:space="preserve">0597-88-0035  </v>
      </c>
    </row>
    <row r="1123" spans="1:4" x14ac:dyDescent="0.55000000000000004">
      <c r="A1123" s="4">
        <v>2411100528</v>
      </c>
      <c r="B1123" s="1" t="s">
        <v>881</v>
      </c>
      <c r="C1123" s="1" t="str">
        <f>"熊野市有馬町1233-1"</f>
        <v>熊野市有馬町1233-1</v>
      </c>
      <c r="D1123" s="1" t="str">
        <f>"0597-89-3739  "</f>
        <v xml:space="preserve">0597-89-3739  </v>
      </c>
    </row>
    <row r="1124" spans="1:4" x14ac:dyDescent="0.55000000000000004">
      <c r="A1124" s="4">
        <v>2411105030</v>
      </c>
      <c r="B1124" s="1" t="s">
        <v>882</v>
      </c>
      <c r="C1124" s="1" t="s">
        <v>2876</v>
      </c>
      <c r="D1124" s="1" t="str">
        <f>"0597-82-1135  "</f>
        <v xml:space="preserve">0597-82-1135  </v>
      </c>
    </row>
    <row r="1125" spans="1:4" x14ac:dyDescent="0.55000000000000004">
      <c r="A1125" s="4">
        <v>2411105055</v>
      </c>
      <c r="B1125" s="1" t="s">
        <v>883</v>
      </c>
      <c r="C1125" s="1" t="s">
        <v>2877</v>
      </c>
      <c r="D1125" s="1" t="str">
        <f>"0597-82-0232  "</f>
        <v xml:space="preserve">0597-82-0232  </v>
      </c>
    </row>
    <row r="1126" spans="1:4" x14ac:dyDescent="0.55000000000000004">
      <c r="A1126" s="4">
        <v>2411105063</v>
      </c>
      <c r="B1126" s="1" t="s">
        <v>884</v>
      </c>
      <c r="C1126" s="1" t="s">
        <v>2878</v>
      </c>
      <c r="D1126" s="1" t="str">
        <f>"0597-87-0626  "</f>
        <v xml:space="preserve">0597-87-0626  </v>
      </c>
    </row>
    <row r="1127" spans="1:4" x14ac:dyDescent="0.55000000000000004">
      <c r="A1127" s="4">
        <v>2411105071</v>
      </c>
      <c r="B1127" s="1" t="s">
        <v>885</v>
      </c>
      <c r="C1127" s="1" t="str">
        <f>"熊野市五郷町寺谷1065-4"</f>
        <v>熊野市五郷町寺谷1065-4</v>
      </c>
      <c r="D1127" s="1" t="str">
        <f>"0597-83-0356  "</f>
        <v xml:space="preserve">0597-83-0356  </v>
      </c>
    </row>
    <row r="1128" spans="1:4" x14ac:dyDescent="0.55000000000000004">
      <c r="A1128" s="4">
        <v>2411105089</v>
      </c>
      <c r="B1128" s="1" t="s">
        <v>886</v>
      </c>
      <c r="C1128" s="1" t="s">
        <v>2879</v>
      </c>
      <c r="D1128" s="1" t="str">
        <f>"0597-89-2701  "</f>
        <v xml:space="preserve">0597-89-2701  </v>
      </c>
    </row>
    <row r="1129" spans="1:4" x14ac:dyDescent="0.55000000000000004">
      <c r="A1129" s="4">
        <v>2411105105</v>
      </c>
      <c r="B1129" s="1" t="s">
        <v>887</v>
      </c>
      <c r="C1129" s="1" t="str">
        <f>"熊野市新鹿町669-1"</f>
        <v>熊野市新鹿町669-1</v>
      </c>
      <c r="D1129" s="1" t="str">
        <f>"0597-86-0016  "</f>
        <v xml:space="preserve">0597-86-0016  </v>
      </c>
    </row>
    <row r="1130" spans="1:4" x14ac:dyDescent="0.55000000000000004">
      <c r="A1130" s="4">
        <v>2411105121</v>
      </c>
      <c r="B1130" s="1" t="s">
        <v>888</v>
      </c>
      <c r="C1130" s="1" t="str">
        <f>"熊野市飛鳥町小阪915-6"</f>
        <v>熊野市飛鳥町小阪915-6</v>
      </c>
      <c r="D1130" s="1" t="str">
        <f>"0597-84-0562  "</f>
        <v xml:space="preserve">0597-84-0562  </v>
      </c>
    </row>
    <row r="1131" spans="1:4" x14ac:dyDescent="0.55000000000000004">
      <c r="A1131" s="4">
        <v>2411105188</v>
      </c>
      <c r="B1131" s="1" t="s">
        <v>889</v>
      </c>
      <c r="C1131" s="1" t="s">
        <v>2880</v>
      </c>
      <c r="D1131" s="1" t="str">
        <f>"0597-97-0710  "</f>
        <v xml:space="preserve">0597-97-0710  </v>
      </c>
    </row>
    <row r="1132" spans="1:4" x14ac:dyDescent="0.55000000000000004">
      <c r="A1132" s="4">
        <v>2431100177</v>
      </c>
      <c r="B1132" s="1" t="s">
        <v>1239</v>
      </c>
      <c r="C1132" s="1" t="str">
        <f>"熊野市井戸町720-6"</f>
        <v>熊野市井戸町720-6</v>
      </c>
      <c r="D1132" s="1" t="str">
        <f>"0597-85-4488  "</f>
        <v xml:space="preserve">0597-85-4488  </v>
      </c>
    </row>
    <row r="1133" spans="1:4" x14ac:dyDescent="0.55000000000000004">
      <c r="A1133" s="4">
        <v>2413100278</v>
      </c>
      <c r="B1133" s="1" t="s">
        <v>1142</v>
      </c>
      <c r="C1133" s="1" t="s">
        <v>2969</v>
      </c>
      <c r="D1133" s="1" t="str">
        <f>"05979-2-4333  "</f>
        <v xml:space="preserve">05979-2-4333  </v>
      </c>
    </row>
    <row r="1134" spans="1:4" x14ac:dyDescent="0.55000000000000004">
      <c r="A1134" s="4">
        <v>2413100336</v>
      </c>
      <c r="B1134" s="1" t="s">
        <v>1145</v>
      </c>
      <c r="C1134" s="1" t="str">
        <f>"南牟婁郡御浜町阿田和5189-1"</f>
        <v>南牟婁郡御浜町阿田和5189-1</v>
      </c>
      <c r="D1134" s="1" t="str">
        <f>"05979-3-1155  "</f>
        <v xml:space="preserve">05979-3-1155  </v>
      </c>
    </row>
    <row r="1135" spans="1:4" x14ac:dyDescent="0.55000000000000004">
      <c r="A1135" s="4">
        <v>2413105012</v>
      </c>
      <c r="B1135" s="1" t="s">
        <v>1147</v>
      </c>
      <c r="C1135" s="1" t="s">
        <v>1148</v>
      </c>
      <c r="D1135" s="1" t="str">
        <f>"05979-2-1333  "</f>
        <v xml:space="preserve">05979-2-1333  </v>
      </c>
    </row>
    <row r="1136" spans="1:4" x14ac:dyDescent="0.55000000000000004">
      <c r="A1136" s="4">
        <v>2413105129</v>
      </c>
      <c r="B1136" s="1" t="s">
        <v>1149</v>
      </c>
      <c r="C1136" s="1" t="str">
        <f>"南牟婁郡御浜町大字上野70-1"</f>
        <v>南牟婁郡御浜町大字上野70-1</v>
      </c>
      <c r="D1136" s="1" t="str">
        <f>"05979-4-1014  "</f>
        <v xml:space="preserve">05979-4-1014  </v>
      </c>
    </row>
    <row r="1137" spans="1:4" x14ac:dyDescent="0.55000000000000004">
      <c r="A1137" s="4">
        <v>2413105236</v>
      </c>
      <c r="B1137" s="1" t="s">
        <v>1152</v>
      </c>
      <c r="C1137" s="1" t="s">
        <v>1153</v>
      </c>
      <c r="D1137" s="1" t="str">
        <f>"05979-2-4165  "</f>
        <v xml:space="preserve">05979-2-4165  </v>
      </c>
    </row>
    <row r="1138" spans="1:4" x14ac:dyDescent="0.55000000000000004">
      <c r="A1138" s="4">
        <v>2413100310</v>
      </c>
      <c r="B1138" s="1" t="s">
        <v>1144</v>
      </c>
      <c r="C1138" s="1" t="str">
        <f>"南牟婁郡御浜町下市木4649-28"</f>
        <v>南牟婁郡御浜町下市木4649-28</v>
      </c>
      <c r="D1138" s="1" t="str">
        <f>"05979-3-0150  "</f>
        <v xml:space="preserve">05979-3-0150  </v>
      </c>
    </row>
    <row r="1139" spans="1:4" x14ac:dyDescent="0.55000000000000004">
      <c r="A1139" s="4">
        <v>2413100286</v>
      </c>
      <c r="B1139" s="1" t="s">
        <v>1143</v>
      </c>
      <c r="C1139" s="1" t="str">
        <f>"南牟婁郡紀宝町鵜殿778-1"</f>
        <v>南牟婁郡紀宝町鵜殿778-1</v>
      </c>
      <c r="D1139" s="1" t="str">
        <f>"0735-32-0005  "</f>
        <v xml:space="preserve">0735-32-0005  </v>
      </c>
    </row>
    <row r="1140" spans="1:4" x14ac:dyDescent="0.55000000000000004">
      <c r="A1140" s="4">
        <v>2413100344</v>
      </c>
      <c r="B1140" s="1" t="s">
        <v>1146</v>
      </c>
      <c r="C1140" s="1" t="str">
        <f>"南牟婁郡紀宝町井田1478-3"</f>
        <v>南牟婁郡紀宝町井田1478-3</v>
      </c>
      <c r="D1140" s="1" t="str">
        <f>"0735-32-3315  "</f>
        <v xml:space="preserve">0735-32-3315  </v>
      </c>
    </row>
    <row r="1141" spans="1:4" x14ac:dyDescent="0.55000000000000004">
      <c r="A1141" s="4">
        <v>2413105194</v>
      </c>
      <c r="B1141" s="1" t="s">
        <v>1150</v>
      </c>
      <c r="C1141" s="1" t="s">
        <v>2970</v>
      </c>
      <c r="D1141" s="1" t="str">
        <f>"0735-34-0011  "</f>
        <v xml:space="preserve">0735-34-0011  </v>
      </c>
    </row>
    <row r="1142" spans="1:4" x14ac:dyDescent="0.55000000000000004">
      <c r="A1142" s="4">
        <v>2413105228</v>
      </c>
      <c r="B1142" s="1" t="s">
        <v>1151</v>
      </c>
      <c r="C1142" s="1" t="s">
        <v>2971</v>
      </c>
      <c r="D1142" s="1" t="str">
        <f>"0735-28-1030  "</f>
        <v xml:space="preserve">0735-28-1030  </v>
      </c>
    </row>
  </sheetData>
  <autoFilter ref="A2:D1142" xr:uid="{42A754F0-28D2-4AFC-ADF1-39E46AAE0910}"/>
  <phoneticPr fontId="18"/>
  <pageMargins left="0.7" right="0.7" top="0.75" bottom="0.75" header="0.3" footer="0.3"/>
  <pageSetup paperSize="8"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933FE-3823-4FAC-9401-629EDEA98506}">
  <sheetPr>
    <pageSetUpPr fitToPage="1"/>
  </sheetPr>
  <dimension ref="A1:D874"/>
  <sheetViews>
    <sheetView zoomScale="59" zoomScaleNormal="59" workbookViewId="0">
      <selection activeCell="A4" sqref="A4"/>
    </sheetView>
  </sheetViews>
  <sheetFormatPr defaultRowHeight="18" x14ac:dyDescent="0.55000000000000004"/>
  <cols>
    <col min="1" max="1" width="14.6640625" customWidth="1"/>
    <col min="2" max="2" width="47.83203125" customWidth="1"/>
    <col min="3" max="3" width="62.6640625" customWidth="1"/>
    <col min="4" max="4" width="17.33203125" customWidth="1"/>
  </cols>
  <sheetData>
    <row r="1" spans="1:4" ht="29" x14ac:dyDescent="0.55000000000000004">
      <c r="A1" s="3" t="s">
        <v>3199</v>
      </c>
    </row>
    <row r="2" spans="1:4" x14ac:dyDescent="0.55000000000000004">
      <c r="A2" s="2" t="s">
        <v>0</v>
      </c>
      <c r="B2" s="2" t="s">
        <v>1</v>
      </c>
      <c r="C2" s="2" t="s">
        <v>2</v>
      </c>
      <c r="D2" s="2" t="s">
        <v>3</v>
      </c>
    </row>
    <row r="3" spans="1:4" x14ac:dyDescent="0.55000000000000004">
      <c r="A3" s="1">
        <v>2440100416</v>
      </c>
      <c r="B3" s="1" t="s">
        <v>1266</v>
      </c>
      <c r="C3" s="1" t="s">
        <v>2991</v>
      </c>
      <c r="D3" s="1" t="str">
        <f>"0594-23-5884  "</f>
        <v xml:space="preserve">0594-23-5884  </v>
      </c>
    </row>
    <row r="4" spans="1:4" x14ac:dyDescent="0.55000000000000004">
      <c r="A4" s="1">
        <v>2440100424</v>
      </c>
      <c r="B4" s="1" t="s">
        <v>1267</v>
      </c>
      <c r="C4" s="1" t="s">
        <v>2992</v>
      </c>
      <c r="D4" s="1" t="str">
        <f>"0594-23-3898  "</f>
        <v xml:space="preserve">0594-23-3898  </v>
      </c>
    </row>
    <row r="5" spans="1:4" x14ac:dyDescent="0.55000000000000004">
      <c r="A5" s="1">
        <v>2440100432</v>
      </c>
      <c r="B5" s="1" t="s">
        <v>1268</v>
      </c>
      <c r="C5" s="1" t="str">
        <f>"桑名市下深谷部702-2"</f>
        <v>桑名市下深谷部702-2</v>
      </c>
      <c r="D5" s="1" t="str">
        <f>"0594-29-1400  "</f>
        <v xml:space="preserve">0594-29-1400  </v>
      </c>
    </row>
    <row r="6" spans="1:4" x14ac:dyDescent="0.55000000000000004">
      <c r="A6" s="1">
        <v>2440100507</v>
      </c>
      <c r="B6" s="1" t="s">
        <v>1269</v>
      </c>
      <c r="C6" s="1" t="s">
        <v>2993</v>
      </c>
      <c r="D6" s="1" t="str">
        <f>"0594-23-1131  "</f>
        <v xml:space="preserve">0594-23-1131  </v>
      </c>
    </row>
    <row r="7" spans="1:4" x14ac:dyDescent="0.55000000000000004">
      <c r="A7" s="1">
        <v>2440100572</v>
      </c>
      <c r="B7" s="1" t="s">
        <v>1270</v>
      </c>
      <c r="C7" s="1" t="str">
        <f>"桑名市東方155-1シャトレ桑名1F"</f>
        <v>桑名市東方155-1シャトレ桑名1F</v>
      </c>
      <c r="D7" s="1" t="str">
        <f>"0594-22-6011  "</f>
        <v xml:space="preserve">0594-22-6011  </v>
      </c>
    </row>
    <row r="8" spans="1:4" x14ac:dyDescent="0.55000000000000004">
      <c r="A8" s="1">
        <v>2440100762</v>
      </c>
      <c r="B8" s="1" t="s">
        <v>1271</v>
      </c>
      <c r="C8" s="1" t="s">
        <v>2994</v>
      </c>
      <c r="D8" s="1" t="str">
        <f>"0594-24-8055  "</f>
        <v xml:space="preserve">0594-24-8055  </v>
      </c>
    </row>
    <row r="9" spans="1:4" x14ac:dyDescent="0.55000000000000004">
      <c r="A9" s="1">
        <v>2440100861</v>
      </c>
      <c r="B9" s="1" t="s">
        <v>1272</v>
      </c>
      <c r="C9" s="1" t="s">
        <v>2995</v>
      </c>
      <c r="D9" s="1" t="str">
        <f>"0594-24-6930  "</f>
        <v xml:space="preserve">0594-24-6930  </v>
      </c>
    </row>
    <row r="10" spans="1:4" x14ac:dyDescent="0.55000000000000004">
      <c r="A10" s="1">
        <v>2440100937</v>
      </c>
      <c r="B10" s="1" t="s">
        <v>1273</v>
      </c>
      <c r="C10" s="1" t="str">
        <f>"桑名市大字赤尾1305-2"</f>
        <v>桑名市大字赤尾1305-2</v>
      </c>
      <c r="D10" s="1" t="str">
        <f>"0594-33-2227  "</f>
        <v xml:space="preserve">0594-33-2227  </v>
      </c>
    </row>
    <row r="11" spans="1:4" x14ac:dyDescent="0.55000000000000004">
      <c r="A11" s="1">
        <v>2440100952</v>
      </c>
      <c r="B11" s="1" t="s">
        <v>1274</v>
      </c>
      <c r="C11" s="1" t="s">
        <v>2996</v>
      </c>
      <c r="D11" s="1" t="str">
        <f>"0594-22-6627  "</f>
        <v xml:space="preserve">0594-22-6627  </v>
      </c>
    </row>
    <row r="12" spans="1:4" x14ac:dyDescent="0.55000000000000004">
      <c r="A12" s="1">
        <v>2440100986</v>
      </c>
      <c r="B12" s="1" t="s">
        <v>1275</v>
      </c>
      <c r="C12" s="1" t="str">
        <f>"桑名市星見ヶ丘３丁目203-2"</f>
        <v>桑名市星見ヶ丘３丁目203-2</v>
      </c>
      <c r="D12" s="1" t="str">
        <f>"0594-32-9800  "</f>
        <v xml:space="preserve">0594-32-9800  </v>
      </c>
    </row>
    <row r="13" spans="1:4" x14ac:dyDescent="0.55000000000000004">
      <c r="A13" s="1">
        <v>2440101026</v>
      </c>
      <c r="B13" s="1" t="s">
        <v>1276</v>
      </c>
      <c r="C13" s="1" t="s">
        <v>2997</v>
      </c>
      <c r="D13" s="1" t="str">
        <f>"0594-25-0991  "</f>
        <v xml:space="preserve">0594-25-0991  </v>
      </c>
    </row>
    <row r="14" spans="1:4" x14ac:dyDescent="0.55000000000000004">
      <c r="A14" s="1">
        <v>2440101034</v>
      </c>
      <c r="B14" s="1" t="s">
        <v>1277</v>
      </c>
      <c r="C14" s="1" t="s">
        <v>2998</v>
      </c>
      <c r="D14" s="1" t="str">
        <f>"0594-23-1777  "</f>
        <v xml:space="preserve">0594-23-1777  </v>
      </c>
    </row>
    <row r="15" spans="1:4" x14ac:dyDescent="0.55000000000000004">
      <c r="A15" s="1">
        <v>2440101042</v>
      </c>
      <c r="B15" s="1" t="s">
        <v>1278</v>
      </c>
      <c r="C15" s="1" t="s">
        <v>2999</v>
      </c>
      <c r="D15" s="1" t="str">
        <f>"0594-27-1515  "</f>
        <v xml:space="preserve">0594-27-1515  </v>
      </c>
    </row>
    <row r="16" spans="1:4" x14ac:dyDescent="0.55000000000000004">
      <c r="A16" s="1">
        <v>2440101059</v>
      </c>
      <c r="B16" s="1" t="s">
        <v>1279</v>
      </c>
      <c r="C16" s="1" t="s">
        <v>3000</v>
      </c>
      <c r="D16" s="1" t="str">
        <f>"0594-22-1106  "</f>
        <v xml:space="preserve">0594-22-1106  </v>
      </c>
    </row>
    <row r="17" spans="1:4" x14ac:dyDescent="0.55000000000000004">
      <c r="A17" s="1">
        <v>2440101075</v>
      </c>
      <c r="B17" s="1" t="s">
        <v>1280</v>
      </c>
      <c r="C17" s="1" t="s">
        <v>3001</v>
      </c>
      <c r="D17" s="1" t="str">
        <f>"0594-31-7100  "</f>
        <v xml:space="preserve">0594-31-7100  </v>
      </c>
    </row>
    <row r="18" spans="1:4" x14ac:dyDescent="0.55000000000000004">
      <c r="A18" s="1">
        <v>2440101109</v>
      </c>
      <c r="B18" s="1" t="s">
        <v>1281</v>
      </c>
      <c r="C18" s="1" t="str">
        <f>"桑名市汐見町1-8"</f>
        <v>桑名市汐見町1-8</v>
      </c>
      <c r="D18" s="1" t="str">
        <f>"0594-25-8193  "</f>
        <v xml:space="preserve">0594-25-8193  </v>
      </c>
    </row>
    <row r="19" spans="1:4" x14ac:dyDescent="0.55000000000000004">
      <c r="A19" s="1">
        <v>2440101141</v>
      </c>
      <c r="B19" s="1" t="s">
        <v>1282</v>
      </c>
      <c r="C19" s="1" t="str">
        <f>"桑名市長島町又木熊沢28-2"</f>
        <v>桑名市長島町又木熊沢28-2</v>
      </c>
      <c r="D19" s="1" t="str">
        <f>"0594-42-1188  "</f>
        <v xml:space="preserve">0594-42-1188  </v>
      </c>
    </row>
    <row r="20" spans="1:4" x14ac:dyDescent="0.55000000000000004">
      <c r="A20" s="1">
        <v>2440101190</v>
      </c>
      <c r="B20" s="1" t="s">
        <v>1283</v>
      </c>
      <c r="C20" s="1" t="s">
        <v>1284</v>
      </c>
      <c r="D20" s="1" t="str">
        <f>"0594-24-9911  "</f>
        <v xml:space="preserve">0594-24-9911  </v>
      </c>
    </row>
    <row r="21" spans="1:4" x14ac:dyDescent="0.55000000000000004">
      <c r="A21" s="1">
        <v>2440101208</v>
      </c>
      <c r="B21" s="1" t="s">
        <v>1286</v>
      </c>
      <c r="C21" s="1" t="str">
        <f>"桑名市筒尾9-7-16"</f>
        <v>桑名市筒尾9-7-16</v>
      </c>
      <c r="D21" s="1" t="str">
        <f>"0594-31-5500  "</f>
        <v xml:space="preserve">0594-31-5500  </v>
      </c>
    </row>
    <row r="22" spans="1:4" x14ac:dyDescent="0.55000000000000004">
      <c r="A22" s="1">
        <v>2440101216</v>
      </c>
      <c r="B22" s="1" t="s">
        <v>1287</v>
      </c>
      <c r="C22" s="1" t="str">
        <f>"桑名市野田3-19-3"</f>
        <v>桑名市野田3-19-3</v>
      </c>
      <c r="D22" s="1" t="str">
        <f>"0594-32-1010  "</f>
        <v xml:space="preserve">0594-32-1010  </v>
      </c>
    </row>
    <row r="23" spans="1:4" x14ac:dyDescent="0.55000000000000004">
      <c r="A23" s="1">
        <v>2440101224</v>
      </c>
      <c r="B23" s="1" t="s">
        <v>1288</v>
      </c>
      <c r="C23" s="1" t="s">
        <v>3002</v>
      </c>
      <c r="D23" s="1" t="str">
        <f>"0594-27-6300  "</f>
        <v xml:space="preserve">0594-27-6300  </v>
      </c>
    </row>
    <row r="24" spans="1:4" x14ac:dyDescent="0.55000000000000004">
      <c r="A24" s="1">
        <v>2440101257</v>
      </c>
      <c r="B24" s="1" t="s">
        <v>1289</v>
      </c>
      <c r="C24" s="1" t="str">
        <f>"桑名市陽だまりの丘7-1513"</f>
        <v>桑名市陽だまりの丘7-1513</v>
      </c>
      <c r="D24" s="1" t="str">
        <f>"0594-31-7400  "</f>
        <v xml:space="preserve">0594-31-7400  </v>
      </c>
    </row>
    <row r="25" spans="1:4" x14ac:dyDescent="0.55000000000000004">
      <c r="A25" s="1">
        <v>2440101265</v>
      </c>
      <c r="B25" s="1" t="s">
        <v>1290</v>
      </c>
      <c r="C25" s="1" t="s">
        <v>3003</v>
      </c>
      <c r="D25" s="1" t="str">
        <f>"0594-23-5091  "</f>
        <v xml:space="preserve">0594-23-5091  </v>
      </c>
    </row>
    <row r="26" spans="1:4" x14ac:dyDescent="0.55000000000000004">
      <c r="A26" s="1">
        <v>2440101273</v>
      </c>
      <c r="B26" s="1" t="s">
        <v>1291</v>
      </c>
      <c r="C26" s="1" t="s">
        <v>3004</v>
      </c>
      <c r="D26" s="1" t="str">
        <f>"0594-24-6616  "</f>
        <v xml:space="preserve">0594-24-6616  </v>
      </c>
    </row>
    <row r="27" spans="1:4" x14ac:dyDescent="0.55000000000000004">
      <c r="A27" s="1">
        <v>2440101299</v>
      </c>
      <c r="B27" s="1" t="s">
        <v>1292</v>
      </c>
      <c r="C27" s="1" t="str">
        <f>"桑名市寿町3丁目67-2"</f>
        <v>桑名市寿町3丁目67-2</v>
      </c>
      <c r="D27" s="1" t="str">
        <f>"0594-27-2130  "</f>
        <v xml:space="preserve">0594-27-2130  </v>
      </c>
    </row>
    <row r="28" spans="1:4" x14ac:dyDescent="0.55000000000000004">
      <c r="A28" s="1">
        <v>2440101315</v>
      </c>
      <c r="B28" s="1" t="s">
        <v>1293</v>
      </c>
      <c r="C28" s="1" t="str">
        <f>"桑名市寿町3-11太平洋桑名ビル1Ｆ"</f>
        <v>桑名市寿町3-11太平洋桑名ビル1Ｆ</v>
      </c>
      <c r="D28" s="1" t="str">
        <f>"0594-27-2080  "</f>
        <v xml:space="preserve">0594-27-2080  </v>
      </c>
    </row>
    <row r="29" spans="1:4" x14ac:dyDescent="0.55000000000000004">
      <c r="A29" s="1">
        <v>2440101323</v>
      </c>
      <c r="B29" s="1" t="s">
        <v>1294</v>
      </c>
      <c r="C29" s="1" t="str">
        <f>"桑名市星見ケ丘3-901"</f>
        <v>桑名市星見ケ丘3-901</v>
      </c>
      <c r="D29" s="1" t="str">
        <f>"0594-33-2874  "</f>
        <v xml:space="preserve">0594-33-2874  </v>
      </c>
    </row>
    <row r="30" spans="1:4" x14ac:dyDescent="0.55000000000000004">
      <c r="A30" s="1">
        <v>2440101356</v>
      </c>
      <c r="B30" s="1" t="s">
        <v>1296</v>
      </c>
      <c r="C30" s="1" t="str">
        <f>"桑名市中山町40-1"</f>
        <v>桑名市中山町40-1</v>
      </c>
      <c r="D30" s="1" t="str">
        <f>"0594-33-0555  "</f>
        <v xml:space="preserve">0594-33-0555  </v>
      </c>
    </row>
    <row r="31" spans="1:4" x14ac:dyDescent="0.55000000000000004">
      <c r="A31" s="1">
        <v>2440101372</v>
      </c>
      <c r="B31" s="1" t="s">
        <v>1297</v>
      </c>
      <c r="C31" s="1" t="s">
        <v>3005</v>
      </c>
      <c r="D31" s="1" t="str">
        <f>"0594-25-3988  "</f>
        <v xml:space="preserve">0594-25-3988  </v>
      </c>
    </row>
    <row r="32" spans="1:4" x14ac:dyDescent="0.55000000000000004">
      <c r="A32" s="1">
        <v>2440101380</v>
      </c>
      <c r="B32" s="1" t="s">
        <v>1298</v>
      </c>
      <c r="C32" s="1" t="s">
        <v>1299</v>
      </c>
      <c r="D32" s="1" t="str">
        <f>"0594-33-1120  "</f>
        <v xml:space="preserve">0594-33-1120  </v>
      </c>
    </row>
    <row r="33" spans="1:4" x14ac:dyDescent="0.55000000000000004">
      <c r="A33" s="1">
        <v>2440101398</v>
      </c>
      <c r="B33" s="1" t="s">
        <v>1300</v>
      </c>
      <c r="C33" s="1" t="s">
        <v>1301</v>
      </c>
      <c r="D33" s="1" t="str">
        <f>"0594-27-1275  "</f>
        <v xml:space="preserve">0594-27-1275  </v>
      </c>
    </row>
    <row r="34" spans="1:4" x14ac:dyDescent="0.55000000000000004">
      <c r="A34" s="1">
        <v>2440101406</v>
      </c>
      <c r="B34" s="1" t="s">
        <v>1302</v>
      </c>
      <c r="C34" s="1" t="str">
        <f>"桑名市多度町香取338-1"</f>
        <v>桑名市多度町香取338-1</v>
      </c>
      <c r="D34" s="1" t="str">
        <f>"0594-49-3310  "</f>
        <v xml:space="preserve">0594-49-3310  </v>
      </c>
    </row>
    <row r="35" spans="1:4" x14ac:dyDescent="0.55000000000000004">
      <c r="A35" s="1">
        <v>2440101414</v>
      </c>
      <c r="B35" s="1" t="s">
        <v>1303</v>
      </c>
      <c r="C35" s="1" t="s">
        <v>1304</v>
      </c>
      <c r="D35" s="1" t="str">
        <f>"0594-41-0300  "</f>
        <v xml:space="preserve">0594-41-0300  </v>
      </c>
    </row>
    <row r="36" spans="1:4" x14ac:dyDescent="0.55000000000000004">
      <c r="A36" s="1">
        <v>2440101422</v>
      </c>
      <c r="B36" s="1" t="s">
        <v>1265</v>
      </c>
      <c r="C36" s="1" t="str">
        <f>"桑名市大字北別所1197-1"</f>
        <v>桑名市大字北別所1197-1</v>
      </c>
      <c r="D36" s="1" t="str">
        <f>"0594-21-0341  "</f>
        <v xml:space="preserve">0594-21-0341  </v>
      </c>
    </row>
    <row r="37" spans="1:4" x14ac:dyDescent="0.55000000000000004">
      <c r="A37" s="1">
        <v>2440101430</v>
      </c>
      <c r="B37" s="1" t="s">
        <v>1305</v>
      </c>
      <c r="C37" s="1" t="str">
        <f>"桑名市大央町21-11"</f>
        <v>桑名市大央町21-11</v>
      </c>
      <c r="D37" s="1" t="str">
        <f>"0594-84-7777  "</f>
        <v xml:space="preserve">0594-84-7777  </v>
      </c>
    </row>
    <row r="38" spans="1:4" x14ac:dyDescent="0.55000000000000004">
      <c r="A38" s="1">
        <v>2440101448</v>
      </c>
      <c r="B38" s="1" t="s">
        <v>1306</v>
      </c>
      <c r="C38" s="1" t="s">
        <v>1307</v>
      </c>
      <c r="D38" s="1" t="str">
        <f>"0594-27-1561  "</f>
        <v xml:space="preserve">0594-27-1561  </v>
      </c>
    </row>
    <row r="39" spans="1:4" x14ac:dyDescent="0.55000000000000004">
      <c r="A39" s="1">
        <v>2440101463</v>
      </c>
      <c r="B39" s="1" t="s">
        <v>1308</v>
      </c>
      <c r="C39" s="1" t="s">
        <v>1309</v>
      </c>
      <c r="D39" s="1" t="str">
        <f>"0594-27-1085  "</f>
        <v xml:space="preserve">0594-27-1085  </v>
      </c>
    </row>
    <row r="40" spans="1:4" x14ac:dyDescent="0.55000000000000004">
      <c r="A40" s="1">
        <v>2440101513</v>
      </c>
      <c r="B40" s="1" t="s">
        <v>1310</v>
      </c>
      <c r="C40" s="1" t="str">
        <f>"桑名市西方梅ノ木戸1569-1"</f>
        <v>桑名市西方梅ノ木戸1569-1</v>
      </c>
      <c r="D40" s="1" t="str">
        <f>"0594-84-6026  "</f>
        <v xml:space="preserve">0594-84-6026  </v>
      </c>
    </row>
    <row r="41" spans="1:4" x14ac:dyDescent="0.55000000000000004">
      <c r="A41" s="1">
        <v>2440101547</v>
      </c>
      <c r="B41" s="1" t="s">
        <v>1311</v>
      </c>
      <c r="C41" s="1" t="str">
        <f>"桑名市増田馬渕597-3"</f>
        <v>桑名市増田馬渕597-3</v>
      </c>
      <c r="D41" s="1" t="str">
        <f>"0594-24-6474  "</f>
        <v xml:space="preserve">0594-24-6474  </v>
      </c>
    </row>
    <row r="42" spans="1:4" x14ac:dyDescent="0.55000000000000004">
      <c r="A42" s="1">
        <v>2440101554</v>
      </c>
      <c r="B42" s="1" t="s">
        <v>1312</v>
      </c>
      <c r="C42" s="1" t="s">
        <v>1313</v>
      </c>
      <c r="D42" s="1" t="str">
        <f>"0594-45-8232  "</f>
        <v xml:space="preserve">0594-45-8232  </v>
      </c>
    </row>
    <row r="43" spans="1:4" x14ac:dyDescent="0.55000000000000004">
      <c r="A43" s="1">
        <v>2440101562</v>
      </c>
      <c r="B43" s="1" t="s">
        <v>1314</v>
      </c>
      <c r="C43" s="1" t="str">
        <f>"桑名市新西方1-22"</f>
        <v>桑名市新西方1-22</v>
      </c>
      <c r="D43" s="1" t="str">
        <f>"0594-25-1059  "</f>
        <v xml:space="preserve">0594-25-1059  </v>
      </c>
    </row>
    <row r="44" spans="1:4" x14ac:dyDescent="0.55000000000000004">
      <c r="A44" s="1">
        <v>2440101570</v>
      </c>
      <c r="B44" s="1" t="s">
        <v>1315</v>
      </c>
      <c r="C44" s="1" t="str">
        <f>"桑名市北別所1841-5"</f>
        <v>桑名市北別所1841-5</v>
      </c>
      <c r="D44" s="1" t="str">
        <f>"0594-87-6877  "</f>
        <v xml:space="preserve">0594-87-6877  </v>
      </c>
    </row>
    <row r="45" spans="1:4" x14ac:dyDescent="0.55000000000000004">
      <c r="A45" s="1">
        <v>2440101596</v>
      </c>
      <c r="B45" s="1" t="s">
        <v>1316</v>
      </c>
      <c r="C45" s="1" t="str">
        <f>"桑名市江場918-14"</f>
        <v>桑名市江場918-14</v>
      </c>
      <c r="D45" s="1" t="str">
        <f>"0594-84-7094  "</f>
        <v xml:space="preserve">0594-84-7094  </v>
      </c>
    </row>
    <row r="46" spans="1:4" x14ac:dyDescent="0.55000000000000004">
      <c r="A46" s="1">
        <v>2440101604</v>
      </c>
      <c r="B46" s="1" t="s">
        <v>1317</v>
      </c>
      <c r="C46" s="1" t="str">
        <f>"桑名市中央町3-21アピタ桑名店1階"</f>
        <v>桑名市中央町3-21アピタ桑名店1階</v>
      </c>
      <c r="D46" s="1" t="str">
        <f>"0594-23-8151  "</f>
        <v xml:space="preserve">0594-23-8151  </v>
      </c>
    </row>
    <row r="47" spans="1:4" x14ac:dyDescent="0.55000000000000004">
      <c r="A47" s="1">
        <v>2440101612</v>
      </c>
      <c r="B47" s="1" t="s">
        <v>1318</v>
      </c>
      <c r="C47" s="1" t="str">
        <f>"桑名市陽だまりの丘八丁目901-1"</f>
        <v>桑名市陽だまりの丘八丁目901-1</v>
      </c>
      <c r="D47" s="1" t="str">
        <f>"0594-32-0006  "</f>
        <v xml:space="preserve">0594-32-0006  </v>
      </c>
    </row>
    <row r="48" spans="1:4" x14ac:dyDescent="0.55000000000000004">
      <c r="A48" s="1">
        <v>2440101620</v>
      </c>
      <c r="B48" s="1" t="s">
        <v>1319</v>
      </c>
      <c r="C48" s="1" t="s">
        <v>1361</v>
      </c>
      <c r="D48" s="1" t="str">
        <f>"0594-84-6652  "</f>
        <v xml:space="preserve">0594-84-6652  </v>
      </c>
    </row>
    <row r="49" spans="1:4" x14ac:dyDescent="0.55000000000000004">
      <c r="A49" s="1">
        <v>2440101638</v>
      </c>
      <c r="B49" s="1" t="s">
        <v>1320</v>
      </c>
      <c r="C49" s="1" t="str">
        <f>"桑名市中央町１丁目17-4"</f>
        <v>桑名市中央町１丁目17-4</v>
      </c>
      <c r="D49" s="1" t="str">
        <f>"0594-23-7220  "</f>
        <v xml:space="preserve">0594-23-7220  </v>
      </c>
    </row>
    <row r="50" spans="1:4" x14ac:dyDescent="0.55000000000000004">
      <c r="A50" s="1">
        <v>2440101646</v>
      </c>
      <c r="B50" s="1" t="s">
        <v>1321</v>
      </c>
      <c r="C50" s="1" t="str">
        <f>"桑名市安永823-5"</f>
        <v>桑名市安永823-5</v>
      </c>
      <c r="D50" s="1" t="str">
        <f>"0594-41-2826  "</f>
        <v xml:space="preserve">0594-41-2826  </v>
      </c>
    </row>
    <row r="51" spans="1:4" x14ac:dyDescent="0.55000000000000004">
      <c r="A51" s="1">
        <v>2440101653</v>
      </c>
      <c r="B51" s="1" t="s">
        <v>1322</v>
      </c>
      <c r="C51" s="1" t="str">
        <f>"桑名市長島町松ヶ島北島134-2"</f>
        <v>桑名市長島町松ヶ島北島134-2</v>
      </c>
      <c r="D51" s="1" t="str">
        <f>"0594-84-6831  "</f>
        <v xml:space="preserve">0594-84-6831  </v>
      </c>
    </row>
    <row r="52" spans="1:4" x14ac:dyDescent="0.55000000000000004">
      <c r="A52" s="1">
        <v>2440101661</v>
      </c>
      <c r="B52" s="1" t="s">
        <v>1323</v>
      </c>
      <c r="C52" s="1" t="s">
        <v>3006</v>
      </c>
      <c r="D52" s="1" t="str">
        <f>"0594-32-8787  "</f>
        <v xml:space="preserve">0594-32-8787  </v>
      </c>
    </row>
    <row r="53" spans="1:4" x14ac:dyDescent="0.55000000000000004">
      <c r="A53" s="1">
        <v>2440101679</v>
      </c>
      <c r="B53" s="1" t="s">
        <v>1324</v>
      </c>
      <c r="C53" s="1" t="s">
        <v>1325</v>
      </c>
      <c r="D53" s="1" t="str">
        <f>"0594-41-2530  "</f>
        <v xml:space="preserve">0594-41-2530  </v>
      </c>
    </row>
    <row r="54" spans="1:4" x14ac:dyDescent="0.55000000000000004">
      <c r="A54" s="1">
        <v>2440101687</v>
      </c>
      <c r="B54" s="1" t="s">
        <v>1326</v>
      </c>
      <c r="C54" s="1" t="str">
        <f>"桑名市東方掛越593-1"</f>
        <v>桑名市東方掛越593-1</v>
      </c>
      <c r="D54" s="1" t="str">
        <f>"0594-23-6000  "</f>
        <v xml:space="preserve">0594-23-6000  </v>
      </c>
    </row>
    <row r="55" spans="1:4" x14ac:dyDescent="0.55000000000000004">
      <c r="A55" s="1">
        <v>2440101695</v>
      </c>
      <c r="B55" s="1" t="s">
        <v>1327</v>
      </c>
      <c r="C55" s="1" t="s">
        <v>1328</v>
      </c>
      <c r="D55" s="1" t="str">
        <f>"0594-88-5277  "</f>
        <v xml:space="preserve">0594-88-5277  </v>
      </c>
    </row>
    <row r="56" spans="1:4" x14ac:dyDescent="0.55000000000000004">
      <c r="A56" s="1">
        <v>2440101703</v>
      </c>
      <c r="B56" s="1" t="s">
        <v>1329</v>
      </c>
      <c r="C56" s="1" t="str">
        <f>"桑名市東方立坂1819-2"</f>
        <v>桑名市東方立坂1819-2</v>
      </c>
      <c r="D56" s="1" t="str">
        <f>"0594-23-0761  "</f>
        <v xml:space="preserve">0594-23-0761  </v>
      </c>
    </row>
    <row r="57" spans="1:4" x14ac:dyDescent="0.55000000000000004">
      <c r="A57" s="1">
        <v>2440101711</v>
      </c>
      <c r="B57" s="1" t="s">
        <v>1330</v>
      </c>
      <c r="C57" s="1" t="str">
        <f>"桑名市赤尾2031-2"</f>
        <v>桑名市赤尾2031-2</v>
      </c>
      <c r="D57" s="1" t="str">
        <f>"0594-31-0001  "</f>
        <v xml:space="preserve">0594-31-0001  </v>
      </c>
    </row>
    <row r="58" spans="1:4" x14ac:dyDescent="0.55000000000000004">
      <c r="A58" s="1">
        <v>2440101729</v>
      </c>
      <c r="B58" s="1" t="s">
        <v>1331</v>
      </c>
      <c r="C58" s="1" t="str">
        <f>"桑名市多度町小山字尾津平1874-4"</f>
        <v>桑名市多度町小山字尾津平1874-4</v>
      </c>
      <c r="D58" s="1" t="str">
        <f>"0594-41-3232  "</f>
        <v xml:space="preserve">0594-41-3232  </v>
      </c>
    </row>
    <row r="59" spans="1:4" x14ac:dyDescent="0.55000000000000004">
      <c r="A59" s="1">
        <v>2440101737</v>
      </c>
      <c r="B59" s="1" t="s">
        <v>1332</v>
      </c>
      <c r="C59" s="1" t="str">
        <f>"桑名市大字大福字寺跡437-3"</f>
        <v>桑名市大字大福字寺跡437-3</v>
      </c>
      <c r="D59" s="1" t="str">
        <f>"0594-41-3350  "</f>
        <v xml:space="preserve">0594-41-3350  </v>
      </c>
    </row>
    <row r="60" spans="1:4" x14ac:dyDescent="0.55000000000000004">
      <c r="A60" s="1">
        <v>2440101745</v>
      </c>
      <c r="B60" s="1" t="s">
        <v>1333</v>
      </c>
      <c r="C60" s="1" t="str">
        <f>"桑名市福島850-7"</f>
        <v>桑名市福島850-7</v>
      </c>
      <c r="D60" s="1" t="str">
        <f>"0594-41-4187  "</f>
        <v xml:space="preserve">0594-41-4187  </v>
      </c>
    </row>
    <row r="61" spans="1:4" x14ac:dyDescent="0.55000000000000004">
      <c r="A61" s="1">
        <v>2440101752</v>
      </c>
      <c r="B61" s="1" t="s">
        <v>1334</v>
      </c>
      <c r="C61" s="1" t="str">
        <f>"桑名市大山田1丁目7-11"</f>
        <v>桑名市大山田1丁目7-11</v>
      </c>
      <c r="D61" s="1" t="str">
        <f>"0594-87-6072  "</f>
        <v xml:space="preserve">0594-87-6072  </v>
      </c>
    </row>
    <row r="62" spans="1:4" x14ac:dyDescent="0.55000000000000004">
      <c r="A62" s="1">
        <v>2440101760</v>
      </c>
      <c r="B62" s="1" t="s">
        <v>1335</v>
      </c>
      <c r="C62" s="1" t="str">
        <f>"桑名市筒尾6-10-3"</f>
        <v>桑名市筒尾6-10-3</v>
      </c>
      <c r="D62" s="1" t="str">
        <f>"0594-31-8800  "</f>
        <v xml:space="preserve">0594-31-8800  </v>
      </c>
    </row>
    <row r="63" spans="1:4" x14ac:dyDescent="0.55000000000000004">
      <c r="A63" s="1">
        <v>2440101778</v>
      </c>
      <c r="B63" s="1" t="s">
        <v>1336</v>
      </c>
      <c r="C63" s="1" t="str">
        <f>"桑名市長島町押付字小六525-7"</f>
        <v>桑名市長島町押付字小六525-7</v>
      </c>
      <c r="D63" s="1" t="str">
        <f>"059-442-5712  "</f>
        <v xml:space="preserve">059-442-5712  </v>
      </c>
    </row>
    <row r="64" spans="1:4" x14ac:dyDescent="0.55000000000000004">
      <c r="A64" s="1">
        <v>2440101802</v>
      </c>
      <c r="B64" s="1" t="s">
        <v>1337</v>
      </c>
      <c r="C64" s="1" t="str">
        <f>"桑名市寿町3-27"</f>
        <v>桑名市寿町3-27</v>
      </c>
      <c r="D64" s="1" t="str">
        <f>"0594-84-5155  "</f>
        <v xml:space="preserve">0594-84-5155  </v>
      </c>
    </row>
    <row r="65" spans="1:4" x14ac:dyDescent="0.55000000000000004">
      <c r="A65" s="1">
        <v>2440101810</v>
      </c>
      <c r="B65" s="1" t="s">
        <v>1338</v>
      </c>
      <c r="C65" s="1" t="str">
        <f>"桑名市星見ケ丘7丁目304-1"</f>
        <v>桑名市星見ケ丘7丁目304-1</v>
      </c>
      <c r="D65" s="1" t="str">
        <f>"0594-32-8673  "</f>
        <v xml:space="preserve">0594-32-8673  </v>
      </c>
    </row>
    <row r="66" spans="1:4" x14ac:dyDescent="0.55000000000000004">
      <c r="A66" s="1">
        <v>2440101836</v>
      </c>
      <c r="B66" s="1" t="s">
        <v>1339</v>
      </c>
      <c r="C66" s="1" t="s">
        <v>1340</v>
      </c>
      <c r="D66" s="1" t="str">
        <f>"0594-41-3005  "</f>
        <v xml:space="preserve">0594-41-3005  </v>
      </c>
    </row>
    <row r="67" spans="1:4" x14ac:dyDescent="0.55000000000000004">
      <c r="A67" s="1">
        <v>2440101844</v>
      </c>
      <c r="B67" s="1" t="s">
        <v>1341</v>
      </c>
      <c r="C67" s="1" t="str">
        <f>"桑名市伝馬町13-3"</f>
        <v>桑名市伝馬町13-3</v>
      </c>
      <c r="D67" s="1" t="str">
        <f>"0594-27-3111  "</f>
        <v xml:space="preserve">0594-27-3111  </v>
      </c>
    </row>
    <row r="68" spans="1:4" x14ac:dyDescent="0.55000000000000004">
      <c r="A68" s="1">
        <v>2440101869</v>
      </c>
      <c r="B68" s="1" t="s">
        <v>1342</v>
      </c>
      <c r="C68" s="1" t="s">
        <v>1343</v>
      </c>
      <c r="D68" s="1" t="str">
        <f>"0594-25-8043  "</f>
        <v xml:space="preserve">0594-25-8043  </v>
      </c>
    </row>
    <row r="69" spans="1:4" x14ac:dyDescent="0.55000000000000004">
      <c r="A69" s="1">
        <v>2440101877</v>
      </c>
      <c r="B69" s="1" t="s">
        <v>1344</v>
      </c>
      <c r="C69" s="1" t="str">
        <f>"桑名市藤が丘9-101"</f>
        <v>桑名市藤が丘9-101</v>
      </c>
      <c r="D69" s="1" t="str">
        <f>"0594-23-8118  "</f>
        <v xml:space="preserve">0594-23-8118  </v>
      </c>
    </row>
    <row r="70" spans="1:4" x14ac:dyDescent="0.55000000000000004">
      <c r="A70" s="1">
        <v>2440101885</v>
      </c>
      <c r="B70" s="1" t="s">
        <v>1345</v>
      </c>
      <c r="C70" s="1" t="str">
        <f>"桑名市星川字宇賀1011-5"</f>
        <v>桑名市星川字宇賀1011-5</v>
      </c>
      <c r="D70" s="1" t="str">
        <f>"0594-32-3232  "</f>
        <v xml:space="preserve">0594-32-3232  </v>
      </c>
    </row>
    <row r="71" spans="1:4" x14ac:dyDescent="0.55000000000000004">
      <c r="A71" s="1">
        <v>2440101893</v>
      </c>
      <c r="B71" s="1" t="s">
        <v>1346</v>
      </c>
      <c r="C71" s="1" t="s">
        <v>3007</v>
      </c>
      <c r="D71" s="1" t="str">
        <f>"0594-25-9311  "</f>
        <v xml:space="preserve">0594-25-9311  </v>
      </c>
    </row>
    <row r="72" spans="1:4" x14ac:dyDescent="0.55000000000000004">
      <c r="A72" s="1">
        <v>2440101919</v>
      </c>
      <c r="B72" s="1" t="s">
        <v>1347</v>
      </c>
      <c r="C72" s="1" t="str">
        <f>"桑名市江場456-3"</f>
        <v>桑名市江場456-3</v>
      </c>
      <c r="D72" s="1" t="str">
        <f>"0594-84-5151  "</f>
        <v xml:space="preserve">0594-84-5151  </v>
      </c>
    </row>
    <row r="73" spans="1:4" x14ac:dyDescent="0.55000000000000004">
      <c r="A73" s="1">
        <v>2440101927</v>
      </c>
      <c r="B73" s="1" t="s">
        <v>1348</v>
      </c>
      <c r="C73" s="1" t="str">
        <f>"桑名市星見ヶ丘9-201-1"</f>
        <v>桑名市星見ヶ丘9-201-1</v>
      </c>
      <c r="D73" s="1" t="str">
        <f>"0594-33-1010  "</f>
        <v xml:space="preserve">0594-33-1010  </v>
      </c>
    </row>
    <row r="74" spans="1:4" x14ac:dyDescent="0.55000000000000004">
      <c r="A74" s="1">
        <v>2440101935</v>
      </c>
      <c r="B74" s="1" t="s">
        <v>1349</v>
      </c>
      <c r="C74" s="1" t="str">
        <f>"桑名市多度町柚井1698-1"</f>
        <v>桑名市多度町柚井1698-1</v>
      </c>
      <c r="D74" s="1" t="str">
        <f>"0594-49-3633  "</f>
        <v xml:space="preserve">0594-49-3633  </v>
      </c>
    </row>
    <row r="75" spans="1:4" x14ac:dyDescent="0.55000000000000004">
      <c r="A75" s="1">
        <v>2440101950</v>
      </c>
      <c r="B75" s="1" t="s">
        <v>1350</v>
      </c>
      <c r="C75" s="1" t="s">
        <v>3008</v>
      </c>
      <c r="D75" s="1" t="str">
        <f>"0594-27-6100  "</f>
        <v xml:space="preserve">0594-27-6100  </v>
      </c>
    </row>
    <row r="76" spans="1:4" x14ac:dyDescent="0.55000000000000004">
      <c r="A76" s="1">
        <v>2440101968</v>
      </c>
      <c r="B76" s="1" t="s">
        <v>1351</v>
      </c>
      <c r="C76" s="1" t="s">
        <v>1352</v>
      </c>
      <c r="D76" s="1" t="str">
        <f>"0594-33-2255  "</f>
        <v xml:space="preserve">0594-33-2255  </v>
      </c>
    </row>
    <row r="77" spans="1:4" x14ac:dyDescent="0.55000000000000004">
      <c r="A77" s="1">
        <v>2440101976</v>
      </c>
      <c r="B77" s="1" t="s">
        <v>1353</v>
      </c>
      <c r="C77" s="1" t="s">
        <v>3009</v>
      </c>
      <c r="D77" s="1" t="str">
        <f>"0594-27-7111  "</f>
        <v xml:space="preserve">0594-27-7111  </v>
      </c>
    </row>
    <row r="78" spans="1:4" x14ac:dyDescent="0.55000000000000004">
      <c r="A78" s="1">
        <v>2440101984</v>
      </c>
      <c r="B78" s="1" t="s">
        <v>1354</v>
      </c>
      <c r="C78" s="1" t="s">
        <v>39</v>
      </c>
      <c r="D78" s="1" t="str">
        <f>"0594-41-2260  "</f>
        <v xml:space="preserve">0594-41-2260  </v>
      </c>
    </row>
    <row r="79" spans="1:4" x14ac:dyDescent="0.55000000000000004">
      <c r="A79" s="1">
        <v>2440102008</v>
      </c>
      <c r="B79" s="1" t="s">
        <v>1355</v>
      </c>
      <c r="C79" s="1" t="s">
        <v>1356</v>
      </c>
      <c r="D79" s="1" t="str">
        <f>"0594-41-0880  "</f>
        <v xml:space="preserve">0594-41-0880  </v>
      </c>
    </row>
    <row r="80" spans="1:4" x14ac:dyDescent="0.55000000000000004">
      <c r="A80" s="1">
        <v>2440102016</v>
      </c>
      <c r="B80" s="1" t="s">
        <v>1357</v>
      </c>
      <c r="C80" s="1" t="s">
        <v>3010</v>
      </c>
      <c r="D80" s="1" t="str">
        <f>"0594-25-1193  "</f>
        <v xml:space="preserve">0594-25-1193  </v>
      </c>
    </row>
    <row r="81" spans="1:4" x14ac:dyDescent="0.55000000000000004">
      <c r="A81" s="1">
        <v>2440102024</v>
      </c>
      <c r="B81" s="1" t="s">
        <v>1358</v>
      </c>
      <c r="C81" s="1" t="str">
        <f>"桑名市東方立坂1819-2"</f>
        <v>桑名市東方立坂1819-2</v>
      </c>
      <c r="D81" s="1" t="str">
        <f>"0594-49-5151  "</f>
        <v xml:space="preserve">0594-49-5151  </v>
      </c>
    </row>
    <row r="82" spans="1:4" x14ac:dyDescent="0.55000000000000004">
      <c r="A82" s="1">
        <v>2440102040</v>
      </c>
      <c r="B82" s="1" t="s">
        <v>1359</v>
      </c>
      <c r="C82" s="1" t="str">
        <f>"桑名市陽だまりの丘7-1604"</f>
        <v>桑名市陽だまりの丘7-1604</v>
      </c>
      <c r="D82" s="1" t="str">
        <f>"0594-87-6711  "</f>
        <v xml:space="preserve">0594-87-6711  </v>
      </c>
    </row>
    <row r="83" spans="1:4" x14ac:dyDescent="0.55000000000000004">
      <c r="A83" s="1">
        <v>2440102073</v>
      </c>
      <c r="B83" s="1" t="s">
        <v>1360</v>
      </c>
      <c r="C83" s="1" t="str">
        <f>"桑名市中央町1丁目51-4"</f>
        <v>桑名市中央町1丁目51-4</v>
      </c>
      <c r="D83" s="1" t="str">
        <f>"0594-41-2701  "</f>
        <v xml:space="preserve">0594-41-2701  </v>
      </c>
    </row>
    <row r="84" spans="1:4" x14ac:dyDescent="0.55000000000000004">
      <c r="A84" s="1">
        <v>2440102081</v>
      </c>
      <c r="B84" s="1" t="s">
        <v>1362</v>
      </c>
      <c r="C84" s="1" t="s">
        <v>1363</v>
      </c>
      <c r="D84" s="1" t="str">
        <f>"0594-84-5570  "</f>
        <v xml:space="preserve">0594-84-5570  </v>
      </c>
    </row>
    <row r="85" spans="1:4" x14ac:dyDescent="0.55000000000000004">
      <c r="A85" s="1">
        <v>2440102099</v>
      </c>
      <c r="B85" s="1" t="s">
        <v>1364</v>
      </c>
      <c r="C85" s="1" t="str">
        <f>"桑名市寿町3-64"</f>
        <v>桑名市寿町3-64</v>
      </c>
      <c r="D85" s="1" t="str">
        <f>"0594-25-8941  "</f>
        <v xml:space="preserve">0594-25-8941  </v>
      </c>
    </row>
    <row r="86" spans="1:4" x14ac:dyDescent="0.55000000000000004">
      <c r="A86" s="1">
        <v>2440102107</v>
      </c>
      <c r="B86" s="1" t="s">
        <v>1365</v>
      </c>
      <c r="C86" s="1" t="str">
        <f>"桑名市桑栄町1-1　サンファーレ南館1階"</f>
        <v>桑名市桑栄町1-1　サンファーレ南館1階</v>
      </c>
      <c r="D86" s="1" t="str">
        <f>"0594-87-6201  "</f>
        <v xml:space="preserve">0594-87-6201  </v>
      </c>
    </row>
    <row r="87" spans="1:4" x14ac:dyDescent="0.55000000000000004">
      <c r="A87" s="1">
        <v>2440102115</v>
      </c>
      <c r="B87" s="1" t="s">
        <v>1366</v>
      </c>
      <c r="C87" s="1" t="str">
        <f>"桑名市西別所296-1"</f>
        <v>桑名市西別所296-1</v>
      </c>
      <c r="D87" s="1" t="str">
        <f>"0594-88-5800  "</f>
        <v xml:space="preserve">0594-88-5800  </v>
      </c>
    </row>
    <row r="88" spans="1:4" x14ac:dyDescent="0.55000000000000004">
      <c r="A88" s="1">
        <v>2440102123</v>
      </c>
      <c r="B88" s="1" t="s">
        <v>1367</v>
      </c>
      <c r="C88" s="1" t="str">
        <f>"桑名市安永847-1"</f>
        <v>桑名市安永847-1</v>
      </c>
      <c r="D88" s="1" t="str">
        <f>"0594-27-1200  "</f>
        <v xml:space="preserve">0594-27-1200  </v>
      </c>
    </row>
    <row r="89" spans="1:4" x14ac:dyDescent="0.55000000000000004">
      <c r="A89" s="1">
        <v>2441400039</v>
      </c>
      <c r="B89" s="1" t="s">
        <v>2170</v>
      </c>
      <c r="C89" s="1" t="str">
        <f>"いなべ市北勢町東村32-10"</f>
        <v>いなべ市北勢町東村32-10</v>
      </c>
      <c r="D89" s="1" t="str">
        <f>"0594-72-2021  "</f>
        <v xml:space="preserve">0594-72-2021  </v>
      </c>
    </row>
    <row r="90" spans="1:4" x14ac:dyDescent="0.55000000000000004">
      <c r="A90" s="1">
        <v>2441400070</v>
      </c>
      <c r="B90" s="1" t="s">
        <v>2171</v>
      </c>
      <c r="C90" s="1" t="s">
        <v>1483</v>
      </c>
      <c r="D90" s="1" t="str">
        <f>"0594-87-0077  "</f>
        <v xml:space="preserve">0594-87-0077  </v>
      </c>
    </row>
    <row r="91" spans="1:4" x14ac:dyDescent="0.55000000000000004">
      <c r="A91" s="1">
        <v>2441400096</v>
      </c>
      <c r="B91" s="1" t="s">
        <v>2172</v>
      </c>
      <c r="C91" s="1" t="str">
        <f>"いなべ市員弁町大泉新田字野溜55-5"</f>
        <v>いなべ市員弁町大泉新田字野溜55-5</v>
      </c>
      <c r="D91" s="1" t="str">
        <f>"0594-74-5593  "</f>
        <v xml:space="preserve">0594-74-5593  </v>
      </c>
    </row>
    <row r="92" spans="1:4" x14ac:dyDescent="0.55000000000000004">
      <c r="A92" s="1">
        <v>2441400120</v>
      </c>
      <c r="B92" s="1" t="s">
        <v>2173</v>
      </c>
      <c r="C92" s="1" t="str">
        <f>"いなべ市藤原町日内375-4"</f>
        <v>いなべ市藤原町日内375-4</v>
      </c>
      <c r="D92" s="1" t="str">
        <f>"0594-46-8811  "</f>
        <v xml:space="preserve">0594-46-8811  </v>
      </c>
    </row>
    <row r="93" spans="1:4" x14ac:dyDescent="0.55000000000000004">
      <c r="A93" s="1">
        <v>2441400146</v>
      </c>
      <c r="B93" s="1" t="s">
        <v>2174</v>
      </c>
      <c r="C93" s="1" t="str">
        <f>"いなべ市員弁町畑新田字西垣内520-4"</f>
        <v>いなべ市員弁町畑新田字西垣内520-4</v>
      </c>
      <c r="D93" s="1" t="str">
        <f>"0594-84-1117  "</f>
        <v xml:space="preserve">0594-84-1117  </v>
      </c>
    </row>
    <row r="94" spans="1:4" x14ac:dyDescent="0.55000000000000004">
      <c r="A94" s="1">
        <v>2441400161</v>
      </c>
      <c r="B94" s="1" t="s">
        <v>2175</v>
      </c>
      <c r="C94" s="1" t="s">
        <v>2176</v>
      </c>
      <c r="D94" s="1" t="str">
        <f>"0594-82-1020  "</f>
        <v xml:space="preserve">0594-82-1020  </v>
      </c>
    </row>
    <row r="95" spans="1:4" x14ac:dyDescent="0.55000000000000004">
      <c r="A95" s="1">
        <v>2441400187</v>
      </c>
      <c r="B95" s="1" t="s">
        <v>2177</v>
      </c>
      <c r="C95" s="1" t="str">
        <f>"いなべ市員弁町大泉2512-3"</f>
        <v>いなべ市員弁町大泉2512-3</v>
      </c>
      <c r="D95" s="1" t="str">
        <f>"0594-84-0100  "</f>
        <v xml:space="preserve">0594-84-0100  </v>
      </c>
    </row>
    <row r="96" spans="1:4" x14ac:dyDescent="0.55000000000000004">
      <c r="A96" s="1">
        <v>2441400195</v>
      </c>
      <c r="B96" s="1" t="s">
        <v>2178</v>
      </c>
      <c r="C96" s="1" t="str">
        <f>"いなべ市北勢町阿下喜1882-6"</f>
        <v>いなべ市北勢町阿下喜1882-6</v>
      </c>
      <c r="D96" s="1" t="str">
        <f>"0594-87-7125  "</f>
        <v xml:space="preserve">0594-87-7125  </v>
      </c>
    </row>
    <row r="97" spans="1:4" x14ac:dyDescent="0.55000000000000004">
      <c r="A97" s="1">
        <v>2441400203</v>
      </c>
      <c r="B97" s="1" t="s">
        <v>2179</v>
      </c>
      <c r="C97" s="1" t="str">
        <f>"いなべ市北勢町麻生田字麻野3456-3"</f>
        <v>いなべ市北勢町麻生田字麻野3456-3</v>
      </c>
      <c r="D97" s="1" t="str">
        <f>"0594-49-5595  "</f>
        <v xml:space="preserve">0594-49-5595  </v>
      </c>
    </row>
    <row r="98" spans="1:4" x14ac:dyDescent="0.55000000000000004">
      <c r="A98" s="1">
        <v>2441400229</v>
      </c>
      <c r="B98" s="1" t="s">
        <v>2180</v>
      </c>
      <c r="C98" s="1" t="s">
        <v>2181</v>
      </c>
      <c r="D98" s="1" t="str">
        <f>"0594-72-7733  "</f>
        <v xml:space="preserve">0594-72-7733  </v>
      </c>
    </row>
    <row r="99" spans="1:4" x14ac:dyDescent="0.55000000000000004">
      <c r="A99" s="1">
        <v>2441400237</v>
      </c>
      <c r="B99" s="1" t="s">
        <v>2182</v>
      </c>
      <c r="C99" s="1" t="s">
        <v>3118</v>
      </c>
      <c r="D99" s="1" t="str">
        <f>"0594-72-8680  "</f>
        <v xml:space="preserve">0594-72-8680  </v>
      </c>
    </row>
    <row r="100" spans="1:4" x14ac:dyDescent="0.55000000000000004">
      <c r="A100" s="1">
        <v>2441400245</v>
      </c>
      <c r="B100" s="1" t="s">
        <v>2183</v>
      </c>
      <c r="C100" s="1" t="s">
        <v>3119</v>
      </c>
      <c r="D100" s="1" t="str">
        <f>"0594-41-3560  "</f>
        <v xml:space="preserve">0594-41-3560  </v>
      </c>
    </row>
    <row r="101" spans="1:4" x14ac:dyDescent="0.55000000000000004">
      <c r="A101" s="1">
        <v>2441400252</v>
      </c>
      <c r="B101" s="1" t="s">
        <v>2184</v>
      </c>
      <c r="C101" s="1" t="s">
        <v>2185</v>
      </c>
      <c r="D101" s="1" t="str">
        <f>"0594-41-3171  "</f>
        <v xml:space="preserve">0594-41-3171  </v>
      </c>
    </row>
    <row r="102" spans="1:4" x14ac:dyDescent="0.55000000000000004">
      <c r="A102" s="1">
        <v>2441400260</v>
      </c>
      <c r="B102" s="1" t="s">
        <v>2186</v>
      </c>
      <c r="C102" s="1" t="s">
        <v>2187</v>
      </c>
      <c r="D102" s="1" t="str">
        <f>"0594-41-4655  "</f>
        <v xml:space="preserve">0594-41-4655  </v>
      </c>
    </row>
    <row r="103" spans="1:4" x14ac:dyDescent="0.55000000000000004">
      <c r="A103" s="1">
        <v>2442100174</v>
      </c>
      <c r="B103" s="1" t="s">
        <v>2190</v>
      </c>
      <c r="C103" s="1" t="str">
        <f>"員弁郡東員町笹尾東2-5-6"</f>
        <v>員弁郡東員町笹尾東2-5-6</v>
      </c>
      <c r="D103" s="1" t="str">
        <f>"0594-76-7520  "</f>
        <v xml:space="preserve">0594-76-7520  </v>
      </c>
    </row>
    <row r="104" spans="1:4" x14ac:dyDescent="0.55000000000000004">
      <c r="A104" s="1">
        <v>2442100281</v>
      </c>
      <c r="B104" s="1" t="s">
        <v>2192</v>
      </c>
      <c r="C104" s="1" t="str">
        <f>"員弁郡東員町中上280-1"</f>
        <v>員弁郡東員町中上280-1</v>
      </c>
      <c r="D104" s="1" t="str">
        <f>"0594-76-1381  "</f>
        <v xml:space="preserve">0594-76-1381  </v>
      </c>
    </row>
    <row r="105" spans="1:4" x14ac:dyDescent="0.55000000000000004">
      <c r="A105" s="1">
        <v>2442100331</v>
      </c>
      <c r="B105" s="1" t="s">
        <v>2193</v>
      </c>
      <c r="C105" s="1" t="s">
        <v>3120</v>
      </c>
      <c r="D105" s="1" t="str">
        <f>"0594-76-7898  "</f>
        <v xml:space="preserve">0594-76-7898  </v>
      </c>
    </row>
    <row r="106" spans="1:4" x14ac:dyDescent="0.55000000000000004">
      <c r="A106" s="1">
        <v>2442100372</v>
      </c>
      <c r="B106" s="1" t="s">
        <v>2194</v>
      </c>
      <c r="C106" s="1" t="str">
        <f>"員弁郡東員町山田西畑1761-2"</f>
        <v>員弁郡東員町山田西畑1761-2</v>
      </c>
      <c r="D106" s="1" t="str">
        <f>"0594-86-1025  "</f>
        <v xml:space="preserve">0594-86-1025  </v>
      </c>
    </row>
    <row r="107" spans="1:4" x14ac:dyDescent="0.55000000000000004">
      <c r="A107" s="1">
        <v>2442100380</v>
      </c>
      <c r="B107" s="1" t="s">
        <v>1552</v>
      </c>
      <c r="C107" s="1" t="str">
        <f>"員弁郡東員町八幡新田前供139-3"</f>
        <v>員弁郡東員町八幡新田前供139-3</v>
      </c>
      <c r="D107" s="1" t="str">
        <f>"0594-84-7290  "</f>
        <v xml:space="preserve">0594-84-7290  </v>
      </c>
    </row>
    <row r="108" spans="1:4" x14ac:dyDescent="0.55000000000000004">
      <c r="A108" s="1">
        <v>2442100398</v>
      </c>
      <c r="B108" s="1" t="s">
        <v>2195</v>
      </c>
      <c r="C108" s="1" t="s">
        <v>2196</v>
      </c>
      <c r="D108" s="1" t="str">
        <f>"0594-86-1210  "</f>
        <v xml:space="preserve">0594-86-1210  </v>
      </c>
    </row>
    <row r="109" spans="1:4" x14ac:dyDescent="0.55000000000000004">
      <c r="A109" s="1">
        <v>2442100406</v>
      </c>
      <c r="B109" s="1" t="s">
        <v>2197</v>
      </c>
      <c r="C109" s="1" t="s">
        <v>2198</v>
      </c>
      <c r="D109" s="1" t="str">
        <f>"0594-86-0462  "</f>
        <v xml:space="preserve">0594-86-0462  </v>
      </c>
    </row>
    <row r="110" spans="1:4" x14ac:dyDescent="0.55000000000000004">
      <c r="A110" s="1">
        <v>2442100414</v>
      </c>
      <c r="B110" s="1" t="s">
        <v>2199</v>
      </c>
      <c r="C110" s="1" t="s">
        <v>3121</v>
      </c>
      <c r="D110" s="1" t="str">
        <f>"0594-86-1800  "</f>
        <v xml:space="preserve">0594-86-1800  </v>
      </c>
    </row>
    <row r="111" spans="1:4" x14ac:dyDescent="0.55000000000000004">
      <c r="A111" s="1">
        <v>2442100422</v>
      </c>
      <c r="B111" s="1" t="s">
        <v>2191</v>
      </c>
      <c r="C111" s="1" t="s">
        <v>3122</v>
      </c>
      <c r="D111" s="1" t="str">
        <f>"0594-75-0095  "</f>
        <v xml:space="preserve">0594-75-0095  </v>
      </c>
    </row>
    <row r="112" spans="1:4" x14ac:dyDescent="0.55000000000000004">
      <c r="A112" s="1">
        <v>2442100430</v>
      </c>
      <c r="B112" s="1" t="s">
        <v>2200</v>
      </c>
      <c r="C112" s="1" t="str">
        <f>"員弁郡東員町大字穴太字茨原2945-4"</f>
        <v>員弁郡東員町大字穴太字茨原2945-4</v>
      </c>
      <c r="D112" s="1" t="str">
        <f>"0594-41-3208  "</f>
        <v xml:space="preserve">0594-41-3208  </v>
      </c>
    </row>
    <row r="113" spans="1:4" x14ac:dyDescent="0.55000000000000004">
      <c r="A113" s="1">
        <v>2442100448</v>
      </c>
      <c r="B113" s="1" t="s">
        <v>2201</v>
      </c>
      <c r="C113" s="1" t="str">
        <f>"員弁郡東員町大字長深字屋敷885-5"</f>
        <v>員弁郡東員町大字長深字屋敷885-5</v>
      </c>
      <c r="D113" s="1" t="str">
        <f>"0594-41-5760  "</f>
        <v xml:space="preserve">0594-41-5760  </v>
      </c>
    </row>
    <row r="114" spans="1:4" x14ac:dyDescent="0.55000000000000004">
      <c r="A114" s="1">
        <v>2442200206</v>
      </c>
      <c r="B114" s="1" t="s">
        <v>2202</v>
      </c>
      <c r="C114" s="1" t="str">
        <f>"三重郡菰野町竹成字高原3998-7"</f>
        <v>三重郡菰野町竹成字高原3998-7</v>
      </c>
      <c r="D114" s="1" t="str">
        <f>"059-396-3638  "</f>
        <v xml:space="preserve">059-396-3638  </v>
      </c>
    </row>
    <row r="115" spans="1:4" x14ac:dyDescent="0.55000000000000004">
      <c r="A115" s="1">
        <v>2442200396</v>
      </c>
      <c r="B115" s="1" t="s">
        <v>2206</v>
      </c>
      <c r="C115" s="1" t="s">
        <v>3123</v>
      </c>
      <c r="D115" s="1" t="str">
        <f>"059-391-0101  "</f>
        <v xml:space="preserve">059-391-0101  </v>
      </c>
    </row>
    <row r="116" spans="1:4" x14ac:dyDescent="0.55000000000000004">
      <c r="A116" s="1">
        <v>2442200404</v>
      </c>
      <c r="B116" s="1" t="s">
        <v>2207</v>
      </c>
      <c r="C116" s="1" t="str">
        <f>"三重郡菰野町菰野力尾9577-2"</f>
        <v>三重郡菰野町菰野力尾9577-2</v>
      </c>
      <c r="D116" s="1" t="str">
        <f>"059-394-7201  "</f>
        <v xml:space="preserve">059-394-7201  </v>
      </c>
    </row>
    <row r="117" spans="1:4" x14ac:dyDescent="0.55000000000000004">
      <c r="A117" s="1">
        <v>2442200412</v>
      </c>
      <c r="B117" s="1" t="s">
        <v>2208</v>
      </c>
      <c r="C117" s="1" t="s">
        <v>2209</v>
      </c>
      <c r="D117" s="1" t="str">
        <f>"059-391-0530  "</f>
        <v xml:space="preserve">059-391-0530  </v>
      </c>
    </row>
    <row r="118" spans="1:4" x14ac:dyDescent="0.55000000000000004">
      <c r="A118" s="1">
        <v>2442200453</v>
      </c>
      <c r="B118" s="1" t="s">
        <v>2211</v>
      </c>
      <c r="C118" s="1" t="str">
        <f>"三重郡菰野町菰野2302-4"</f>
        <v>三重郡菰野町菰野2302-4</v>
      </c>
      <c r="D118" s="1" t="str">
        <f>"059-358-2889  "</f>
        <v xml:space="preserve">059-358-2889  </v>
      </c>
    </row>
    <row r="119" spans="1:4" x14ac:dyDescent="0.55000000000000004">
      <c r="A119" s="1">
        <v>2442200461</v>
      </c>
      <c r="B119" s="1" t="s">
        <v>2212</v>
      </c>
      <c r="C119" s="1" t="str">
        <f>"三重郡菰野町田光4465-2"</f>
        <v>三重郡菰野町田光4465-2</v>
      </c>
      <c r="D119" s="1" t="str">
        <f>"059-340-3977  "</f>
        <v xml:space="preserve">059-340-3977  </v>
      </c>
    </row>
    <row r="120" spans="1:4" x14ac:dyDescent="0.55000000000000004">
      <c r="A120" s="1">
        <v>2442200495</v>
      </c>
      <c r="B120" s="1" t="s">
        <v>2213</v>
      </c>
      <c r="C120" s="1" t="str">
        <f>"三重郡菰野町大字福村64-6"</f>
        <v>三重郡菰野町大字福村64-6</v>
      </c>
      <c r="D120" s="1" t="str">
        <f>"059-391-0871  "</f>
        <v xml:space="preserve">059-391-0871  </v>
      </c>
    </row>
    <row r="121" spans="1:4" x14ac:dyDescent="0.55000000000000004">
      <c r="A121" s="1">
        <v>2442200503</v>
      </c>
      <c r="B121" s="1" t="s">
        <v>2214</v>
      </c>
      <c r="C121" s="1" t="s">
        <v>2215</v>
      </c>
      <c r="D121" s="1" t="str">
        <f>"059-386-2007  "</f>
        <v xml:space="preserve">059-386-2007  </v>
      </c>
    </row>
    <row r="122" spans="1:4" x14ac:dyDescent="0.55000000000000004">
      <c r="A122" s="1">
        <v>2442200545</v>
      </c>
      <c r="B122" s="1" t="s">
        <v>2218</v>
      </c>
      <c r="C122" s="1" t="s">
        <v>3124</v>
      </c>
      <c r="D122" s="1" t="str">
        <f>"059-391-0836  "</f>
        <v xml:space="preserve">059-391-0836  </v>
      </c>
    </row>
    <row r="123" spans="1:4" x14ac:dyDescent="0.55000000000000004">
      <c r="A123" s="1">
        <v>2442200552</v>
      </c>
      <c r="B123" s="1" t="s">
        <v>2219</v>
      </c>
      <c r="C123" s="1" t="s">
        <v>3125</v>
      </c>
      <c r="D123" s="1" t="str">
        <f>"059-394-7700  "</f>
        <v xml:space="preserve">059-394-7700  </v>
      </c>
    </row>
    <row r="124" spans="1:4" x14ac:dyDescent="0.55000000000000004">
      <c r="A124" s="1">
        <v>2442200560</v>
      </c>
      <c r="B124" s="1" t="s">
        <v>2220</v>
      </c>
      <c r="C124" s="1" t="s">
        <v>2221</v>
      </c>
      <c r="D124" s="1" t="str">
        <f>"059-327-6640  "</f>
        <v xml:space="preserve">059-327-6640  </v>
      </c>
    </row>
    <row r="125" spans="1:4" x14ac:dyDescent="0.55000000000000004">
      <c r="A125" s="1">
        <v>2442200578</v>
      </c>
      <c r="B125" s="1" t="s">
        <v>2222</v>
      </c>
      <c r="C125" s="1" t="s">
        <v>2223</v>
      </c>
      <c r="D125" s="1" t="str">
        <f>"059-327-5865  "</f>
        <v xml:space="preserve">059-327-5865  </v>
      </c>
    </row>
    <row r="126" spans="1:4" x14ac:dyDescent="0.55000000000000004">
      <c r="A126" s="1">
        <v>2442200586</v>
      </c>
      <c r="B126" s="1" t="s">
        <v>2224</v>
      </c>
      <c r="C126" s="1" t="s">
        <v>2225</v>
      </c>
      <c r="D126" s="1" t="str">
        <f>"059-328-5061  "</f>
        <v xml:space="preserve">059-328-5061  </v>
      </c>
    </row>
    <row r="127" spans="1:4" x14ac:dyDescent="0.55000000000000004">
      <c r="A127" s="1">
        <v>2442200370</v>
      </c>
      <c r="B127" s="1" t="s">
        <v>2205</v>
      </c>
      <c r="C127" s="1" t="str">
        <f>"三重郡朝日町小向968-4"</f>
        <v>三重郡朝日町小向968-4</v>
      </c>
      <c r="D127" s="1" t="str">
        <f>"059-376-2000  "</f>
        <v xml:space="preserve">059-376-2000  </v>
      </c>
    </row>
    <row r="128" spans="1:4" x14ac:dyDescent="0.55000000000000004">
      <c r="A128" s="1">
        <v>2442200446</v>
      </c>
      <c r="B128" s="1" t="s">
        <v>2210</v>
      </c>
      <c r="C128" s="1" t="str">
        <f>"三重郡朝日町向陽台2-16-5"</f>
        <v>三重郡朝日町向陽台2-16-5</v>
      </c>
      <c r="D128" s="1" t="str">
        <f>"059-376-0011  "</f>
        <v xml:space="preserve">059-376-0011  </v>
      </c>
    </row>
    <row r="129" spans="1:4" x14ac:dyDescent="0.55000000000000004">
      <c r="A129" s="1">
        <v>2442200222</v>
      </c>
      <c r="B129" s="1" t="s">
        <v>2203</v>
      </c>
      <c r="C129" s="1" t="str">
        <f>"三重郡川越町豊田一色348-6"</f>
        <v>三重郡川越町豊田一色348-6</v>
      </c>
      <c r="D129" s="1" t="str">
        <f>"059-361-0808  "</f>
        <v xml:space="preserve">059-361-0808  </v>
      </c>
    </row>
    <row r="130" spans="1:4" x14ac:dyDescent="0.55000000000000004">
      <c r="A130" s="1">
        <v>2442200354</v>
      </c>
      <c r="B130" s="1" t="s">
        <v>2204</v>
      </c>
      <c r="C130" s="1" t="str">
        <f>"三重郡川越町豊田243-6"</f>
        <v>三重郡川越町豊田243-6</v>
      </c>
      <c r="D130" s="1" t="str">
        <f>"059-361-5678  "</f>
        <v xml:space="preserve">059-361-5678  </v>
      </c>
    </row>
    <row r="131" spans="1:4" x14ac:dyDescent="0.55000000000000004">
      <c r="A131" s="1">
        <v>2442200529</v>
      </c>
      <c r="B131" s="1" t="s">
        <v>2216</v>
      </c>
      <c r="C131" s="1" t="str">
        <f>"三重郡川越町大字豊田一色字前浪273-3"</f>
        <v>三重郡川越町大字豊田一色字前浪273-3</v>
      </c>
      <c r="D131" s="1" t="str">
        <f>"059-363-8700  "</f>
        <v xml:space="preserve">059-363-8700  </v>
      </c>
    </row>
    <row r="132" spans="1:4" x14ac:dyDescent="0.55000000000000004">
      <c r="A132" s="1">
        <v>2442200537</v>
      </c>
      <c r="B132" s="1" t="s">
        <v>2217</v>
      </c>
      <c r="C132" s="1" t="str">
        <f>"三重郡川越町北福崎65-6"</f>
        <v>三重郡川越町北福崎65-6</v>
      </c>
      <c r="D132" s="1" t="str">
        <f>"059-327-7780  "</f>
        <v xml:space="preserve">059-327-7780  </v>
      </c>
    </row>
    <row r="133" spans="1:4" x14ac:dyDescent="0.55000000000000004">
      <c r="A133" s="1">
        <v>2442200594</v>
      </c>
      <c r="B133" s="1" t="s">
        <v>2226</v>
      </c>
      <c r="C133" s="1" t="str">
        <f>"三重郡川越町豊田城ノ内304-4"</f>
        <v>三重郡川越町豊田城ノ内304-4</v>
      </c>
      <c r="D133" s="1" t="str">
        <f>"059-329-5750  "</f>
        <v xml:space="preserve">059-329-5750  </v>
      </c>
    </row>
    <row r="134" spans="1:4" x14ac:dyDescent="0.55000000000000004">
      <c r="A134" s="1">
        <v>2440200133</v>
      </c>
      <c r="B134" s="1" t="s">
        <v>1295</v>
      </c>
      <c r="C134" s="1" t="str">
        <f>"四日市市蔵町1-14"</f>
        <v>四日市市蔵町1-14</v>
      </c>
      <c r="D134" s="1" t="str">
        <f>"059-352-2874  "</f>
        <v xml:space="preserve">059-352-2874  </v>
      </c>
    </row>
    <row r="135" spans="1:4" x14ac:dyDescent="0.55000000000000004">
      <c r="A135" s="1">
        <v>2440200216</v>
      </c>
      <c r="B135" s="1" t="s">
        <v>1369</v>
      </c>
      <c r="C135" s="1" t="str">
        <f>"四日市市富田1丁目20-10"</f>
        <v>四日市市富田1丁目20-10</v>
      </c>
      <c r="D135" s="1" t="str">
        <f>"059-364-3333  "</f>
        <v xml:space="preserve">059-364-3333  </v>
      </c>
    </row>
    <row r="136" spans="1:4" x14ac:dyDescent="0.55000000000000004">
      <c r="A136" s="1">
        <v>2440200810</v>
      </c>
      <c r="B136" s="1" t="s">
        <v>1370</v>
      </c>
      <c r="C136" s="1" t="str">
        <f>"四日市市笹川5丁目64-17"</f>
        <v>四日市市笹川5丁目64-17</v>
      </c>
      <c r="D136" s="1" t="str">
        <f>"059-321-3980  "</f>
        <v xml:space="preserve">059-321-3980  </v>
      </c>
    </row>
    <row r="137" spans="1:4" x14ac:dyDescent="0.55000000000000004">
      <c r="A137" s="1">
        <v>2440200976</v>
      </c>
      <c r="B137" s="1" t="s">
        <v>1371</v>
      </c>
      <c r="C137" s="1" t="str">
        <f>"四日市市桜町161-6"</f>
        <v>四日市市桜町161-6</v>
      </c>
      <c r="D137" s="1" t="str">
        <f>"059-326-2331  "</f>
        <v xml:space="preserve">059-326-2331  </v>
      </c>
    </row>
    <row r="138" spans="1:4" x14ac:dyDescent="0.55000000000000004">
      <c r="A138" s="1">
        <v>2440201214</v>
      </c>
      <c r="B138" s="1" t="s">
        <v>1372</v>
      </c>
      <c r="C138" s="1" t="str">
        <f>"四日市市南浜田町4-6"</f>
        <v>四日市市南浜田町4-6</v>
      </c>
      <c r="D138" s="1" t="str">
        <f>"059-354-1292  "</f>
        <v xml:space="preserve">059-354-1292  </v>
      </c>
    </row>
    <row r="139" spans="1:4" x14ac:dyDescent="0.55000000000000004">
      <c r="A139" s="1">
        <v>2440201248</v>
      </c>
      <c r="B139" s="1" t="s">
        <v>1373</v>
      </c>
      <c r="C139" s="1" t="str">
        <f>"四日市市富田一色町12-12"</f>
        <v>四日市市富田一色町12-12</v>
      </c>
      <c r="D139" s="1" t="str">
        <f>"059-365-0255  "</f>
        <v xml:space="preserve">059-365-0255  </v>
      </c>
    </row>
    <row r="140" spans="1:4" x14ac:dyDescent="0.55000000000000004">
      <c r="A140" s="1">
        <v>2440201362</v>
      </c>
      <c r="B140" s="1" t="s">
        <v>1374</v>
      </c>
      <c r="C140" s="1" t="str">
        <f>"四日市市高花平3-1-62"</f>
        <v>四日市市高花平3-1-62</v>
      </c>
      <c r="D140" s="1" t="str">
        <f>"059-321-1205  "</f>
        <v xml:space="preserve">059-321-1205  </v>
      </c>
    </row>
    <row r="141" spans="1:4" x14ac:dyDescent="0.55000000000000004">
      <c r="A141" s="1">
        <v>2440201370</v>
      </c>
      <c r="B141" s="1" t="s">
        <v>1375</v>
      </c>
      <c r="C141" s="1" t="str">
        <f>"四日市市日永西3-1-20"</f>
        <v>四日市市日永西3-1-20</v>
      </c>
      <c r="D141" s="1" t="str">
        <f>"059-347-0593  "</f>
        <v xml:space="preserve">059-347-0593  </v>
      </c>
    </row>
    <row r="142" spans="1:4" x14ac:dyDescent="0.55000000000000004">
      <c r="A142" s="1">
        <v>2440201453</v>
      </c>
      <c r="B142" s="1" t="s">
        <v>1376</v>
      </c>
      <c r="C142" s="1" t="str">
        <f>"四日市市生桑町高田584-1"</f>
        <v>四日市市生桑町高田584-1</v>
      </c>
      <c r="D142" s="1" t="str">
        <f>"059-333-3667  "</f>
        <v xml:space="preserve">059-333-3667  </v>
      </c>
    </row>
    <row r="143" spans="1:4" x14ac:dyDescent="0.55000000000000004">
      <c r="A143" s="1">
        <v>2440201487</v>
      </c>
      <c r="B143" s="1" t="s">
        <v>1377</v>
      </c>
      <c r="C143" s="1" t="str">
        <f>"四日市市山城町1159-2"</f>
        <v>四日市市山城町1159-2</v>
      </c>
      <c r="D143" s="1" t="str">
        <f>"059-338-0064  "</f>
        <v xml:space="preserve">059-338-0064  </v>
      </c>
    </row>
    <row r="144" spans="1:4" x14ac:dyDescent="0.55000000000000004">
      <c r="A144" s="1">
        <v>2440201511</v>
      </c>
      <c r="B144" s="1" t="s">
        <v>1378</v>
      </c>
      <c r="C144" s="1" t="str">
        <f>"四日市市下之宮町30-1"</f>
        <v>四日市市下之宮町30-1</v>
      </c>
      <c r="D144" s="1" t="str">
        <f>"059-364-3933  "</f>
        <v xml:space="preserve">059-364-3933  </v>
      </c>
    </row>
    <row r="145" spans="1:4" x14ac:dyDescent="0.55000000000000004">
      <c r="A145" s="1">
        <v>2440201685</v>
      </c>
      <c r="B145" s="1" t="s">
        <v>1379</v>
      </c>
      <c r="C145" s="1" t="str">
        <f>"四日市市北浜田町10-6"</f>
        <v>四日市市北浜田町10-6</v>
      </c>
      <c r="D145" s="1" t="str">
        <f>"059-352-3583  "</f>
        <v xml:space="preserve">059-352-3583  </v>
      </c>
    </row>
    <row r="146" spans="1:4" x14ac:dyDescent="0.55000000000000004">
      <c r="A146" s="1">
        <v>2440201701</v>
      </c>
      <c r="B146" s="1" t="s">
        <v>1380</v>
      </c>
      <c r="C146" s="1" t="str">
        <f>"四日市市羽津中2-1-5"</f>
        <v>四日市市羽津中2-1-5</v>
      </c>
      <c r="D146" s="1" t="str">
        <f>"059-330-1526  "</f>
        <v xml:space="preserve">059-330-1526  </v>
      </c>
    </row>
    <row r="147" spans="1:4" x14ac:dyDescent="0.55000000000000004">
      <c r="A147" s="1">
        <v>2440201719</v>
      </c>
      <c r="B147" s="1" t="s">
        <v>1381</v>
      </c>
      <c r="C147" s="1" t="str">
        <f>"四日市市生桑町196-4"</f>
        <v>四日市市生桑町196-4</v>
      </c>
      <c r="D147" s="1" t="str">
        <f>"059-330-1331  "</f>
        <v xml:space="preserve">059-330-1331  </v>
      </c>
    </row>
    <row r="148" spans="1:4" x14ac:dyDescent="0.55000000000000004">
      <c r="A148" s="1">
        <v>2440201727</v>
      </c>
      <c r="B148" s="1" t="s">
        <v>1382</v>
      </c>
      <c r="C148" s="1" t="str">
        <f>"四日市市蒔田四丁目2-4"</f>
        <v>四日市市蒔田四丁目2-4</v>
      </c>
      <c r="D148" s="1" t="str">
        <f>"059-325-7087  "</f>
        <v xml:space="preserve">059-325-7087  </v>
      </c>
    </row>
    <row r="149" spans="1:4" x14ac:dyDescent="0.55000000000000004">
      <c r="A149" s="1">
        <v>2440201776</v>
      </c>
      <c r="B149" s="1" t="s">
        <v>1383</v>
      </c>
      <c r="C149" s="1" t="str">
        <f>"四日市市野田2丁目12-16"</f>
        <v>四日市市野田2丁目12-16</v>
      </c>
      <c r="D149" s="1" t="str">
        <f>"059-334-0300  "</f>
        <v xml:space="preserve">059-334-0300  </v>
      </c>
    </row>
    <row r="150" spans="1:4" x14ac:dyDescent="0.55000000000000004">
      <c r="A150" s="1">
        <v>2440201792</v>
      </c>
      <c r="B150" s="1" t="s">
        <v>1384</v>
      </c>
      <c r="C150" s="1" t="str">
        <f>"四日市市中納屋町1-3"</f>
        <v>四日市市中納屋町1-3</v>
      </c>
      <c r="D150" s="1" t="str">
        <f>"059-359-5588  "</f>
        <v xml:space="preserve">059-359-5588  </v>
      </c>
    </row>
    <row r="151" spans="1:4" x14ac:dyDescent="0.55000000000000004">
      <c r="A151" s="1">
        <v>2440201818</v>
      </c>
      <c r="B151" s="1" t="s">
        <v>1386</v>
      </c>
      <c r="C151" s="1" t="str">
        <f>"四日市市智積町字城丸6148-2"</f>
        <v>四日市市智積町字城丸6148-2</v>
      </c>
      <c r="D151" s="1" t="str">
        <f>"059-327-0805  "</f>
        <v xml:space="preserve">059-327-0805  </v>
      </c>
    </row>
    <row r="152" spans="1:4" x14ac:dyDescent="0.55000000000000004">
      <c r="A152" s="1">
        <v>2440201834</v>
      </c>
      <c r="B152" s="1" t="s">
        <v>1387</v>
      </c>
      <c r="C152" s="1" t="s">
        <v>3011</v>
      </c>
      <c r="D152" s="1" t="str">
        <f>"059-320-2737  "</f>
        <v xml:space="preserve">059-320-2737  </v>
      </c>
    </row>
    <row r="153" spans="1:4" x14ac:dyDescent="0.55000000000000004">
      <c r="A153" s="1">
        <v>2440201883</v>
      </c>
      <c r="B153" s="1" t="s">
        <v>1388</v>
      </c>
      <c r="C153" s="1" t="str">
        <f>"四日市市小生町字西川原792-4"</f>
        <v>四日市市小生町字西川原792-4</v>
      </c>
      <c r="D153" s="1" t="str">
        <f>"059-320-3338  "</f>
        <v xml:space="preserve">059-320-3338  </v>
      </c>
    </row>
    <row r="154" spans="1:4" x14ac:dyDescent="0.55000000000000004">
      <c r="A154" s="1">
        <v>2440201966</v>
      </c>
      <c r="B154" s="1" t="s">
        <v>1390</v>
      </c>
      <c r="C154" s="1" t="str">
        <f>"四日市市富田4丁目6-16"</f>
        <v>四日市市富田4丁目6-16</v>
      </c>
      <c r="D154" s="1" t="str">
        <f>"059-366-3227  "</f>
        <v xml:space="preserve">059-366-3227  </v>
      </c>
    </row>
    <row r="155" spans="1:4" x14ac:dyDescent="0.55000000000000004">
      <c r="A155" s="1">
        <v>2440202022</v>
      </c>
      <c r="B155" s="1" t="s">
        <v>1391</v>
      </c>
      <c r="C155" s="1" t="str">
        <f>"四日市市伊倉1丁目69-1"</f>
        <v>四日市市伊倉1丁目69-1</v>
      </c>
      <c r="D155" s="1" t="str">
        <f>"059-350-3077  "</f>
        <v xml:space="preserve">059-350-3077  </v>
      </c>
    </row>
    <row r="156" spans="1:4" x14ac:dyDescent="0.55000000000000004">
      <c r="A156" s="1">
        <v>2440202030</v>
      </c>
      <c r="B156" s="1" t="s">
        <v>1392</v>
      </c>
      <c r="C156" s="1" t="str">
        <f>"四日市市羽津山町甲1118-3"</f>
        <v>四日市市羽津山町甲1118-3</v>
      </c>
      <c r="D156" s="1" t="str">
        <f>"059-330-5530  "</f>
        <v xml:space="preserve">059-330-5530  </v>
      </c>
    </row>
    <row r="157" spans="1:4" x14ac:dyDescent="0.55000000000000004">
      <c r="A157" s="1">
        <v>2440202162</v>
      </c>
      <c r="B157" s="1" t="s">
        <v>1393</v>
      </c>
      <c r="C157" s="1" t="str">
        <f>"四日市市大字茂福777-4"</f>
        <v>四日市市大字茂福777-4</v>
      </c>
      <c r="D157" s="1" t="str">
        <f>"059-363-8008  "</f>
        <v xml:space="preserve">059-363-8008  </v>
      </c>
    </row>
    <row r="158" spans="1:4" x14ac:dyDescent="0.55000000000000004">
      <c r="A158" s="1">
        <v>2440202196</v>
      </c>
      <c r="B158" s="1" t="s">
        <v>1394</v>
      </c>
      <c r="C158" s="1" t="str">
        <f>"四日市市高見台1丁目17-15"</f>
        <v>四日市市高見台1丁目17-15</v>
      </c>
      <c r="D158" s="1" t="str">
        <f>"059-339-8181  "</f>
        <v xml:space="preserve">059-339-8181  </v>
      </c>
    </row>
    <row r="159" spans="1:4" x14ac:dyDescent="0.55000000000000004">
      <c r="A159" s="1">
        <v>2440202295</v>
      </c>
      <c r="B159" s="1" t="s">
        <v>1395</v>
      </c>
      <c r="C159" s="1" t="str">
        <f>"四日市市あかつき台2-1-68"</f>
        <v>四日市市あかつき台2-1-68</v>
      </c>
      <c r="D159" s="1" t="str">
        <f>"059-336-3233  "</f>
        <v xml:space="preserve">059-336-3233  </v>
      </c>
    </row>
    <row r="160" spans="1:4" x14ac:dyDescent="0.55000000000000004">
      <c r="A160" s="1">
        <v>2440202303</v>
      </c>
      <c r="B160" s="1" t="s">
        <v>1396</v>
      </c>
      <c r="C160" s="1" t="s">
        <v>1285</v>
      </c>
      <c r="D160" s="1" t="str">
        <f>"059-361-7878  "</f>
        <v xml:space="preserve">059-361-7878  </v>
      </c>
    </row>
    <row r="161" spans="1:4" x14ac:dyDescent="0.55000000000000004">
      <c r="A161" s="1">
        <v>2440202337</v>
      </c>
      <c r="B161" s="1" t="s">
        <v>1397</v>
      </c>
      <c r="C161" s="1" t="s">
        <v>3012</v>
      </c>
      <c r="D161" s="1" t="str">
        <f>"059-361-6007  "</f>
        <v xml:space="preserve">059-361-6007  </v>
      </c>
    </row>
    <row r="162" spans="1:4" x14ac:dyDescent="0.55000000000000004">
      <c r="A162" s="1">
        <v>2440202345</v>
      </c>
      <c r="B162" s="1" t="s">
        <v>1398</v>
      </c>
      <c r="C162" s="1" t="str">
        <f>"四日市市安島1丁目2-19　ウエストエンドビル5F"</f>
        <v>四日市市安島1丁目2-19　ウエストエンドビル5F</v>
      </c>
      <c r="D162" s="1" t="str">
        <f>"059-350-8887  "</f>
        <v xml:space="preserve">059-350-8887  </v>
      </c>
    </row>
    <row r="163" spans="1:4" x14ac:dyDescent="0.55000000000000004">
      <c r="A163" s="1">
        <v>2440202352</v>
      </c>
      <c r="B163" s="1" t="s">
        <v>1399</v>
      </c>
      <c r="C163" s="1" t="s">
        <v>1400</v>
      </c>
      <c r="D163" s="1" t="str">
        <f>"059-346-8989  "</f>
        <v xml:space="preserve">059-346-8989  </v>
      </c>
    </row>
    <row r="164" spans="1:4" x14ac:dyDescent="0.55000000000000004">
      <c r="A164" s="1">
        <v>2440202402</v>
      </c>
      <c r="B164" s="1" t="s">
        <v>1385</v>
      </c>
      <c r="C164" s="1" t="str">
        <f>"四日市市智積町6030-2"</f>
        <v>四日市市智積町6030-2</v>
      </c>
      <c r="D164" s="1" t="str">
        <f>"059-325-2511  "</f>
        <v xml:space="preserve">059-325-2511  </v>
      </c>
    </row>
    <row r="165" spans="1:4" x14ac:dyDescent="0.55000000000000004">
      <c r="A165" s="1">
        <v>2440202428</v>
      </c>
      <c r="B165" s="1" t="s">
        <v>1401</v>
      </c>
      <c r="C165" s="1" t="s">
        <v>3013</v>
      </c>
      <c r="D165" s="1" t="str">
        <f>"059-349-6770  "</f>
        <v xml:space="preserve">059-349-6770  </v>
      </c>
    </row>
    <row r="166" spans="1:4" x14ac:dyDescent="0.55000000000000004">
      <c r="A166" s="1">
        <v>2440202485</v>
      </c>
      <c r="B166" s="1" t="s">
        <v>1402</v>
      </c>
      <c r="C166" s="1" t="s">
        <v>3014</v>
      </c>
      <c r="D166" s="1" t="str">
        <f>"059-334-8550  "</f>
        <v xml:space="preserve">059-334-8550  </v>
      </c>
    </row>
    <row r="167" spans="1:4" x14ac:dyDescent="0.55000000000000004">
      <c r="A167" s="1">
        <v>2440202501</v>
      </c>
      <c r="B167" s="1" t="s">
        <v>1403</v>
      </c>
      <c r="C167" s="1" t="str">
        <f>"四日市市川島町沢中6841-3"</f>
        <v>四日市市川島町沢中6841-3</v>
      </c>
      <c r="D167" s="1" t="str">
        <f>"059-320-1230  "</f>
        <v xml:space="preserve">059-320-1230  </v>
      </c>
    </row>
    <row r="168" spans="1:4" x14ac:dyDescent="0.55000000000000004">
      <c r="A168" s="1">
        <v>2440202568</v>
      </c>
      <c r="B168" s="1" t="s">
        <v>1404</v>
      </c>
      <c r="C168" s="1" t="str">
        <f>"四日市市楠町小倉423-2"</f>
        <v>四日市市楠町小倉423-2</v>
      </c>
      <c r="D168" s="1" t="str">
        <f>"059-398-2666  "</f>
        <v xml:space="preserve">059-398-2666  </v>
      </c>
    </row>
    <row r="169" spans="1:4" x14ac:dyDescent="0.55000000000000004">
      <c r="A169" s="1">
        <v>2440202584</v>
      </c>
      <c r="B169" s="1" t="s">
        <v>1405</v>
      </c>
      <c r="C169" s="1" t="str">
        <f>"四日市市朝日町1-14"</f>
        <v>四日市市朝日町1-14</v>
      </c>
      <c r="D169" s="1" t="str">
        <f>"059-359-0100  "</f>
        <v xml:space="preserve">059-359-0100  </v>
      </c>
    </row>
    <row r="170" spans="1:4" x14ac:dyDescent="0.55000000000000004">
      <c r="A170" s="1">
        <v>2440202642</v>
      </c>
      <c r="B170" s="1" t="s">
        <v>1406</v>
      </c>
      <c r="C170" s="1" t="str">
        <f>"四日市市大矢知町1068-1"</f>
        <v>四日市市大矢知町1068-1</v>
      </c>
      <c r="D170" s="1" t="str">
        <f>"059-361-5200  "</f>
        <v xml:space="preserve">059-361-5200  </v>
      </c>
    </row>
    <row r="171" spans="1:4" x14ac:dyDescent="0.55000000000000004">
      <c r="A171" s="1">
        <v>2440202675</v>
      </c>
      <c r="B171" s="1" t="s">
        <v>1407</v>
      </c>
      <c r="C171" s="1" t="str">
        <f>"四日市市沖の島町3-5"</f>
        <v>四日市市沖の島町3-5</v>
      </c>
      <c r="D171" s="1" t="str">
        <f>"059-350-0611  "</f>
        <v xml:space="preserve">059-350-0611  </v>
      </c>
    </row>
    <row r="172" spans="1:4" x14ac:dyDescent="0.55000000000000004">
      <c r="A172" s="1">
        <v>2440202717</v>
      </c>
      <c r="B172" s="1" t="s">
        <v>1408</v>
      </c>
      <c r="C172" s="1" t="str">
        <f>"四日市市羽津町23-22"</f>
        <v>四日市市羽津町23-22</v>
      </c>
      <c r="D172" s="1" t="str">
        <f>"059-330-0555  "</f>
        <v xml:space="preserve">059-330-0555  </v>
      </c>
    </row>
    <row r="173" spans="1:4" x14ac:dyDescent="0.55000000000000004">
      <c r="A173" s="1">
        <v>2440202733</v>
      </c>
      <c r="B173" s="1" t="s">
        <v>1409</v>
      </c>
      <c r="C173" s="1" t="str">
        <f>"四日市市日永西1丁目4546-6"</f>
        <v>四日市市日永西1丁目4546-6</v>
      </c>
      <c r="D173" s="1" t="str">
        <f>"059-320-0088  "</f>
        <v xml:space="preserve">059-320-0088  </v>
      </c>
    </row>
    <row r="174" spans="1:4" x14ac:dyDescent="0.55000000000000004">
      <c r="A174" s="1">
        <v>2440202741</v>
      </c>
      <c r="B174" s="1" t="s">
        <v>1410</v>
      </c>
      <c r="C174" s="1" t="str">
        <f>"四日市市日永西五丁目17-2"</f>
        <v>四日市市日永西五丁目17-2</v>
      </c>
      <c r="D174" s="1" t="str">
        <f>"059-348-7700  "</f>
        <v xml:space="preserve">059-348-7700  </v>
      </c>
    </row>
    <row r="175" spans="1:4" x14ac:dyDescent="0.55000000000000004">
      <c r="A175" s="1">
        <v>2440202790</v>
      </c>
      <c r="B175" s="1" t="s">
        <v>1411</v>
      </c>
      <c r="C175" s="1" t="s">
        <v>3015</v>
      </c>
      <c r="D175" s="1" t="str">
        <f>"059-359-0800  "</f>
        <v xml:space="preserve">059-359-0800  </v>
      </c>
    </row>
    <row r="176" spans="1:4" x14ac:dyDescent="0.55000000000000004">
      <c r="A176" s="1">
        <v>2440202808</v>
      </c>
      <c r="B176" s="1" t="s">
        <v>1412</v>
      </c>
      <c r="C176" s="1" t="str">
        <f>"四日市市天ケ須賀4丁目7-18"</f>
        <v>四日市市天ケ須賀4丁目7-18</v>
      </c>
      <c r="D176" s="1" t="str">
        <f>"059-366-7272  "</f>
        <v xml:space="preserve">059-366-7272  </v>
      </c>
    </row>
    <row r="177" spans="1:4" x14ac:dyDescent="0.55000000000000004">
      <c r="A177" s="1">
        <v>2440202824</v>
      </c>
      <c r="B177" s="1" t="s">
        <v>1413</v>
      </c>
      <c r="C177" s="1" t="str">
        <f>"四日市市城西町15-39"</f>
        <v>四日市市城西町15-39</v>
      </c>
      <c r="D177" s="1" t="str">
        <f>"059-350-8872  "</f>
        <v xml:space="preserve">059-350-8872  </v>
      </c>
    </row>
    <row r="178" spans="1:4" x14ac:dyDescent="0.55000000000000004">
      <c r="A178" s="1">
        <v>2440202840</v>
      </c>
      <c r="B178" s="1" t="s">
        <v>1414</v>
      </c>
      <c r="C178" s="1" t="s">
        <v>3016</v>
      </c>
      <c r="D178" s="1" t="str">
        <f>"059-322-8111  "</f>
        <v xml:space="preserve">059-322-8111  </v>
      </c>
    </row>
    <row r="179" spans="1:4" x14ac:dyDescent="0.55000000000000004">
      <c r="A179" s="1">
        <v>2440202857</v>
      </c>
      <c r="B179" s="1" t="s">
        <v>1415</v>
      </c>
      <c r="C179" s="1" t="s">
        <v>3017</v>
      </c>
      <c r="D179" s="1" t="str">
        <f>"059-350-2121  "</f>
        <v xml:space="preserve">059-350-2121  </v>
      </c>
    </row>
    <row r="180" spans="1:4" x14ac:dyDescent="0.55000000000000004">
      <c r="A180" s="1">
        <v>2440202865</v>
      </c>
      <c r="B180" s="1" t="s">
        <v>1416</v>
      </c>
      <c r="C180" s="1" t="str">
        <f>"四日市市浜田町7番17-1号"</f>
        <v>四日市市浜田町7番17-1号</v>
      </c>
      <c r="D180" s="1" t="str">
        <f>"059-359-3300  "</f>
        <v xml:space="preserve">059-359-3300  </v>
      </c>
    </row>
    <row r="181" spans="1:4" x14ac:dyDescent="0.55000000000000004">
      <c r="A181" s="1">
        <v>2440202881</v>
      </c>
      <c r="B181" s="1" t="s">
        <v>1417</v>
      </c>
      <c r="C181" s="1" t="str">
        <f>"四日市市楠町南五味塚153-5"</f>
        <v>四日市市楠町南五味塚153-5</v>
      </c>
      <c r="D181" s="1" t="str">
        <f>"059-398-2525  "</f>
        <v xml:space="preserve">059-398-2525  </v>
      </c>
    </row>
    <row r="182" spans="1:4" x14ac:dyDescent="0.55000000000000004">
      <c r="A182" s="1">
        <v>2440202899</v>
      </c>
      <c r="B182" s="1" t="s">
        <v>1418</v>
      </c>
      <c r="C182" s="1" t="s">
        <v>1419</v>
      </c>
      <c r="D182" s="1" t="str">
        <f>"059-333-1513  "</f>
        <v xml:space="preserve">059-333-1513  </v>
      </c>
    </row>
    <row r="183" spans="1:4" x14ac:dyDescent="0.55000000000000004">
      <c r="A183" s="1">
        <v>2440202915</v>
      </c>
      <c r="B183" s="1" t="s">
        <v>1420</v>
      </c>
      <c r="C183" s="1" t="str">
        <f>"四日市市富洲原町2-40"</f>
        <v>四日市市富洲原町2-40</v>
      </c>
      <c r="D183" s="1" t="str">
        <f>"059-361-6563  "</f>
        <v xml:space="preserve">059-361-6563  </v>
      </c>
    </row>
    <row r="184" spans="1:4" x14ac:dyDescent="0.55000000000000004">
      <c r="A184" s="1">
        <v>2440202949</v>
      </c>
      <c r="B184" s="1" t="s">
        <v>1421</v>
      </c>
      <c r="C184" s="1" t="str">
        <f>"四日市市久保田1丁目4-31"</f>
        <v>四日市市久保田1丁目4-31</v>
      </c>
      <c r="D184" s="1" t="str">
        <f>"059-350-2385  "</f>
        <v xml:space="preserve">059-350-2385  </v>
      </c>
    </row>
    <row r="185" spans="1:4" x14ac:dyDescent="0.55000000000000004">
      <c r="A185" s="1">
        <v>2440202956</v>
      </c>
      <c r="B185" s="1" t="s">
        <v>1422</v>
      </c>
      <c r="C185" s="1" t="str">
        <f>"四日市市下之宮町313-1"</f>
        <v>四日市市下之宮町313-1</v>
      </c>
      <c r="D185" s="1" t="str">
        <f>"059-361-0010  "</f>
        <v xml:space="preserve">059-361-0010  </v>
      </c>
    </row>
    <row r="186" spans="1:4" x14ac:dyDescent="0.55000000000000004">
      <c r="A186" s="1">
        <v>2440202964</v>
      </c>
      <c r="B186" s="1" t="s">
        <v>1423</v>
      </c>
      <c r="C186" s="1" t="str">
        <f>"四日市市生桑町167-1スーパーサンシいくわ店内"</f>
        <v>四日市市生桑町167-1スーパーサンシいくわ店内</v>
      </c>
      <c r="D186" s="1" t="str">
        <f>"059-334-8771  "</f>
        <v xml:space="preserve">059-334-8771  </v>
      </c>
    </row>
    <row r="187" spans="1:4" x14ac:dyDescent="0.55000000000000004">
      <c r="A187" s="1">
        <v>2440202972</v>
      </c>
      <c r="B187" s="1" t="s">
        <v>1424</v>
      </c>
      <c r="C187" s="1" t="s">
        <v>1425</v>
      </c>
      <c r="D187" s="1" t="str">
        <f>"059-330-6680  "</f>
        <v xml:space="preserve">059-330-6680  </v>
      </c>
    </row>
    <row r="188" spans="1:4" x14ac:dyDescent="0.55000000000000004">
      <c r="A188" s="1">
        <v>2440202998</v>
      </c>
      <c r="B188" s="1" t="s">
        <v>1426</v>
      </c>
      <c r="C188" s="1" t="s">
        <v>1427</v>
      </c>
      <c r="D188" s="1" t="str">
        <f>"059-350-3361  "</f>
        <v xml:space="preserve">059-350-3361  </v>
      </c>
    </row>
    <row r="189" spans="1:4" x14ac:dyDescent="0.55000000000000004">
      <c r="A189" s="1">
        <v>2440203004</v>
      </c>
      <c r="B189" s="1" t="s">
        <v>1428</v>
      </c>
      <c r="C189" s="1" t="str">
        <f>"四日市市清水町1-11"</f>
        <v>四日市市清水町1-11</v>
      </c>
      <c r="D189" s="1" t="str">
        <f>"059-331-8008  "</f>
        <v xml:space="preserve">059-331-8008  </v>
      </c>
    </row>
    <row r="190" spans="1:4" x14ac:dyDescent="0.55000000000000004">
      <c r="A190" s="1">
        <v>2440203012</v>
      </c>
      <c r="B190" s="1" t="s">
        <v>1429</v>
      </c>
      <c r="C190" s="1" t="s">
        <v>1430</v>
      </c>
      <c r="D190" s="1" t="str">
        <f>"059-330-6171  "</f>
        <v xml:space="preserve">059-330-6171  </v>
      </c>
    </row>
    <row r="191" spans="1:4" x14ac:dyDescent="0.55000000000000004">
      <c r="A191" s="1">
        <v>2440203020</v>
      </c>
      <c r="B191" s="1" t="s">
        <v>1431</v>
      </c>
      <c r="C191" s="1" t="s">
        <v>1432</v>
      </c>
      <c r="D191" s="1" t="str">
        <f>"059-350-8550  "</f>
        <v xml:space="preserve">059-350-8550  </v>
      </c>
    </row>
    <row r="192" spans="1:4" x14ac:dyDescent="0.55000000000000004">
      <c r="A192" s="1">
        <v>2440203038</v>
      </c>
      <c r="B192" s="1" t="s">
        <v>1433</v>
      </c>
      <c r="C192" s="1" t="str">
        <f>"四日市市日永1丁目13-25"</f>
        <v>四日市市日永1丁目13-25</v>
      </c>
      <c r="D192" s="1" t="str">
        <f>"059-349-4700  "</f>
        <v xml:space="preserve">059-349-4700  </v>
      </c>
    </row>
    <row r="193" spans="1:4" x14ac:dyDescent="0.55000000000000004">
      <c r="A193" s="1">
        <v>2440203053</v>
      </c>
      <c r="B193" s="1" t="s">
        <v>1434</v>
      </c>
      <c r="C193" s="1" t="str">
        <f>"四日市市泊村4114-1"</f>
        <v>四日市市泊村4114-1</v>
      </c>
      <c r="D193" s="1" t="str">
        <f>"059-349-6601  "</f>
        <v xml:space="preserve">059-349-6601  </v>
      </c>
    </row>
    <row r="194" spans="1:4" x14ac:dyDescent="0.55000000000000004">
      <c r="A194" s="1">
        <v>2440203061</v>
      </c>
      <c r="B194" s="1" t="s">
        <v>1435</v>
      </c>
      <c r="C194" s="1" t="str">
        <f>"四日市市久保田1丁目3-10"</f>
        <v>四日市市久保田1丁目3-10</v>
      </c>
      <c r="D194" s="1" t="str">
        <f>"059-350-5252  "</f>
        <v xml:space="preserve">059-350-5252  </v>
      </c>
    </row>
    <row r="195" spans="1:4" x14ac:dyDescent="0.55000000000000004">
      <c r="A195" s="1">
        <v>2440203087</v>
      </c>
      <c r="B195" s="1" t="s">
        <v>1436</v>
      </c>
      <c r="C195" s="1" t="str">
        <f>"四日市市小古曽3丁目5-32"</f>
        <v>四日市市小古曽3丁目5-32</v>
      </c>
      <c r="D195" s="1" t="str">
        <f>"059-349-2883  "</f>
        <v xml:space="preserve">059-349-2883  </v>
      </c>
    </row>
    <row r="196" spans="1:4" x14ac:dyDescent="0.55000000000000004">
      <c r="A196" s="1">
        <v>2440203111</v>
      </c>
      <c r="B196" s="1" t="s">
        <v>1437</v>
      </c>
      <c r="C196" s="1" t="str">
        <f>"四日市市笹川3丁目49-2"</f>
        <v>四日市市笹川3丁目49-2</v>
      </c>
      <c r="D196" s="1" t="str">
        <f>"059-320-1553  "</f>
        <v xml:space="preserve">059-320-1553  </v>
      </c>
    </row>
    <row r="197" spans="1:4" x14ac:dyDescent="0.55000000000000004">
      <c r="A197" s="1">
        <v>2440203129</v>
      </c>
      <c r="B197" s="1" t="s">
        <v>1438</v>
      </c>
      <c r="C197" s="1" t="str">
        <f>"四日市市富田浜町27-11"</f>
        <v>四日市市富田浜町27-11</v>
      </c>
      <c r="D197" s="1" t="str">
        <f>"059-363-1458  "</f>
        <v xml:space="preserve">059-363-1458  </v>
      </c>
    </row>
    <row r="198" spans="1:4" x14ac:dyDescent="0.55000000000000004">
      <c r="A198" s="1">
        <v>2440203152</v>
      </c>
      <c r="B198" s="1" t="s">
        <v>1439</v>
      </c>
      <c r="C198" s="1" t="str">
        <f>"四日市市貝家町303-4"</f>
        <v>四日市市貝家町303-4</v>
      </c>
      <c r="D198" s="1" t="str">
        <f>"059-320-3300  "</f>
        <v xml:space="preserve">059-320-3300  </v>
      </c>
    </row>
    <row r="199" spans="1:4" x14ac:dyDescent="0.55000000000000004">
      <c r="A199" s="1">
        <v>2440203160</v>
      </c>
      <c r="B199" s="1" t="s">
        <v>1440</v>
      </c>
      <c r="C199" s="1" t="str">
        <f>"四日市市千代田町308-5"</f>
        <v>四日市市千代田町308-5</v>
      </c>
      <c r="D199" s="1" t="str">
        <f>"059-366-0001  "</f>
        <v xml:space="preserve">059-366-0001  </v>
      </c>
    </row>
    <row r="200" spans="1:4" x14ac:dyDescent="0.55000000000000004">
      <c r="A200" s="1">
        <v>2440203186</v>
      </c>
      <c r="B200" s="1" t="s">
        <v>1441</v>
      </c>
      <c r="C200" s="1" t="s">
        <v>3018</v>
      </c>
      <c r="D200" s="1" t="str">
        <f>"059-337-8445  "</f>
        <v xml:space="preserve">059-337-8445  </v>
      </c>
    </row>
    <row r="201" spans="1:4" x14ac:dyDescent="0.55000000000000004">
      <c r="A201" s="1">
        <v>2440203194</v>
      </c>
      <c r="B201" s="1" t="s">
        <v>1442</v>
      </c>
      <c r="C201" s="1" t="str">
        <f>"四日市市楠町小倉六之縄767-2"</f>
        <v>四日市市楠町小倉六之縄767-2</v>
      </c>
      <c r="D201" s="1" t="str">
        <f>"059-358-1622  "</f>
        <v xml:space="preserve">059-358-1622  </v>
      </c>
    </row>
    <row r="202" spans="1:4" x14ac:dyDescent="0.55000000000000004">
      <c r="A202" s="1">
        <v>2440203210</v>
      </c>
      <c r="B202" s="1" t="s">
        <v>1443</v>
      </c>
      <c r="C202" s="1" t="str">
        <f>"四日市市東阿倉川497-2"</f>
        <v>四日市市東阿倉川497-2</v>
      </c>
      <c r="D202" s="1" t="str">
        <f>"059-329-6112  "</f>
        <v xml:space="preserve">059-329-6112  </v>
      </c>
    </row>
    <row r="203" spans="1:4" x14ac:dyDescent="0.55000000000000004">
      <c r="A203" s="1">
        <v>2440203244</v>
      </c>
      <c r="B203" s="1" t="s">
        <v>1444</v>
      </c>
      <c r="C203" s="1" t="str">
        <f>"四日市市羽津中1丁目5-17"</f>
        <v>四日市市羽津中1丁目5-17</v>
      </c>
      <c r="D203" s="1" t="str">
        <f>"059-329-7340  "</f>
        <v xml:space="preserve">059-329-7340  </v>
      </c>
    </row>
    <row r="204" spans="1:4" x14ac:dyDescent="0.55000000000000004">
      <c r="A204" s="1">
        <v>2440203285</v>
      </c>
      <c r="B204" s="1" t="s">
        <v>1445</v>
      </c>
      <c r="C204" s="1" t="str">
        <f>"四日市市西富田町322-4"</f>
        <v>四日市市西富田町322-4</v>
      </c>
      <c r="D204" s="1" t="str">
        <f>"059-361-0502  "</f>
        <v xml:space="preserve">059-361-0502  </v>
      </c>
    </row>
    <row r="205" spans="1:4" x14ac:dyDescent="0.55000000000000004">
      <c r="A205" s="1">
        <v>2440203319</v>
      </c>
      <c r="B205" s="1" t="s">
        <v>1446</v>
      </c>
      <c r="C205" s="1" t="str">
        <f>"四日市市松本3丁目10-28"</f>
        <v>四日市市松本3丁目10-28</v>
      </c>
      <c r="D205" s="1" t="str">
        <f>"059-350-1600  "</f>
        <v xml:space="preserve">059-350-1600  </v>
      </c>
    </row>
    <row r="206" spans="1:4" x14ac:dyDescent="0.55000000000000004">
      <c r="A206" s="1">
        <v>2440203327</v>
      </c>
      <c r="B206" s="1" t="s">
        <v>1447</v>
      </c>
      <c r="C206" s="1" t="str">
        <f>"四日市市東坂部町1334-1"</f>
        <v>四日市市東坂部町1334-1</v>
      </c>
      <c r="D206" s="1" t="str">
        <f>"059-330-7755  "</f>
        <v xml:space="preserve">059-330-7755  </v>
      </c>
    </row>
    <row r="207" spans="1:4" x14ac:dyDescent="0.55000000000000004">
      <c r="A207" s="1">
        <v>2440203335</v>
      </c>
      <c r="B207" s="1" t="s">
        <v>1448</v>
      </c>
      <c r="C207" s="1" t="str">
        <f>"四日市市諏訪栄町5-8　ローレルタワーシュ口ア四日市101-Ａ"</f>
        <v>四日市市諏訪栄町5-8　ローレルタワーシュ口ア四日市101-Ａ</v>
      </c>
      <c r="D207" s="1" t="str">
        <f>"059-355-0533  "</f>
        <v xml:space="preserve">059-355-0533  </v>
      </c>
    </row>
    <row r="208" spans="1:4" x14ac:dyDescent="0.55000000000000004">
      <c r="A208" s="1">
        <v>2440203343</v>
      </c>
      <c r="B208" s="1" t="s">
        <v>1449</v>
      </c>
      <c r="C208" s="1" t="str">
        <f>"四日市市富田一色町30-58"</f>
        <v>四日市市富田一色町30-58</v>
      </c>
      <c r="D208" s="1" t="str">
        <f>"059-329-5101  "</f>
        <v xml:space="preserve">059-329-5101  </v>
      </c>
    </row>
    <row r="209" spans="1:4" x14ac:dyDescent="0.55000000000000004">
      <c r="A209" s="1">
        <v>2440203368</v>
      </c>
      <c r="B209" s="1" t="s">
        <v>1450</v>
      </c>
      <c r="C209" s="1" t="s">
        <v>3019</v>
      </c>
      <c r="D209" s="1" t="str">
        <f>"059-363-8600  "</f>
        <v xml:space="preserve">059-363-8600  </v>
      </c>
    </row>
    <row r="210" spans="1:4" x14ac:dyDescent="0.55000000000000004">
      <c r="A210" s="1">
        <v>2440203376</v>
      </c>
      <c r="B210" s="1" t="s">
        <v>1451</v>
      </c>
      <c r="C210" s="1" t="str">
        <f>"四日市市生桑町神田899-1"</f>
        <v>四日市市生桑町神田899-1</v>
      </c>
      <c r="D210" s="1" t="str">
        <f>"059-330-5515  "</f>
        <v xml:space="preserve">059-330-5515  </v>
      </c>
    </row>
    <row r="211" spans="1:4" x14ac:dyDescent="0.55000000000000004">
      <c r="A211" s="1">
        <v>2440203384</v>
      </c>
      <c r="B211" s="1" t="s">
        <v>1452</v>
      </c>
      <c r="C211" s="1" t="str">
        <f>"四日市市大字泊村字西奥4110-1"</f>
        <v>四日市市大字泊村字西奥4110-1</v>
      </c>
      <c r="D211" s="1" t="str">
        <f>"059-349-0383  "</f>
        <v xml:space="preserve">059-349-0383  </v>
      </c>
    </row>
    <row r="212" spans="1:4" x14ac:dyDescent="0.55000000000000004">
      <c r="A212" s="1">
        <v>2440203392</v>
      </c>
      <c r="B212" s="1" t="s">
        <v>1453</v>
      </c>
      <c r="C212" s="1" t="str">
        <f>"四日市市小杉町474-4"</f>
        <v>四日市市小杉町474-4</v>
      </c>
      <c r="D212" s="1" t="str">
        <f>"059-333-8900  "</f>
        <v xml:space="preserve">059-333-8900  </v>
      </c>
    </row>
    <row r="213" spans="1:4" x14ac:dyDescent="0.55000000000000004">
      <c r="A213" s="1">
        <v>2440203400</v>
      </c>
      <c r="B213" s="1" t="s">
        <v>1454</v>
      </c>
      <c r="C213" s="1" t="str">
        <f>"四日市市上海老町1633-164"</f>
        <v>四日市市上海老町1633-164</v>
      </c>
      <c r="D213" s="1" t="str">
        <f>"059-325-4833  "</f>
        <v xml:space="preserve">059-325-4833  </v>
      </c>
    </row>
    <row r="214" spans="1:4" x14ac:dyDescent="0.55000000000000004">
      <c r="A214" s="1">
        <v>2440203442</v>
      </c>
      <c r="B214" s="1" t="s">
        <v>1455</v>
      </c>
      <c r="C214" s="1" t="s">
        <v>1456</v>
      </c>
      <c r="D214" s="1" t="str">
        <f>"059-353-1088  "</f>
        <v xml:space="preserve">059-353-1088  </v>
      </c>
    </row>
    <row r="215" spans="1:4" x14ac:dyDescent="0.55000000000000004">
      <c r="A215" s="1">
        <v>2440203459</v>
      </c>
      <c r="B215" s="1" t="s">
        <v>1457</v>
      </c>
      <c r="C215" s="1" t="str">
        <f>"四日市市河原田町2360-4"</f>
        <v>四日市市河原田町2360-4</v>
      </c>
      <c r="D215" s="1" t="str">
        <f>"059-329-7510  "</f>
        <v xml:space="preserve">059-329-7510  </v>
      </c>
    </row>
    <row r="216" spans="1:4" x14ac:dyDescent="0.55000000000000004">
      <c r="A216" s="1">
        <v>2440203483</v>
      </c>
      <c r="B216" s="1" t="s">
        <v>1458</v>
      </c>
      <c r="C216" s="1" t="s">
        <v>1459</v>
      </c>
      <c r="D216" s="1" t="str">
        <f>"059-340-3061  "</f>
        <v xml:space="preserve">059-340-3061  </v>
      </c>
    </row>
    <row r="217" spans="1:4" x14ac:dyDescent="0.55000000000000004">
      <c r="A217" s="1">
        <v>2440203509</v>
      </c>
      <c r="B217" s="1" t="s">
        <v>1460</v>
      </c>
      <c r="C217" s="1" t="str">
        <f>"四日市市浜田町12番25-2号"</f>
        <v>四日市市浜田町12番25-2号</v>
      </c>
      <c r="D217" s="1" t="str">
        <f>"059-350-2340  "</f>
        <v xml:space="preserve">059-350-2340  </v>
      </c>
    </row>
    <row r="218" spans="1:4" x14ac:dyDescent="0.55000000000000004">
      <c r="A218" s="1">
        <v>2440203517</v>
      </c>
      <c r="B218" s="1" t="s">
        <v>1461</v>
      </c>
      <c r="C218" s="1" t="str">
        <f>"四日市市富田1-9-12"</f>
        <v>四日市市富田1-9-12</v>
      </c>
      <c r="D218" s="1" t="str">
        <f>"059-361-5121  "</f>
        <v xml:space="preserve">059-361-5121  </v>
      </c>
    </row>
    <row r="219" spans="1:4" x14ac:dyDescent="0.55000000000000004">
      <c r="A219" s="1">
        <v>2440203525</v>
      </c>
      <c r="B219" s="1" t="s">
        <v>1462</v>
      </c>
      <c r="C219" s="1" t="str">
        <f>"四日市市東日野町354-1"</f>
        <v>四日市市東日野町354-1</v>
      </c>
      <c r="D219" s="1" t="str">
        <f>"059-329-6568  "</f>
        <v xml:space="preserve">059-329-6568  </v>
      </c>
    </row>
    <row r="220" spans="1:4" x14ac:dyDescent="0.55000000000000004">
      <c r="A220" s="1">
        <v>2440203533</v>
      </c>
      <c r="B220" s="1" t="s">
        <v>1463</v>
      </c>
      <c r="C220" s="1" t="str">
        <f>"四日市市松本三丁目13-3"</f>
        <v>四日市市松本三丁目13-3</v>
      </c>
      <c r="D220" s="1" t="str">
        <f>"059-355-4188  "</f>
        <v xml:space="preserve">059-355-4188  </v>
      </c>
    </row>
    <row r="221" spans="1:4" x14ac:dyDescent="0.55000000000000004">
      <c r="A221" s="1">
        <v>2440203541</v>
      </c>
      <c r="B221" s="1" t="s">
        <v>1464</v>
      </c>
      <c r="C221" s="1" t="s">
        <v>1465</v>
      </c>
      <c r="D221" s="1" t="str">
        <f>"059-350-1638  "</f>
        <v xml:space="preserve">059-350-1638  </v>
      </c>
    </row>
    <row r="222" spans="1:4" x14ac:dyDescent="0.55000000000000004">
      <c r="A222" s="1">
        <v>2440203558</v>
      </c>
      <c r="B222" s="1" t="s">
        <v>1466</v>
      </c>
      <c r="C222" s="1" t="str">
        <f>"四日市市山分町116-14"</f>
        <v>四日市市山分町116-14</v>
      </c>
      <c r="D222" s="1" t="str">
        <f>"059-361-3700  "</f>
        <v xml:space="preserve">059-361-3700  </v>
      </c>
    </row>
    <row r="223" spans="1:4" x14ac:dyDescent="0.55000000000000004">
      <c r="A223" s="1">
        <v>2440203582</v>
      </c>
      <c r="B223" s="1" t="s">
        <v>1467</v>
      </c>
      <c r="C223" s="1" t="str">
        <f>"四日市市山之一色町2423-2"</f>
        <v>四日市市山之一色町2423-2</v>
      </c>
      <c r="D223" s="1" t="str">
        <f>"059-331-7333  "</f>
        <v xml:space="preserve">059-331-7333  </v>
      </c>
    </row>
    <row r="224" spans="1:4" x14ac:dyDescent="0.55000000000000004">
      <c r="A224" s="1">
        <v>2440203590</v>
      </c>
      <c r="B224" s="1" t="s">
        <v>1468</v>
      </c>
      <c r="C224" s="1" t="str">
        <f>"四日市市ときわ2丁目8-13"</f>
        <v>四日市市ときわ2丁目8-13</v>
      </c>
      <c r="D224" s="1" t="str">
        <f>"059-351-5580  "</f>
        <v xml:space="preserve">059-351-5580  </v>
      </c>
    </row>
    <row r="225" spans="1:4" x14ac:dyDescent="0.55000000000000004">
      <c r="A225" s="1">
        <v>2440203608</v>
      </c>
      <c r="B225" s="1" t="s">
        <v>1469</v>
      </c>
      <c r="C225" s="1" t="str">
        <f>"四日市市小杉町東浦1277-2"</f>
        <v>四日市市小杉町東浦1277-2</v>
      </c>
      <c r="D225" s="1" t="str">
        <f>"059-331-0085  "</f>
        <v xml:space="preserve">059-331-0085  </v>
      </c>
    </row>
    <row r="226" spans="1:4" x14ac:dyDescent="0.55000000000000004">
      <c r="A226" s="1">
        <v>2440203616</v>
      </c>
      <c r="B226" s="1" t="s">
        <v>1470</v>
      </c>
      <c r="C226" s="1" t="str">
        <f>"四日市市西伊倉町3-1"</f>
        <v>四日市市西伊倉町3-1</v>
      </c>
      <c r="D226" s="1" t="str">
        <f>"059-356-8018  "</f>
        <v xml:space="preserve">059-356-8018  </v>
      </c>
    </row>
    <row r="227" spans="1:4" x14ac:dyDescent="0.55000000000000004">
      <c r="A227" s="1">
        <v>2440203624</v>
      </c>
      <c r="B227" s="1" t="s">
        <v>1471</v>
      </c>
      <c r="C227" s="1" t="str">
        <f>"四日市市下海老町字平野108-12"</f>
        <v>四日市市下海老町字平野108-12</v>
      </c>
      <c r="D227" s="1" t="str">
        <f>"059-325-2233  "</f>
        <v xml:space="preserve">059-325-2233  </v>
      </c>
    </row>
    <row r="228" spans="1:4" x14ac:dyDescent="0.55000000000000004">
      <c r="A228" s="1">
        <v>2440203632</v>
      </c>
      <c r="B228" s="1" t="s">
        <v>1472</v>
      </c>
      <c r="C228" s="1" t="str">
        <f>"四日市市蒔田2-1-2"</f>
        <v>四日市市蒔田2-1-2</v>
      </c>
      <c r="D228" s="1" t="str">
        <f>"059-361-7153  "</f>
        <v xml:space="preserve">059-361-7153  </v>
      </c>
    </row>
    <row r="229" spans="1:4" x14ac:dyDescent="0.55000000000000004">
      <c r="A229" s="1">
        <v>2440203657</v>
      </c>
      <c r="B229" s="1" t="s">
        <v>1473</v>
      </c>
      <c r="C229" s="1" t="s">
        <v>3020</v>
      </c>
      <c r="D229" s="1" t="str">
        <f>"059-325-3030  "</f>
        <v xml:space="preserve">059-325-3030  </v>
      </c>
    </row>
    <row r="230" spans="1:4" x14ac:dyDescent="0.55000000000000004">
      <c r="A230" s="1">
        <v>2440203665</v>
      </c>
      <c r="B230" s="1" t="s">
        <v>1474</v>
      </c>
      <c r="C230" s="1" t="str">
        <f>"四日市市羽津山町4-27"</f>
        <v>四日市市羽津山町4-27</v>
      </c>
      <c r="D230" s="1" t="str">
        <f>"059-334-7227  "</f>
        <v xml:space="preserve">059-334-7227  </v>
      </c>
    </row>
    <row r="231" spans="1:4" x14ac:dyDescent="0.55000000000000004">
      <c r="A231" s="1">
        <v>2440203673</v>
      </c>
      <c r="B231" s="1" t="s">
        <v>1475</v>
      </c>
      <c r="C231" s="1" t="str">
        <f>"四日市市城西町3-17-2"</f>
        <v>四日市市城西町3-17-2</v>
      </c>
      <c r="D231" s="1" t="str">
        <f>"059-325-7615  "</f>
        <v xml:space="preserve">059-325-7615  </v>
      </c>
    </row>
    <row r="232" spans="1:4" x14ac:dyDescent="0.55000000000000004">
      <c r="A232" s="1">
        <v>2440203681</v>
      </c>
      <c r="B232" s="1" t="s">
        <v>1476</v>
      </c>
      <c r="C232" s="1" t="str">
        <f>"四日市市高角町1564-6"</f>
        <v>四日市市高角町1564-6</v>
      </c>
      <c r="D232" s="1" t="str">
        <f>"059-326-7100  "</f>
        <v xml:space="preserve">059-326-7100  </v>
      </c>
    </row>
    <row r="233" spans="1:4" x14ac:dyDescent="0.55000000000000004">
      <c r="A233" s="1">
        <v>2440203699</v>
      </c>
      <c r="B233" s="1" t="s">
        <v>1477</v>
      </c>
      <c r="C233" s="1" t="str">
        <f>"四日市市日永西3丁目17番19-1号"</f>
        <v>四日市市日永西3丁目17番19-1号</v>
      </c>
      <c r="D233" s="1" t="str">
        <f>"059-349-5840  "</f>
        <v xml:space="preserve">059-349-5840  </v>
      </c>
    </row>
    <row r="234" spans="1:4" x14ac:dyDescent="0.55000000000000004">
      <c r="A234" s="1">
        <v>2440203715</v>
      </c>
      <c r="B234" s="1" t="s">
        <v>1478</v>
      </c>
      <c r="C234" s="1" t="str">
        <f>"四日市市日永1丁目3-21　クリスタル日永103"</f>
        <v>四日市市日永1丁目3-21　クリスタル日永103</v>
      </c>
      <c r="D234" s="1" t="str">
        <f>"059-327-5572  "</f>
        <v xml:space="preserve">059-327-5572  </v>
      </c>
    </row>
    <row r="235" spans="1:4" x14ac:dyDescent="0.55000000000000004">
      <c r="A235" s="1">
        <v>2440203723</v>
      </c>
      <c r="B235" s="1" t="s">
        <v>1479</v>
      </c>
      <c r="C235" s="1" t="str">
        <f>"四日市市桜台一丁目31-12"</f>
        <v>四日市市桜台一丁目31-12</v>
      </c>
      <c r="D235" s="1" t="str">
        <f>"059-325-6576  "</f>
        <v xml:space="preserve">059-325-6576  </v>
      </c>
    </row>
    <row r="236" spans="1:4" x14ac:dyDescent="0.55000000000000004">
      <c r="A236" s="1">
        <v>2440203749</v>
      </c>
      <c r="B236" s="1" t="s">
        <v>1480</v>
      </c>
      <c r="C236" s="1" t="str">
        <f>"四日市市垂坂町414-1"</f>
        <v>四日市市垂坂町414-1</v>
      </c>
      <c r="D236" s="1" t="str">
        <f>"059-329-5718  "</f>
        <v xml:space="preserve">059-329-5718  </v>
      </c>
    </row>
    <row r="237" spans="1:4" x14ac:dyDescent="0.55000000000000004">
      <c r="A237" s="1">
        <v>2440203756</v>
      </c>
      <c r="B237" s="1" t="s">
        <v>1389</v>
      </c>
      <c r="C237" s="1" t="str">
        <f>"四日市市日永西3丁目17-19-2"</f>
        <v>四日市市日永西3丁目17-19-2</v>
      </c>
      <c r="D237" s="1" t="str">
        <f>"059-349-0610  "</f>
        <v xml:space="preserve">059-349-0610  </v>
      </c>
    </row>
    <row r="238" spans="1:4" x14ac:dyDescent="0.55000000000000004">
      <c r="A238" s="1">
        <v>2440203772</v>
      </c>
      <c r="B238" s="1" t="s">
        <v>1481</v>
      </c>
      <c r="C238" s="1" t="str">
        <f>"四日市市生桑町108-2"</f>
        <v>四日市市生桑町108-2</v>
      </c>
      <c r="D238" s="1" t="str">
        <f>"059-340-4533  "</f>
        <v xml:space="preserve">059-340-4533  </v>
      </c>
    </row>
    <row r="239" spans="1:4" x14ac:dyDescent="0.55000000000000004">
      <c r="A239" s="1">
        <v>2440203780</v>
      </c>
      <c r="B239" s="1" t="s">
        <v>1482</v>
      </c>
      <c r="C239" s="1" t="str">
        <f>"四日市市城北町7番2-1"</f>
        <v>四日市市城北町7番2-1</v>
      </c>
      <c r="D239" s="1" t="str">
        <f>"059-327-5201  "</f>
        <v xml:space="preserve">059-327-5201  </v>
      </c>
    </row>
    <row r="240" spans="1:4" x14ac:dyDescent="0.55000000000000004">
      <c r="A240" s="1">
        <v>2440203798</v>
      </c>
      <c r="B240" s="1" t="s">
        <v>1484</v>
      </c>
      <c r="C240" s="1" t="s">
        <v>1485</v>
      </c>
      <c r="D240" s="1" t="str">
        <f>"059-329-7705  "</f>
        <v xml:space="preserve">059-329-7705  </v>
      </c>
    </row>
    <row r="241" spans="1:4" x14ac:dyDescent="0.55000000000000004">
      <c r="A241" s="1">
        <v>2440203806</v>
      </c>
      <c r="B241" s="1" t="s">
        <v>1486</v>
      </c>
      <c r="C241" s="1" t="str">
        <f>"四日市市諏訪栄町6-3 愛汗ビル１F"</f>
        <v>四日市市諏訪栄町6-3 愛汗ビル１F</v>
      </c>
      <c r="D241" s="1" t="str">
        <f>"059-351-8899  "</f>
        <v xml:space="preserve">059-351-8899  </v>
      </c>
    </row>
    <row r="242" spans="1:4" x14ac:dyDescent="0.55000000000000004">
      <c r="A242" s="1">
        <v>2440203814</v>
      </c>
      <c r="B242" s="1" t="s">
        <v>1487</v>
      </c>
      <c r="C242" s="1" t="str">
        <f>"四日市市中部6-7"</f>
        <v>四日市市中部6-7</v>
      </c>
      <c r="D242" s="1" t="str">
        <f>"059-354-5161  "</f>
        <v xml:space="preserve">059-354-5161  </v>
      </c>
    </row>
    <row r="243" spans="1:4" x14ac:dyDescent="0.55000000000000004">
      <c r="A243" s="1">
        <v>2440203822</v>
      </c>
      <c r="B243" s="1" t="s">
        <v>1488</v>
      </c>
      <c r="C243" s="1" t="s">
        <v>3021</v>
      </c>
      <c r="D243" s="1" t="str">
        <f>"059-331-3535  "</f>
        <v xml:space="preserve">059-331-3535  </v>
      </c>
    </row>
    <row r="244" spans="1:4" x14ac:dyDescent="0.55000000000000004">
      <c r="A244" s="1">
        <v>2440203830</v>
      </c>
      <c r="B244" s="1" t="s">
        <v>1489</v>
      </c>
      <c r="C244" s="1" t="str">
        <f>"四日市市桜町127-3"</f>
        <v>四日市市桜町127-3</v>
      </c>
      <c r="D244" s="1" t="str">
        <f>"059-326-1199  "</f>
        <v xml:space="preserve">059-326-1199  </v>
      </c>
    </row>
    <row r="245" spans="1:4" x14ac:dyDescent="0.55000000000000004">
      <c r="A245" s="1">
        <v>2440203848</v>
      </c>
      <c r="B245" s="1" t="s">
        <v>1490</v>
      </c>
      <c r="C245" s="1" t="str">
        <f>"四日市市川北1-12-13"</f>
        <v>四日市市川北1-12-13</v>
      </c>
      <c r="D245" s="1" t="str">
        <f>"059-361-3030  "</f>
        <v xml:space="preserve">059-361-3030  </v>
      </c>
    </row>
    <row r="246" spans="1:4" x14ac:dyDescent="0.55000000000000004">
      <c r="A246" s="1">
        <v>2440203855</v>
      </c>
      <c r="B246" s="1" t="s">
        <v>1491</v>
      </c>
      <c r="C246" s="1" t="str">
        <f>"四日市市泊村1102-1"</f>
        <v>四日市市泊村1102-1</v>
      </c>
      <c r="D246" s="1" t="str">
        <f>"059-348-1193  "</f>
        <v xml:space="preserve">059-348-1193  </v>
      </c>
    </row>
    <row r="247" spans="1:4" x14ac:dyDescent="0.55000000000000004">
      <c r="A247" s="1">
        <v>2440203863</v>
      </c>
      <c r="B247" s="1" t="s">
        <v>1492</v>
      </c>
      <c r="C247" s="1" t="str">
        <f>"四日市市桜花台1丁目35-5"</f>
        <v>四日市市桜花台1丁目35-5</v>
      </c>
      <c r="D247" s="1" t="str">
        <f>"059-327-1193  "</f>
        <v xml:space="preserve">059-327-1193  </v>
      </c>
    </row>
    <row r="248" spans="1:4" x14ac:dyDescent="0.55000000000000004">
      <c r="A248" s="1">
        <v>2440203871</v>
      </c>
      <c r="B248" s="1" t="s">
        <v>1493</v>
      </c>
      <c r="C248" s="1" t="str">
        <f>"四日市市羽津山町5-1"</f>
        <v>四日市市羽津山町5-1</v>
      </c>
      <c r="D248" s="1" t="str">
        <f>"059-330-6161  "</f>
        <v xml:space="preserve">059-330-6161  </v>
      </c>
    </row>
    <row r="249" spans="1:4" x14ac:dyDescent="0.55000000000000004">
      <c r="A249" s="1">
        <v>2440203889</v>
      </c>
      <c r="B249" s="1" t="s">
        <v>1494</v>
      </c>
      <c r="C249" s="1" t="str">
        <f>"四日市市富州原町16-3"</f>
        <v>四日市市富州原町16-3</v>
      </c>
      <c r="D249" s="1" t="str">
        <f>"059-363-9341  "</f>
        <v xml:space="preserve">059-363-9341  </v>
      </c>
    </row>
    <row r="250" spans="1:4" x14ac:dyDescent="0.55000000000000004">
      <c r="A250" s="1">
        <v>2440203897</v>
      </c>
      <c r="B250" s="1" t="s">
        <v>1495</v>
      </c>
      <c r="C250" s="1" t="str">
        <f>"四日市市生桑町582-2"</f>
        <v>四日市市生桑町582-2</v>
      </c>
      <c r="D250" s="1" t="str">
        <f>"059-330-4193  "</f>
        <v xml:space="preserve">059-330-4193  </v>
      </c>
    </row>
    <row r="251" spans="1:4" x14ac:dyDescent="0.55000000000000004">
      <c r="A251" s="1">
        <v>2440203913</v>
      </c>
      <c r="B251" s="1" t="s">
        <v>1496</v>
      </c>
      <c r="C251" s="1" t="s">
        <v>1497</v>
      </c>
      <c r="D251" s="1" t="str">
        <f>"059-340-5198  "</f>
        <v xml:space="preserve">059-340-5198  </v>
      </c>
    </row>
    <row r="252" spans="1:4" x14ac:dyDescent="0.55000000000000004">
      <c r="A252" s="1">
        <v>2440203921</v>
      </c>
      <c r="B252" s="1" t="s">
        <v>1498</v>
      </c>
      <c r="C252" s="1" t="str">
        <f>"四日市市泊小柳町4-5-1　イオンタウン四日市泊内1階"</f>
        <v>四日市市泊小柳町4-5-1　イオンタウン四日市泊内1階</v>
      </c>
      <c r="D252" s="1" t="str">
        <f>"059-348-5013  "</f>
        <v xml:space="preserve">059-348-5013  </v>
      </c>
    </row>
    <row r="253" spans="1:4" x14ac:dyDescent="0.55000000000000004">
      <c r="A253" s="1">
        <v>2440203939</v>
      </c>
      <c r="B253" s="1" t="s">
        <v>1499</v>
      </c>
      <c r="C253" s="1" t="str">
        <f>"四日市市小杉新町153-3"</f>
        <v>四日市市小杉新町153-3</v>
      </c>
      <c r="D253" s="1" t="str">
        <f>"059-327-5330  "</f>
        <v xml:space="preserve">059-327-5330  </v>
      </c>
    </row>
    <row r="254" spans="1:4" x14ac:dyDescent="0.55000000000000004">
      <c r="A254" s="1">
        <v>2440203947</v>
      </c>
      <c r="B254" s="1" t="s">
        <v>1500</v>
      </c>
      <c r="C254" s="1" t="str">
        <f>"四日市市安島1丁目4-16カネニビル3F"</f>
        <v>四日市市安島1丁目4-16カネニビル3F</v>
      </c>
      <c r="D254" s="1" t="str">
        <f>"059-359-0505  "</f>
        <v xml:space="preserve">059-359-0505  </v>
      </c>
    </row>
    <row r="255" spans="1:4" x14ac:dyDescent="0.55000000000000004">
      <c r="A255" s="1">
        <v>2440203954</v>
      </c>
      <c r="B255" s="1" t="s">
        <v>1501</v>
      </c>
      <c r="C255" s="1" t="str">
        <f>"四日市市山城町785-2"</f>
        <v>四日市市山城町785-2</v>
      </c>
      <c r="D255" s="1" t="str">
        <f>"059-329-7565  "</f>
        <v xml:space="preserve">059-329-7565  </v>
      </c>
    </row>
    <row r="256" spans="1:4" x14ac:dyDescent="0.55000000000000004">
      <c r="A256" s="1">
        <v>2440203962</v>
      </c>
      <c r="B256" s="1" t="s">
        <v>1502</v>
      </c>
      <c r="C256" s="1" t="str">
        <f>"四日市市中部12-6-2"</f>
        <v>四日市市中部12-6-2</v>
      </c>
      <c r="D256" s="1" t="str">
        <f>"059-356-8700  "</f>
        <v xml:space="preserve">059-356-8700  </v>
      </c>
    </row>
    <row r="257" spans="1:4" x14ac:dyDescent="0.55000000000000004">
      <c r="A257" s="1">
        <v>2440203970</v>
      </c>
      <c r="B257" s="1" t="s">
        <v>1503</v>
      </c>
      <c r="C257" s="1" t="s">
        <v>1504</v>
      </c>
      <c r="D257" s="1" t="str">
        <f>"059-325-7305  "</f>
        <v xml:space="preserve">059-325-7305  </v>
      </c>
    </row>
    <row r="258" spans="1:4" x14ac:dyDescent="0.55000000000000004">
      <c r="A258" s="1">
        <v>2440203988</v>
      </c>
      <c r="B258" s="1" t="s">
        <v>1505</v>
      </c>
      <c r="C258" s="1" t="str">
        <f>"四日市市波木町字西亀ケ谷416-1"</f>
        <v>四日市市波木町字西亀ケ谷416-1</v>
      </c>
      <c r="D258" s="1" t="str">
        <f>"059-320-3222  "</f>
        <v xml:space="preserve">059-320-3222  </v>
      </c>
    </row>
    <row r="259" spans="1:4" x14ac:dyDescent="0.55000000000000004">
      <c r="A259" s="1">
        <v>2440203996</v>
      </c>
      <c r="B259" s="1" t="s">
        <v>1506</v>
      </c>
      <c r="C259" s="1" t="s">
        <v>3022</v>
      </c>
      <c r="D259" s="1" t="str">
        <f>"059-327-5313  "</f>
        <v xml:space="preserve">059-327-5313  </v>
      </c>
    </row>
    <row r="260" spans="1:4" x14ac:dyDescent="0.55000000000000004">
      <c r="A260" s="1">
        <v>2440204002</v>
      </c>
      <c r="B260" s="1" t="s">
        <v>1507</v>
      </c>
      <c r="C260" s="1" t="s">
        <v>3023</v>
      </c>
      <c r="D260" s="1" t="str">
        <f>"059-327-7135  "</f>
        <v xml:space="preserve">059-327-7135  </v>
      </c>
    </row>
    <row r="261" spans="1:4" x14ac:dyDescent="0.55000000000000004">
      <c r="A261" s="1">
        <v>2440204010</v>
      </c>
      <c r="B261" s="1" t="s">
        <v>1508</v>
      </c>
      <c r="C261" s="1" t="str">
        <f>"四日市市生桑町826-1"</f>
        <v>四日市市生桑町826-1</v>
      </c>
      <c r="D261" s="1" t="str">
        <f>"059-327-5140  "</f>
        <v xml:space="preserve">059-327-5140  </v>
      </c>
    </row>
    <row r="262" spans="1:4" x14ac:dyDescent="0.55000000000000004">
      <c r="A262" s="1">
        <v>2440204028</v>
      </c>
      <c r="B262" s="1" t="s">
        <v>1509</v>
      </c>
      <c r="C262" s="1" t="str">
        <f>"四日市市高角町735-1"</f>
        <v>四日市市高角町735-1</v>
      </c>
      <c r="D262" s="1" t="str">
        <f>"059-329-6101  "</f>
        <v xml:space="preserve">059-329-6101  </v>
      </c>
    </row>
    <row r="263" spans="1:4" x14ac:dyDescent="0.55000000000000004">
      <c r="A263" s="1">
        <v>2440204036</v>
      </c>
      <c r="B263" s="1" t="s">
        <v>1510</v>
      </c>
      <c r="C263" s="1" t="s">
        <v>1511</v>
      </c>
      <c r="D263" s="1" t="str">
        <f>"059-329-6686  "</f>
        <v xml:space="preserve">059-329-6686  </v>
      </c>
    </row>
    <row r="264" spans="1:4" x14ac:dyDescent="0.55000000000000004">
      <c r="A264" s="1">
        <v>2440204044</v>
      </c>
      <c r="B264" s="1" t="s">
        <v>1512</v>
      </c>
      <c r="C264" s="1" t="str">
        <f>"四日市市鵜の森1丁目9-2"</f>
        <v>四日市市鵜の森1丁目9-2</v>
      </c>
      <c r="D264" s="1" t="str">
        <f>"059-351-5623  "</f>
        <v xml:space="preserve">059-351-5623  </v>
      </c>
    </row>
    <row r="265" spans="1:4" x14ac:dyDescent="0.55000000000000004">
      <c r="A265" s="1">
        <v>2440204051</v>
      </c>
      <c r="B265" s="1" t="s">
        <v>1513</v>
      </c>
      <c r="C265" s="1" t="s">
        <v>3024</v>
      </c>
      <c r="D265" s="1" t="str">
        <f>"059-329-7123  "</f>
        <v xml:space="preserve">059-329-7123  </v>
      </c>
    </row>
    <row r="266" spans="1:4" x14ac:dyDescent="0.55000000000000004">
      <c r="A266" s="1">
        <v>2440204069</v>
      </c>
      <c r="B266" s="1" t="s">
        <v>1514</v>
      </c>
      <c r="C266" s="1" t="s">
        <v>3025</v>
      </c>
      <c r="D266" s="1" t="str">
        <f>"059-329-6481  "</f>
        <v xml:space="preserve">059-329-6481  </v>
      </c>
    </row>
    <row r="267" spans="1:4" x14ac:dyDescent="0.55000000000000004">
      <c r="A267" s="1">
        <v>2440204077</v>
      </c>
      <c r="B267" s="1" t="s">
        <v>1515</v>
      </c>
      <c r="C267" s="1" t="str">
        <f>"四日市市西浦1丁目2番地7-2"</f>
        <v>四日市市西浦1丁目2番地7-2</v>
      </c>
      <c r="D267" s="1" t="str">
        <f>"059-328-4801  "</f>
        <v xml:space="preserve">059-328-4801  </v>
      </c>
    </row>
    <row r="268" spans="1:4" x14ac:dyDescent="0.55000000000000004">
      <c r="A268" s="1">
        <v>2440204085</v>
      </c>
      <c r="B268" s="1" t="s">
        <v>1516</v>
      </c>
      <c r="C268" s="1" t="s">
        <v>3026</v>
      </c>
      <c r="D268" s="1" t="str">
        <f>"059-329-6677  "</f>
        <v xml:space="preserve">059-329-6677  </v>
      </c>
    </row>
    <row r="269" spans="1:4" x14ac:dyDescent="0.55000000000000004">
      <c r="A269" s="1">
        <v>2440204093</v>
      </c>
      <c r="B269" s="1" t="s">
        <v>1517</v>
      </c>
      <c r="C269" s="1" t="str">
        <f>"四日市市赤水町1274-12"</f>
        <v>四日市市赤水町1274-12</v>
      </c>
      <c r="D269" s="1" t="str">
        <f>"059-325-2022  "</f>
        <v xml:space="preserve">059-325-2022  </v>
      </c>
    </row>
    <row r="270" spans="1:4" x14ac:dyDescent="0.55000000000000004">
      <c r="A270" s="1">
        <v>2440204101</v>
      </c>
      <c r="B270" s="1" t="s">
        <v>1518</v>
      </c>
      <c r="C270" s="1" t="str">
        <f>"四日市市生桑町296-1"</f>
        <v>四日市市生桑町296-1</v>
      </c>
      <c r="D270" s="1" t="str">
        <f>"059-336-6788  "</f>
        <v xml:space="preserve">059-336-6788  </v>
      </c>
    </row>
    <row r="271" spans="1:4" x14ac:dyDescent="0.55000000000000004">
      <c r="A271" s="1">
        <v>2440204119</v>
      </c>
      <c r="B271" s="1" t="s">
        <v>1519</v>
      </c>
      <c r="C271" s="1" t="str">
        <f>"四日市市泊山崎町2-16"</f>
        <v>四日市市泊山崎町2-16</v>
      </c>
      <c r="D271" s="1" t="str">
        <f>"059-347-5445  "</f>
        <v xml:space="preserve">059-347-5445  </v>
      </c>
    </row>
    <row r="272" spans="1:4" x14ac:dyDescent="0.55000000000000004">
      <c r="A272" s="1">
        <v>2440204127</v>
      </c>
      <c r="B272" s="1" t="s">
        <v>1520</v>
      </c>
      <c r="C272" s="1" t="str">
        <f>"四日市市川島町6000－175"</f>
        <v>四日市市川島町6000－175</v>
      </c>
      <c r="D272" s="1" t="str">
        <f>"059-320-3700  "</f>
        <v xml:space="preserve">059-320-3700  </v>
      </c>
    </row>
    <row r="273" spans="1:4" x14ac:dyDescent="0.55000000000000004">
      <c r="A273" s="1">
        <v>2440204135</v>
      </c>
      <c r="B273" s="1" t="s">
        <v>1521</v>
      </c>
      <c r="C273" s="1" t="s">
        <v>1522</v>
      </c>
      <c r="D273" s="1" t="str">
        <f>"059-329-6751  "</f>
        <v xml:space="preserve">059-329-6751  </v>
      </c>
    </row>
    <row r="274" spans="1:4" x14ac:dyDescent="0.55000000000000004">
      <c r="A274" s="1">
        <v>2440204143</v>
      </c>
      <c r="B274" s="1" t="s">
        <v>1523</v>
      </c>
      <c r="C274" s="1" t="s">
        <v>1524</v>
      </c>
      <c r="D274" s="1" t="str">
        <f>"059-327-5730  "</f>
        <v xml:space="preserve">059-327-5730  </v>
      </c>
    </row>
    <row r="275" spans="1:4" x14ac:dyDescent="0.55000000000000004">
      <c r="A275" s="1">
        <v>2440204150</v>
      </c>
      <c r="B275" s="1" t="s">
        <v>1525</v>
      </c>
      <c r="C275" s="1" t="str">
        <f>"四日市市ときわ5丁目1-19"</f>
        <v>四日市市ときわ5丁目1-19</v>
      </c>
      <c r="D275" s="1" t="str">
        <f>"059-355-5676  "</f>
        <v xml:space="preserve">059-355-5676  </v>
      </c>
    </row>
    <row r="276" spans="1:4" x14ac:dyDescent="0.55000000000000004">
      <c r="A276" s="1">
        <v>2440204168</v>
      </c>
      <c r="B276" s="1" t="s">
        <v>1526</v>
      </c>
      <c r="C276" s="1" t="s">
        <v>1527</v>
      </c>
      <c r="D276" s="1" t="str">
        <f>"059-325-7870  "</f>
        <v xml:space="preserve">059-325-7870  </v>
      </c>
    </row>
    <row r="277" spans="1:4" x14ac:dyDescent="0.55000000000000004">
      <c r="A277" s="1">
        <v>2440204176</v>
      </c>
      <c r="B277" s="1" t="s">
        <v>1528</v>
      </c>
      <c r="C277" s="1" t="str">
        <f>"四日市市中村町771-1"</f>
        <v>四日市市中村町771-1</v>
      </c>
      <c r="D277" s="1" t="str">
        <f>"059-329-6788  "</f>
        <v xml:space="preserve">059-329-6788  </v>
      </c>
    </row>
    <row r="278" spans="1:4" x14ac:dyDescent="0.55000000000000004">
      <c r="A278" s="1">
        <v>2440204184</v>
      </c>
      <c r="B278" s="1" t="s">
        <v>1529</v>
      </c>
      <c r="C278" s="1" t="str">
        <f>"四日市市富田2丁目12-16"</f>
        <v>四日市市富田2丁目12-16</v>
      </c>
      <c r="D278" s="1" t="str">
        <f>"059-340-3808  "</f>
        <v xml:space="preserve">059-340-3808  </v>
      </c>
    </row>
    <row r="279" spans="1:4" x14ac:dyDescent="0.55000000000000004">
      <c r="A279" s="1">
        <v>2440204192</v>
      </c>
      <c r="B279" s="1" t="s">
        <v>1530</v>
      </c>
      <c r="C279" s="1" t="s">
        <v>1531</v>
      </c>
      <c r="D279" s="1" t="str">
        <f>"059-350-5001  "</f>
        <v xml:space="preserve">059-350-5001  </v>
      </c>
    </row>
    <row r="280" spans="1:4" x14ac:dyDescent="0.55000000000000004">
      <c r="A280" s="1">
        <v>2440204200</v>
      </c>
      <c r="B280" s="1" t="s">
        <v>1532</v>
      </c>
      <c r="C280" s="1" t="s">
        <v>1533</v>
      </c>
      <c r="D280" s="1" t="str">
        <f>"059-347-5757  "</f>
        <v xml:space="preserve">059-347-5757  </v>
      </c>
    </row>
    <row r="281" spans="1:4" x14ac:dyDescent="0.55000000000000004">
      <c r="A281" s="1">
        <v>2440204218</v>
      </c>
      <c r="B281" s="1" t="s">
        <v>1534</v>
      </c>
      <c r="C281" s="1" t="s">
        <v>1535</v>
      </c>
      <c r="D281" s="1" t="str">
        <f>"059-329-5780  "</f>
        <v xml:space="preserve">059-329-5780  </v>
      </c>
    </row>
    <row r="282" spans="1:4" x14ac:dyDescent="0.55000000000000004">
      <c r="A282" s="1">
        <v>2440204226</v>
      </c>
      <c r="B282" s="1" t="s">
        <v>1536</v>
      </c>
      <c r="C282" s="1" t="str">
        <f>"四日市市元町4-8"</f>
        <v>四日市市元町4-8</v>
      </c>
      <c r="D282" s="1" t="str">
        <f>"0593-59-5100  "</f>
        <v xml:space="preserve">0593-59-5100  </v>
      </c>
    </row>
    <row r="283" spans="1:4" x14ac:dyDescent="0.55000000000000004">
      <c r="A283" s="1">
        <v>2440204234</v>
      </c>
      <c r="B283" s="1" t="s">
        <v>1537</v>
      </c>
      <c r="C283" s="1" t="str">
        <f>"四日市市市場町3117-7"</f>
        <v>四日市市市場町3117-7</v>
      </c>
      <c r="D283" s="1" t="str">
        <f>"059-339-220   "</f>
        <v xml:space="preserve">059-339-220   </v>
      </c>
    </row>
    <row r="284" spans="1:4" x14ac:dyDescent="0.55000000000000004">
      <c r="A284" s="1">
        <v>2440204242</v>
      </c>
      <c r="B284" s="1" t="s">
        <v>1538</v>
      </c>
      <c r="C284" s="1" t="str">
        <f>"四日市市泊町2-31"</f>
        <v>四日市市泊町2-31</v>
      </c>
      <c r="D284" s="1" t="str">
        <f>"059-349-0666  "</f>
        <v xml:space="preserve">059-349-0666  </v>
      </c>
    </row>
    <row r="285" spans="1:4" x14ac:dyDescent="0.55000000000000004">
      <c r="A285" s="1">
        <v>2440204259</v>
      </c>
      <c r="B285" s="1" t="s">
        <v>1539</v>
      </c>
      <c r="C285" s="1" t="str">
        <f>"四日市市羽津町15-28　第八日和ハイツ１階"</f>
        <v>四日市市羽津町15-28　第八日和ハイツ１階</v>
      </c>
      <c r="D285" s="1" t="str">
        <f>"059-333-1100  "</f>
        <v xml:space="preserve">059-333-1100  </v>
      </c>
    </row>
    <row r="286" spans="1:4" x14ac:dyDescent="0.55000000000000004">
      <c r="A286" s="1">
        <v>2440204267</v>
      </c>
      <c r="B286" s="1" t="s">
        <v>1540</v>
      </c>
      <c r="C286" s="1" t="s">
        <v>1541</v>
      </c>
      <c r="D286" s="1" t="str">
        <f>"059-340-3090  "</f>
        <v xml:space="preserve">059-340-3090  </v>
      </c>
    </row>
    <row r="287" spans="1:4" x14ac:dyDescent="0.55000000000000004">
      <c r="A287" s="1">
        <v>2440204275</v>
      </c>
      <c r="B287" s="1" t="s">
        <v>1542</v>
      </c>
      <c r="C287" s="1" t="s">
        <v>1543</v>
      </c>
      <c r="D287" s="1" t="str">
        <f>"059-329-7855  "</f>
        <v xml:space="preserve">059-329-7855  </v>
      </c>
    </row>
    <row r="288" spans="1:4" x14ac:dyDescent="0.55000000000000004">
      <c r="A288" s="1">
        <v>2440300263</v>
      </c>
      <c r="B288" s="1" t="s">
        <v>1544</v>
      </c>
      <c r="C288" s="1" t="str">
        <f>"鈴鹿市十宮3-22-23"</f>
        <v>鈴鹿市十宮3-22-23</v>
      </c>
      <c r="D288" s="1" t="str">
        <f>"059-382-6090  "</f>
        <v xml:space="preserve">059-382-6090  </v>
      </c>
    </row>
    <row r="289" spans="1:4" x14ac:dyDescent="0.55000000000000004">
      <c r="A289" s="1">
        <v>2440300289</v>
      </c>
      <c r="B289" s="1" t="s">
        <v>1545</v>
      </c>
      <c r="C289" s="1" t="str">
        <f>"鈴鹿市稲生4丁目18-2"</f>
        <v>鈴鹿市稲生4丁目18-2</v>
      </c>
      <c r="D289" s="1" t="str">
        <f>"059-386-6715  "</f>
        <v xml:space="preserve">059-386-6715  </v>
      </c>
    </row>
    <row r="290" spans="1:4" x14ac:dyDescent="0.55000000000000004">
      <c r="A290" s="1">
        <v>2440300503</v>
      </c>
      <c r="B290" s="1" t="s">
        <v>1546</v>
      </c>
      <c r="C290" s="1" t="str">
        <f>"鈴鹿市南江島町14-1"</f>
        <v>鈴鹿市南江島町14-1</v>
      </c>
      <c r="D290" s="1" t="str">
        <f>"059-388-2626  "</f>
        <v xml:space="preserve">059-388-2626  </v>
      </c>
    </row>
    <row r="291" spans="1:4" x14ac:dyDescent="0.55000000000000004">
      <c r="A291" s="1">
        <v>2440300545</v>
      </c>
      <c r="B291" s="1" t="s">
        <v>1547</v>
      </c>
      <c r="C291" s="1" t="str">
        <f>"鈴鹿市西条4-48"</f>
        <v>鈴鹿市西条4-48</v>
      </c>
      <c r="D291" s="1" t="str">
        <f>"059-382-5850  "</f>
        <v xml:space="preserve">059-382-5850  </v>
      </c>
    </row>
    <row r="292" spans="1:4" x14ac:dyDescent="0.55000000000000004">
      <c r="A292" s="1">
        <v>2440300610</v>
      </c>
      <c r="B292" s="1" t="s">
        <v>1548</v>
      </c>
      <c r="C292" s="1" t="str">
        <f>"鈴鹿市南江島町10-26"</f>
        <v>鈴鹿市南江島町10-26</v>
      </c>
      <c r="D292" s="1" t="str">
        <f>"059-387-8654  "</f>
        <v xml:space="preserve">059-387-8654  </v>
      </c>
    </row>
    <row r="293" spans="1:4" x14ac:dyDescent="0.55000000000000004">
      <c r="A293" s="1">
        <v>2440300719</v>
      </c>
      <c r="B293" s="1" t="s">
        <v>1549</v>
      </c>
      <c r="C293" s="1" t="str">
        <f>"鈴鹿市若松北1-36-24"</f>
        <v>鈴鹿市若松北1-36-24</v>
      </c>
      <c r="D293" s="1" t="str">
        <f>"059-395-0090  "</f>
        <v xml:space="preserve">059-395-0090  </v>
      </c>
    </row>
    <row r="294" spans="1:4" x14ac:dyDescent="0.55000000000000004">
      <c r="A294" s="1">
        <v>2440300750</v>
      </c>
      <c r="B294" s="1" t="s">
        <v>1550</v>
      </c>
      <c r="C294" s="1" t="s">
        <v>1551</v>
      </c>
      <c r="D294" s="1" t="str">
        <f>"059-381-2200  "</f>
        <v xml:space="preserve">059-381-2200  </v>
      </c>
    </row>
    <row r="295" spans="1:4" x14ac:dyDescent="0.55000000000000004">
      <c r="A295" s="1">
        <v>2440300826</v>
      </c>
      <c r="B295" s="1" t="s">
        <v>1552</v>
      </c>
      <c r="C295" s="1" t="str">
        <f>"鈴鹿市長沢町1007-2"</f>
        <v>鈴鹿市長沢町1007-2</v>
      </c>
      <c r="D295" s="1" t="str">
        <f>"059-371-6161  "</f>
        <v xml:space="preserve">059-371-6161  </v>
      </c>
    </row>
    <row r="296" spans="1:4" x14ac:dyDescent="0.55000000000000004">
      <c r="A296" s="1">
        <v>2440300842</v>
      </c>
      <c r="B296" s="1" t="s">
        <v>1553</v>
      </c>
      <c r="C296" s="1" t="str">
        <f>"鈴鹿市秋永町字蔵久635-3"</f>
        <v>鈴鹿市秋永町字蔵久635-3</v>
      </c>
      <c r="D296" s="1" t="str">
        <f>"059-380-0670  "</f>
        <v xml:space="preserve">059-380-0670  </v>
      </c>
    </row>
    <row r="297" spans="1:4" x14ac:dyDescent="0.55000000000000004">
      <c r="A297" s="1">
        <v>2440300867</v>
      </c>
      <c r="B297" s="1" t="s">
        <v>1554</v>
      </c>
      <c r="C297" s="1" t="str">
        <f>"鈴鹿市東磯山3丁目19-27"</f>
        <v>鈴鹿市東磯山3丁目19-27</v>
      </c>
      <c r="D297" s="1" t="str">
        <f>"059-380-1100  "</f>
        <v xml:space="preserve">059-380-1100  </v>
      </c>
    </row>
    <row r="298" spans="1:4" x14ac:dyDescent="0.55000000000000004">
      <c r="A298" s="1">
        <v>2440300883</v>
      </c>
      <c r="B298" s="1" t="s">
        <v>1555</v>
      </c>
      <c r="C298" s="1" t="s">
        <v>1556</v>
      </c>
      <c r="D298" s="1" t="str">
        <f>"059-368-0310  "</f>
        <v xml:space="preserve">059-368-0310  </v>
      </c>
    </row>
    <row r="299" spans="1:4" x14ac:dyDescent="0.55000000000000004">
      <c r="A299" s="1">
        <v>2440300925</v>
      </c>
      <c r="B299" s="1" t="s">
        <v>1557</v>
      </c>
      <c r="C299" s="1" t="str">
        <f>"鈴鹿市北江島町1-12"</f>
        <v>鈴鹿市北江島町1-12</v>
      </c>
      <c r="D299" s="1" t="str">
        <f>"059-380-0633  "</f>
        <v xml:space="preserve">059-380-0633  </v>
      </c>
    </row>
    <row r="300" spans="1:4" x14ac:dyDescent="0.55000000000000004">
      <c r="A300" s="1">
        <v>2440300966</v>
      </c>
      <c r="B300" s="1" t="s">
        <v>1558</v>
      </c>
      <c r="C300" s="1" t="str">
        <f>"鈴鹿市東旭が丘3丁目2-8"</f>
        <v>鈴鹿市東旭が丘3丁目2-8</v>
      </c>
      <c r="D300" s="1" t="str">
        <f>"059-380-5700  "</f>
        <v xml:space="preserve">059-380-5700  </v>
      </c>
    </row>
    <row r="301" spans="1:4" x14ac:dyDescent="0.55000000000000004">
      <c r="A301" s="1">
        <v>2440300974</v>
      </c>
      <c r="B301" s="1" t="s">
        <v>1559</v>
      </c>
      <c r="C301" s="1" t="str">
        <f>"鈴鹿市加佐登2丁目20-48"</f>
        <v>鈴鹿市加佐登2丁目20-48</v>
      </c>
      <c r="D301" s="1" t="str">
        <f>"059-370-5900  "</f>
        <v xml:space="preserve">059-370-5900  </v>
      </c>
    </row>
    <row r="302" spans="1:4" x14ac:dyDescent="0.55000000000000004">
      <c r="A302" s="1">
        <v>2440301014</v>
      </c>
      <c r="B302" s="1" t="s">
        <v>1560</v>
      </c>
      <c r="C302" s="1" t="s">
        <v>3027</v>
      </c>
      <c r="D302" s="1" t="str">
        <f>"059-381-5959  "</f>
        <v xml:space="preserve">059-381-5959  </v>
      </c>
    </row>
    <row r="303" spans="1:4" x14ac:dyDescent="0.55000000000000004">
      <c r="A303" s="1">
        <v>2440301022</v>
      </c>
      <c r="B303" s="1" t="s">
        <v>264</v>
      </c>
      <c r="C303" s="1" t="str">
        <f>"鈴鹿市南江島町8-5"</f>
        <v>鈴鹿市南江島町8-5</v>
      </c>
      <c r="D303" s="1" t="str">
        <f>"059-368-3939  "</f>
        <v xml:space="preserve">059-368-3939  </v>
      </c>
    </row>
    <row r="304" spans="1:4" x14ac:dyDescent="0.55000000000000004">
      <c r="A304" s="1">
        <v>2440301030</v>
      </c>
      <c r="B304" s="1" t="s">
        <v>1561</v>
      </c>
      <c r="C304" s="1" t="str">
        <f>"鈴鹿市東旭が丘1丁目6-19"</f>
        <v>鈴鹿市東旭が丘1丁目6-19</v>
      </c>
      <c r="D304" s="1" t="str">
        <f>"059-380-6770  "</f>
        <v xml:space="preserve">059-380-6770  </v>
      </c>
    </row>
    <row r="305" spans="1:4" x14ac:dyDescent="0.55000000000000004">
      <c r="A305" s="1">
        <v>2440301048</v>
      </c>
      <c r="B305" s="1" t="s">
        <v>1562</v>
      </c>
      <c r="C305" s="1" t="str">
        <f>"鈴鹿市岡田3丁目20-31"</f>
        <v>鈴鹿市岡田3丁目20-31</v>
      </c>
      <c r="D305" s="1" t="str">
        <f>"059-367-3377  "</f>
        <v xml:space="preserve">059-367-3377  </v>
      </c>
    </row>
    <row r="306" spans="1:4" x14ac:dyDescent="0.55000000000000004">
      <c r="A306" s="1">
        <v>2440301055</v>
      </c>
      <c r="B306" s="1" t="s">
        <v>1563</v>
      </c>
      <c r="C306" s="1" t="str">
        <f>"鈴鹿市東玉垣町1398-2"</f>
        <v>鈴鹿市東玉垣町1398-2</v>
      </c>
      <c r="D306" s="1" t="str">
        <f>"059-382-3720  "</f>
        <v xml:space="preserve">059-382-3720  </v>
      </c>
    </row>
    <row r="307" spans="1:4" x14ac:dyDescent="0.55000000000000004">
      <c r="A307" s="1">
        <v>2440301089</v>
      </c>
      <c r="B307" s="1" t="s">
        <v>1564</v>
      </c>
      <c r="C307" s="1" t="s">
        <v>3028</v>
      </c>
      <c r="D307" s="1" t="str">
        <f>"059-384-8000  "</f>
        <v xml:space="preserve">059-384-8000  </v>
      </c>
    </row>
    <row r="308" spans="1:4" x14ac:dyDescent="0.55000000000000004">
      <c r="A308" s="1">
        <v>2440301097</v>
      </c>
      <c r="B308" s="1" t="s">
        <v>1565</v>
      </c>
      <c r="C308" s="1" t="str">
        <f>"鈴鹿市安塚町字宮塚1654-1"</f>
        <v>鈴鹿市安塚町字宮塚1654-1</v>
      </c>
      <c r="D308" s="1" t="str">
        <f>"059-381-4771  "</f>
        <v xml:space="preserve">059-381-4771  </v>
      </c>
    </row>
    <row r="309" spans="1:4" x14ac:dyDescent="0.55000000000000004">
      <c r="A309" s="1">
        <v>2440301105</v>
      </c>
      <c r="B309" s="1" t="s">
        <v>1566</v>
      </c>
      <c r="C309" s="1" t="str">
        <f>"鈴鹿市寺家4丁目18-16"</f>
        <v>鈴鹿市寺家4丁目18-16</v>
      </c>
      <c r="D309" s="1" t="str">
        <f>"059-368-3600  "</f>
        <v xml:space="preserve">059-368-3600  </v>
      </c>
    </row>
    <row r="310" spans="1:4" x14ac:dyDescent="0.55000000000000004">
      <c r="A310" s="1">
        <v>2440301170</v>
      </c>
      <c r="B310" s="1" t="s">
        <v>1567</v>
      </c>
      <c r="C310" s="1" t="str">
        <f>"鈴鹿市柳町字森1657-2"</f>
        <v>鈴鹿市柳町字森1657-2</v>
      </c>
      <c r="D310" s="1" t="str">
        <f>"059-381-3331  "</f>
        <v xml:space="preserve">059-381-3331  </v>
      </c>
    </row>
    <row r="311" spans="1:4" x14ac:dyDescent="0.55000000000000004">
      <c r="A311" s="1">
        <v>2440301188</v>
      </c>
      <c r="B311" s="1" t="s">
        <v>1568</v>
      </c>
      <c r="C311" s="1" t="str">
        <f>"鈴鹿市平田東町2-10"</f>
        <v>鈴鹿市平田東町2-10</v>
      </c>
      <c r="D311" s="1" t="str">
        <f>"059-375-5123  "</f>
        <v xml:space="preserve">059-375-5123  </v>
      </c>
    </row>
    <row r="312" spans="1:4" x14ac:dyDescent="0.55000000000000004">
      <c r="A312" s="1">
        <v>2440301287</v>
      </c>
      <c r="B312" s="1" t="s">
        <v>1569</v>
      </c>
      <c r="C312" s="1" t="str">
        <f>"鈴鹿市桜島町2丁目9-4"</f>
        <v>鈴鹿市桜島町2丁目9-4</v>
      </c>
      <c r="D312" s="1" t="str">
        <f>"059-381-0500  "</f>
        <v xml:space="preserve">059-381-0500  </v>
      </c>
    </row>
    <row r="313" spans="1:4" x14ac:dyDescent="0.55000000000000004">
      <c r="A313" s="1">
        <v>2440301311</v>
      </c>
      <c r="B313" s="1" t="s">
        <v>1570</v>
      </c>
      <c r="C313" s="1" t="str">
        <f>"鈴鹿市高岡町632-1"</f>
        <v>鈴鹿市高岡町632-1</v>
      </c>
      <c r="D313" s="1" t="str">
        <f>"059-381-0700  "</f>
        <v xml:space="preserve">059-381-0700  </v>
      </c>
    </row>
    <row r="314" spans="1:4" x14ac:dyDescent="0.55000000000000004">
      <c r="A314" s="1">
        <v>2440301329</v>
      </c>
      <c r="B314" s="1" t="s">
        <v>1571</v>
      </c>
      <c r="C314" s="1" t="s">
        <v>1572</v>
      </c>
      <c r="D314" s="1" t="str">
        <f>"059-388-0114  "</f>
        <v xml:space="preserve">059-388-0114  </v>
      </c>
    </row>
    <row r="315" spans="1:4" x14ac:dyDescent="0.55000000000000004">
      <c r="A315" s="1">
        <v>2440301345</v>
      </c>
      <c r="B315" s="1" t="s">
        <v>1573</v>
      </c>
      <c r="C315" s="1" t="str">
        <f>"鈴鹿市道伯町字筧田2064-5"</f>
        <v>鈴鹿市道伯町字筧田2064-5</v>
      </c>
      <c r="D315" s="1" t="str">
        <f>"059-375-3456  "</f>
        <v xml:space="preserve">059-375-3456  </v>
      </c>
    </row>
    <row r="316" spans="1:4" x14ac:dyDescent="0.55000000000000004">
      <c r="A316" s="1">
        <v>2440301352</v>
      </c>
      <c r="B316" s="1" t="s">
        <v>1574</v>
      </c>
      <c r="C316" s="1" t="str">
        <f>"鈴鹿市白子本町12-9-1"</f>
        <v>鈴鹿市白子本町12-9-1</v>
      </c>
      <c r="D316" s="1" t="str">
        <f>"059-388-1691  "</f>
        <v xml:space="preserve">059-388-1691  </v>
      </c>
    </row>
    <row r="317" spans="1:4" x14ac:dyDescent="0.55000000000000004">
      <c r="A317" s="1">
        <v>2440301360</v>
      </c>
      <c r="B317" s="1" t="s">
        <v>1575</v>
      </c>
      <c r="C317" s="1" t="str">
        <f>"鈴鹿市庄野羽山4-1-2"</f>
        <v>鈴鹿市庄野羽山4-1-2</v>
      </c>
      <c r="D317" s="1" t="str">
        <f>"059-370-0645  "</f>
        <v xml:space="preserve">059-370-0645  </v>
      </c>
    </row>
    <row r="318" spans="1:4" x14ac:dyDescent="0.55000000000000004">
      <c r="A318" s="1">
        <v>2440301378</v>
      </c>
      <c r="B318" s="1" t="s">
        <v>1576</v>
      </c>
      <c r="C318" s="1" t="s">
        <v>1577</v>
      </c>
      <c r="D318" s="1" t="str">
        <f>"059-380-5650  "</f>
        <v xml:space="preserve">059-380-5650  </v>
      </c>
    </row>
    <row r="319" spans="1:4" x14ac:dyDescent="0.55000000000000004">
      <c r="A319" s="1">
        <v>2440301386</v>
      </c>
      <c r="B319" s="1" t="s">
        <v>1578</v>
      </c>
      <c r="C319" s="1" t="s">
        <v>1579</v>
      </c>
      <c r="D319" s="1" t="str">
        <f>"059-381-0781  "</f>
        <v xml:space="preserve">059-381-0781  </v>
      </c>
    </row>
    <row r="320" spans="1:4" x14ac:dyDescent="0.55000000000000004">
      <c r="A320" s="1">
        <v>2440301394</v>
      </c>
      <c r="B320" s="1" t="s">
        <v>1580</v>
      </c>
      <c r="C320" s="1" t="s">
        <v>1581</v>
      </c>
      <c r="D320" s="1" t="str">
        <f>"059-381-5011  "</f>
        <v xml:space="preserve">059-381-5011  </v>
      </c>
    </row>
    <row r="321" spans="1:4" x14ac:dyDescent="0.55000000000000004">
      <c r="A321" s="1">
        <v>2440301451</v>
      </c>
      <c r="B321" s="1" t="s">
        <v>1582</v>
      </c>
      <c r="C321" s="1" t="s">
        <v>3029</v>
      </c>
      <c r="D321" s="1" t="str">
        <f>"059-367-7970  "</f>
        <v xml:space="preserve">059-367-7970  </v>
      </c>
    </row>
    <row r="322" spans="1:4" x14ac:dyDescent="0.55000000000000004">
      <c r="A322" s="1">
        <v>2440301469</v>
      </c>
      <c r="B322" s="1" t="s">
        <v>1583</v>
      </c>
      <c r="C322" s="1" t="str">
        <f>"鈴鹿市東旭が丘2丁目17-10"</f>
        <v>鈴鹿市東旭が丘2丁目17-10</v>
      </c>
      <c r="D322" s="1" t="str">
        <f>"059-389-5990  "</f>
        <v xml:space="preserve">059-389-5990  </v>
      </c>
    </row>
    <row r="323" spans="1:4" x14ac:dyDescent="0.55000000000000004">
      <c r="A323" s="1">
        <v>2440301477</v>
      </c>
      <c r="B323" s="1" t="s">
        <v>1584</v>
      </c>
      <c r="C323" s="1" t="str">
        <f>"鈴鹿市弓削町1160-4"</f>
        <v>鈴鹿市弓削町1160-4</v>
      </c>
      <c r="D323" s="1" t="str">
        <f>"059-384-8523  "</f>
        <v xml:space="preserve">059-384-8523  </v>
      </c>
    </row>
    <row r="324" spans="1:4" x14ac:dyDescent="0.55000000000000004">
      <c r="A324" s="1">
        <v>2440301485</v>
      </c>
      <c r="B324" s="1" t="s">
        <v>1585</v>
      </c>
      <c r="C324" s="1" t="s">
        <v>1586</v>
      </c>
      <c r="D324" s="1" t="str">
        <f>"059-380-5185  "</f>
        <v xml:space="preserve">059-380-5185  </v>
      </c>
    </row>
    <row r="325" spans="1:4" x14ac:dyDescent="0.55000000000000004">
      <c r="A325" s="1">
        <v>2440301501</v>
      </c>
      <c r="B325" s="1" t="s">
        <v>1587</v>
      </c>
      <c r="C325" s="1" t="str">
        <f>"鈴鹿市中箕田町1124-7"</f>
        <v>鈴鹿市中箕田町1124-7</v>
      </c>
      <c r="D325" s="1" t="str">
        <f>"059-395-0055  "</f>
        <v xml:space="preserve">059-395-0055  </v>
      </c>
    </row>
    <row r="326" spans="1:4" x14ac:dyDescent="0.55000000000000004">
      <c r="A326" s="1">
        <v>2440301527</v>
      </c>
      <c r="B326" s="1" t="s">
        <v>1588</v>
      </c>
      <c r="C326" s="1" t="str">
        <f>"鈴鹿市伊船町2943-2"</f>
        <v>鈴鹿市伊船町2943-2</v>
      </c>
      <c r="D326" s="1" t="str">
        <f>"059-371-6667  "</f>
        <v xml:space="preserve">059-371-6667  </v>
      </c>
    </row>
    <row r="327" spans="1:4" x14ac:dyDescent="0.55000000000000004">
      <c r="A327" s="1">
        <v>2440301543</v>
      </c>
      <c r="B327" s="1" t="s">
        <v>1589</v>
      </c>
      <c r="C327" s="1" t="s">
        <v>3030</v>
      </c>
      <c r="D327" s="1" t="str">
        <f>"059-378-1400  "</f>
        <v xml:space="preserve">059-378-1400  </v>
      </c>
    </row>
    <row r="328" spans="1:4" x14ac:dyDescent="0.55000000000000004">
      <c r="A328" s="1">
        <v>2440301568</v>
      </c>
      <c r="B328" s="1" t="s">
        <v>1590</v>
      </c>
      <c r="C328" s="1" t="str">
        <f>"鈴鹿市南若松町237-1"</f>
        <v>鈴鹿市南若松町237-1</v>
      </c>
      <c r="D328" s="1" t="str">
        <f>"059-388-7785  "</f>
        <v xml:space="preserve">059-388-7785  </v>
      </c>
    </row>
    <row r="329" spans="1:4" x14ac:dyDescent="0.55000000000000004">
      <c r="A329" s="1">
        <v>2440301584</v>
      </c>
      <c r="B329" s="1" t="s">
        <v>1591</v>
      </c>
      <c r="C329" s="1" t="str">
        <f>"鈴鹿市南江島町23-2"</f>
        <v>鈴鹿市南江島町23-2</v>
      </c>
      <c r="D329" s="1" t="str">
        <f>"059-380-2088  "</f>
        <v xml:space="preserve">059-380-2088  </v>
      </c>
    </row>
    <row r="330" spans="1:4" x14ac:dyDescent="0.55000000000000004">
      <c r="A330" s="1">
        <v>2440301592</v>
      </c>
      <c r="B330" s="1" t="s">
        <v>1592</v>
      </c>
      <c r="C330" s="1" t="str">
        <f>"鈴鹿市野村町169-3"</f>
        <v>鈴鹿市野村町169-3</v>
      </c>
      <c r="D330" s="1" t="str">
        <f>"059-388-1010  "</f>
        <v xml:space="preserve">059-388-1010  </v>
      </c>
    </row>
    <row r="331" spans="1:4" x14ac:dyDescent="0.55000000000000004">
      <c r="A331" s="1">
        <v>2440301626</v>
      </c>
      <c r="B331" s="1" t="s">
        <v>1593</v>
      </c>
      <c r="C331" s="1" t="str">
        <f>"鈴鹿市桜島町4丁目10-3"</f>
        <v>鈴鹿市桜島町4丁目10-3</v>
      </c>
      <c r="D331" s="1" t="str">
        <f>"059-381-3371  "</f>
        <v xml:space="preserve">059-381-3371  </v>
      </c>
    </row>
    <row r="332" spans="1:4" x14ac:dyDescent="0.55000000000000004">
      <c r="A332" s="1">
        <v>2440301634</v>
      </c>
      <c r="B332" s="1" t="s">
        <v>1594</v>
      </c>
      <c r="C332" s="1" t="str">
        <f>"鈴鹿市柳町1675-4"</f>
        <v>鈴鹿市柳町1675-4</v>
      </c>
      <c r="D332" s="1" t="str">
        <f>"059-381-2700  "</f>
        <v xml:space="preserve">059-381-2700  </v>
      </c>
    </row>
    <row r="333" spans="1:4" x14ac:dyDescent="0.55000000000000004">
      <c r="A333" s="1">
        <v>2440301642</v>
      </c>
      <c r="B333" s="1" t="s">
        <v>1596</v>
      </c>
      <c r="C333" s="1" t="str">
        <f>"鈴鹿市東玉垣町2482-2"</f>
        <v>鈴鹿市東玉垣町2482-2</v>
      </c>
      <c r="D333" s="1" t="str">
        <f>"059-389-5188  "</f>
        <v xml:space="preserve">059-389-5188  </v>
      </c>
    </row>
    <row r="334" spans="1:4" x14ac:dyDescent="0.55000000000000004">
      <c r="A334" s="1">
        <v>2440301659</v>
      </c>
      <c r="B334" s="1" t="s">
        <v>1597</v>
      </c>
      <c r="C334" s="1" t="s">
        <v>3031</v>
      </c>
      <c r="D334" s="1" t="str">
        <f>"059-373-5673  "</f>
        <v xml:space="preserve">059-373-5673  </v>
      </c>
    </row>
    <row r="335" spans="1:4" x14ac:dyDescent="0.55000000000000004">
      <c r="A335" s="1">
        <v>2440301667</v>
      </c>
      <c r="B335" s="1" t="s">
        <v>1598</v>
      </c>
      <c r="C335" s="1" t="str">
        <f>"鈴鹿市安塚町638-21"</f>
        <v>鈴鹿市安塚町638-21</v>
      </c>
      <c r="D335" s="1" t="str">
        <f>"059-381-2298  "</f>
        <v xml:space="preserve">059-381-2298  </v>
      </c>
    </row>
    <row r="336" spans="1:4" x14ac:dyDescent="0.55000000000000004">
      <c r="A336" s="1">
        <v>2440301683</v>
      </c>
      <c r="B336" s="1" t="s">
        <v>1599</v>
      </c>
      <c r="C336" s="1" t="s">
        <v>3032</v>
      </c>
      <c r="D336" s="1" t="str">
        <f>"059-373-4438  "</f>
        <v xml:space="preserve">059-373-4438  </v>
      </c>
    </row>
    <row r="337" spans="1:4" x14ac:dyDescent="0.55000000000000004">
      <c r="A337" s="1">
        <v>2440301691</v>
      </c>
      <c r="B337" s="1" t="s">
        <v>1600</v>
      </c>
      <c r="C337" s="1" t="str">
        <f>"鈴鹿市飯野寺家町829-1"</f>
        <v>鈴鹿市飯野寺家町829-1</v>
      </c>
      <c r="D337" s="1" t="str">
        <f>"059-381-3800  "</f>
        <v xml:space="preserve">059-381-3800  </v>
      </c>
    </row>
    <row r="338" spans="1:4" x14ac:dyDescent="0.55000000000000004">
      <c r="A338" s="1">
        <v>2440301725</v>
      </c>
      <c r="B338" s="1" t="s">
        <v>1601</v>
      </c>
      <c r="C338" s="1" t="str">
        <f>"鈴鹿市三日市3丁目3-2"</f>
        <v>鈴鹿市三日市3丁目3-2</v>
      </c>
      <c r="D338" s="1" t="str">
        <f>"059-389-6011  "</f>
        <v xml:space="preserve">059-389-6011  </v>
      </c>
    </row>
    <row r="339" spans="1:4" x14ac:dyDescent="0.55000000000000004">
      <c r="A339" s="1">
        <v>2440301733</v>
      </c>
      <c r="B339" s="1" t="s">
        <v>1602</v>
      </c>
      <c r="C339" s="1" t="str">
        <f>"鈴鹿市野町東二丁目4-30"</f>
        <v>鈴鹿市野町東二丁目4-30</v>
      </c>
      <c r="D339" s="1" t="str">
        <f>"059-380-1700  "</f>
        <v xml:space="preserve">059-380-1700  </v>
      </c>
    </row>
    <row r="340" spans="1:4" x14ac:dyDescent="0.55000000000000004">
      <c r="A340" s="1">
        <v>2440301741</v>
      </c>
      <c r="B340" s="1" t="s">
        <v>1603</v>
      </c>
      <c r="C340" s="1" t="s">
        <v>3033</v>
      </c>
      <c r="D340" s="1" t="str">
        <f>"059-373-4555  "</f>
        <v xml:space="preserve">059-373-4555  </v>
      </c>
    </row>
    <row r="341" spans="1:4" x14ac:dyDescent="0.55000000000000004">
      <c r="A341" s="1">
        <v>2440301766</v>
      </c>
      <c r="B341" s="1" t="s">
        <v>1604</v>
      </c>
      <c r="C341" s="1" t="str">
        <f>"鈴鹿市稲生4丁目14-20"</f>
        <v>鈴鹿市稲生4丁目14-20</v>
      </c>
      <c r="D341" s="1" t="str">
        <f>"059-386-0006  "</f>
        <v xml:space="preserve">059-386-0006  </v>
      </c>
    </row>
    <row r="342" spans="1:4" x14ac:dyDescent="0.55000000000000004">
      <c r="A342" s="1">
        <v>2440301782</v>
      </c>
      <c r="B342" s="1" t="s">
        <v>1605</v>
      </c>
      <c r="C342" s="1" t="s">
        <v>1606</v>
      </c>
      <c r="D342" s="1" t="str">
        <f>"059-373-6220  "</f>
        <v xml:space="preserve">059-373-6220  </v>
      </c>
    </row>
    <row r="343" spans="1:4" x14ac:dyDescent="0.55000000000000004">
      <c r="A343" s="1">
        <v>2440301790</v>
      </c>
      <c r="B343" s="1" t="s">
        <v>1607</v>
      </c>
      <c r="C343" s="1" t="str">
        <f>"鈴鹿市平野町7743-1"</f>
        <v>鈴鹿市平野町7743-1</v>
      </c>
      <c r="D343" s="1" t="str">
        <f>"059-375-2500  "</f>
        <v xml:space="preserve">059-375-2500  </v>
      </c>
    </row>
    <row r="344" spans="1:4" x14ac:dyDescent="0.55000000000000004">
      <c r="A344" s="1">
        <v>2440301808</v>
      </c>
      <c r="B344" s="1" t="s">
        <v>1608</v>
      </c>
      <c r="C344" s="1" t="s">
        <v>1609</v>
      </c>
      <c r="D344" s="1" t="str">
        <f>"059-373-5431  "</f>
        <v xml:space="preserve">059-373-5431  </v>
      </c>
    </row>
    <row r="345" spans="1:4" x14ac:dyDescent="0.55000000000000004">
      <c r="A345" s="1">
        <v>2440301832</v>
      </c>
      <c r="B345" s="1" t="s">
        <v>1610</v>
      </c>
      <c r="C345" s="1" t="str">
        <f>"鈴鹿市十宮4-2-11"</f>
        <v>鈴鹿市十宮4-2-11</v>
      </c>
      <c r="D345" s="1" t="str">
        <f>"059-367-7888  "</f>
        <v xml:space="preserve">059-367-7888  </v>
      </c>
    </row>
    <row r="346" spans="1:4" x14ac:dyDescent="0.55000000000000004">
      <c r="A346" s="1">
        <v>2440301840</v>
      </c>
      <c r="B346" s="1" t="s">
        <v>1611</v>
      </c>
      <c r="C346" s="1" t="str">
        <f>"鈴鹿市南玉垣町6814-11"</f>
        <v>鈴鹿市南玉垣町6814-11</v>
      </c>
      <c r="D346" s="1" t="str">
        <f>"059-381-7766  "</f>
        <v xml:space="preserve">059-381-7766  </v>
      </c>
    </row>
    <row r="347" spans="1:4" x14ac:dyDescent="0.55000000000000004">
      <c r="A347" s="1">
        <v>2440301857</v>
      </c>
      <c r="B347" s="1" t="s">
        <v>1612</v>
      </c>
      <c r="C347" s="1" t="s">
        <v>1368</v>
      </c>
      <c r="D347" s="1" t="str">
        <f>"059-383-0310  "</f>
        <v xml:space="preserve">059-383-0310  </v>
      </c>
    </row>
    <row r="348" spans="1:4" x14ac:dyDescent="0.55000000000000004">
      <c r="A348" s="1">
        <v>2440301865</v>
      </c>
      <c r="B348" s="1" t="s">
        <v>1613</v>
      </c>
      <c r="C348" s="1" t="str">
        <f>"鈴鹿市石薬師町字西裏2069-2"</f>
        <v>鈴鹿市石薬師町字西裏2069-2</v>
      </c>
      <c r="D348" s="1" t="str">
        <f>"059-367-7633  "</f>
        <v xml:space="preserve">059-367-7633  </v>
      </c>
    </row>
    <row r="349" spans="1:4" x14ac:dyDescent="0.55000000000000004">
      <c r="A349" s="1">
        <v>2440301873</v>
      </c>
      <c r="B349" s="1" t="s">
        <v>1614</v>
      </c>
      <c r="C349" s="1" t="str">
        <f>"鈴鹿市桜島町4-3-8"</f>
        <v>鈴鹿市桜島町4-3-8</v>
      </c>
      <c r="D349" s="1" t="str">
        <f>"059-392-5177  "</f>
        <v xml:space="preserve">059-392-5177  </v>
      </c>
    </row>
    <row r="350" spans="1:4" x14ac:dyDescent="0.55000000000000004">
      <c r="A350" s="1">
        <v>2440301881</v>
      </c>
      <c r="B350" s="1" t="s">
        <v>1615</v>
      </c>
      <c r="C350" s="1" t="str">
        <f>"鈴鹿市神戸1丁目11-36"</f>
        <v>鈴鹿市神戸1丁目11-36</v>
      </c>
      <c r="D350" s="1" t="str">
        <f>"059-367-7540  "</f>
        <v xml:space="preserve">059-367-7540  </v>
      </c>
    </row>
    <row r="351" spans="1:4" x14ac:dyDescent="0.55000000000000004">
      <c r="A351" s="1">
        <v>2440301915</v>
      </c>
      <c r="B351" s="1" t="s">
        <v>1616</v>
      </c>
      <c r="C351" s="1" t="s">
        <v>1617</v>
      </c>
      <c r="D351" s="1" t="str">
        <f>"059-380-5003  "</f>
        <v xml:space="preserve">059-380-5003  </v>
      </c>
    </row>
    <row r="352" spans="1:4" x14ac:dyDescent="0.55000000000000004">
      <c r="A352" s="1">
        <v>2440301923</v>
      </c>
      <c r="B352" s="1" t="s">
        <v>1618</v>
      </c>
      <c r="C352" s="1" t="str">
        <f>"鈴鹿市国府町字井口57-21"</f>
        <v>鈴鹿市国府町字井口57-21</v>
      </c>
      <c r="D352" s="1" t="str">
        <f>"059-370-3770  "</f>
        <v xml:space="preserve">059-370-3770  </v>
      </c>
    </row>
    <row r="353" spans="1:4" x14ac:dyDescent="0.55000000000000004">
      <c r="A353" s="1">
        <v>2440301931</v>
      </c>
      <c r="B353" s="1" t="s">
        <v>1619</v>
      </c>
      <c r="C353" s="1" t="s">
        <v>3034</v>
      </c>
      <c r="D353" s="1" t="str">
        <f>"059-375-1566  "</f>
        <v xml:space="preserve">059-375-1566  </v>
      </c>
    </row>
    <row r="354" spans="1:4" x14ac:dyDescent="0.55000000000000004">
      <c r="A354" s="1">
        <v>2440301949</v>
      </c>
      <c r="B354" s="1" t="s">
        <v>1620</v>
      </c>
      <c r="C354" s="1" t="s">
        <v>3035</v>
      </c>
      <c r="D354" s="1" t="str">
        <f>"059-370-6637  "</f>
        <v xml:space="preserve">059-370-6637  </v>
      </c>
    </row>
    <row r="355" spans="1:4" x14ac:dyDescent="0.55000000000000004">
      <c r="A355" s="1">
        <v>2440301956</v>
      </c>
      <c r="B355" s="1" t="s">
        <v>1621</v>
      </c>
      <c r="C355" s="1" t="str">
        <f>"鈴鹿市道伯5丁目24-23"</f>
        <v>鈴鹿市道伯5丁目24-23</v>
      </c>
      <c r="D355" s="1" t="str">
        <f>"059-370-0022  "</f>
        <v xml:space="preserve">059-370-0022  </v>
      </c>
    </row>
    <row r="356" spans="1:4" x14ac:dyDescent="0.55000000000000004">
      <c r="A356" s="1">
        <v>2440301972</v>
      </c>
      <c r="B356" s="1" t="s">
        <v>1622</v>
      </c>
      <c r="C356" s="1" t="str">
        <f>"鈴鹿市白子1-1-7"</f>
        <v>鈴鹿市白子1-1-7</v>
      </c>
      <c r="D356" s="1" t="str">
        <f>"059-386-4079  "</f>
        <v xml:space="preserve">059-386-4079  </v>
      </c>
    </row>
    <row r="357" spans="1:4" x14ac:dyDescent="0.55000000000000004">
      <c r="A357" s="1">
        <v>2440301980</v>
      </c>
      <c r="B357" s="1" t="s">
        <v>1623</v>
      </c>
      <c r="C357" s="1" t="str">
        <f>"鈴鹿市住吉1-23-10"</f>
        <v>鈴鹿市住吉1-23-10</v>
      </c>
      <c r="D357" s="1" t="str">
        <f>"059-370-5599  "</f>
        <v xml:space="preserve">059-370-5599  </v>
      </c>
    </row>
    <row r="358" spans="1:4" x14ac:dyDescent="0.55000000000000004">
      <c r="A358" s="1">
        <v>2440301998</v>
      </c>
      <c r="B358" s="1" t="s">
        <v>1624</v>
      </c>
      <c r="C358" s="1" t="str">
        <f>"鈴鹿市白子4丁目13-20"</f>
        <v>鈴鹿市白子4丁目13-20</v>
      </c>
      <c r="D358" s="1" t="str">
        <f>"059-380-6693  "</f>
        <v xml:space="preserve">059-380-6693  </v>
      </c>
    </row>
    <row r="359" spans="1:4" x14ac:dyDescent="0.55000000000000004">
      <c r="A359" s="1">
        <v>2440302004</v>
      </c>
      <c r="B359" s="1" t="s">
        <v>1625</v>
      </c>
      <c r="C359" s="1" t="str">
        <f>"鈴鹿市長太旭町4-22-18"</f>
        <v>鈴鹿市長太旭町4-22-18</v>
      </c>
      <c r="D359" s="1" t="str">
        <f>"059-395-3800  "</f>
        <v xml:space="preserve">059-395-3800  </v>
      </c>
    </row>
    <row r="360" spans="1:4" x14ac:dyDescent="0.55000000000000004">
      <c r="A360" s="1">
        <v>2440302012</v>
      </c>
      <c r="B360" s="1" t="s">
        <v>1626</v>
      </c>
      <c r="C360" s="1" t="s">
        <v>1627</v>
      </c>
      <c r="D360" s="1" t="str">
        <f>"059-373-6202  "</f>
        <v xml:space="preserve">059-373-6202  </v>
      </c>
    </row>
    <row r="361" spans="1:4" x14ac:dyDescent="0.55000000000000004">
      <c r="A361" s="1">
        <v>2440302020</v>
      </c>
      <c r="B361" s="1" t="s">
        <v>1628</v>
      </c>
      <c r="C361" s="1" t="s">
        <v>3036</v>
      </c>
      <c r="D361" s="1" t="str">
        <f>"059-381-0077  "</f>
        <v xml:space="preserve">059-381-0077  </v>
      </c>
    </row>
    <row r="362" spans="1:4" x14ac:dyDescent="0.55000000000000004">
      <c r="A362" s="1">
        <v>2440302046</v>
      </c>
      <c r="B362" s="1" t="s">
        <v>1629</v>
      </c>
      <c r="C362" s="1" t="str">
        <f>"鈴鹿市阿古曽町26-10　エスポアマンション1A"</f>
        <v>鈴鹿市阿古曽町26-10　エスポアマンション1A</v>
      </c>
      <c r="D362" s="1" t="str">
        <f>"059-392-5117  "</f>
        <v xml:space="preserve">059-392-5117  </v>
      </c>
    </row>
    <row r="363" spans="1:4" x14ac:dyDescent="0.55000000000000004">
      <c r="A363" s="1">
        <v>2440302053</v>
      </c>
      <c r="B363" s="1" t="s">
        <v>1630</v>
      </c>
      <c r="C363" s="1" t="str">
        <f>"鈴鹿市神戸1丁目8-7"</f>
        <v>鈴鹿市神戸1丁目8-7</v>
      </c>
      <c r="D363" s="1" t="str">
        <f>"059-381-1888  "</f>
        <v xml:space="preserve">059-381-1888  </v>
      </c>
    </row>
    <row r="364" spans="1:4" x14ac:dyDescent="0.55000000000000004">
      <c r="A364" s="1">
        <v>2440302061</v>
      </c>
      <c r="B364" s="1" t="s">
        <v>1631</v>
      </c>
      <c r="C364" s="1" t="str">
        <f>"鈴鹿市西条6-13"</f>
        <v>鈴鹿市西条6-13</v>
      </c>
      <c r="D364" s="1" t="str">
        <f>"059-382-7751  "</f>
        <v xml:space="preserve">059-382-7751  </v>
      </c>
    </row>
    <row r="365" spans="1:4" x14ac:dyDescent="0.55000000000000004">
      <c r="A365" s="1">
        <v>2440302079</v>
      </c>
      <c r="B365" s="1" t="s">
        <v>1632</v>
      </c>
      <c r="C365" s="1" t="s">
        <v>1633</v>
      </c>
      <c r="D365" s="1" t="str">
        <f>"059-375-7575  "</f>
        <v xml:space="preserve">059-375-7575  </v>
      </c>
    </row>
    <row r="366" spans="1:4" x14ac:dyDescent="0.55000000000000004">
      <c r="A366" s="1">
        <v>2440302103</v>
      </c>
      <c r="B366" s="1" t="s">
        <v>1634</v>
      </c>
      <c r="C366" s="1" t="s">
        <v>1635</v>
      </c>
      <c r="D366" s="1" t="str">
        <f>"059-395-2650  "</f>
        <v xml:space="preserve">059-395-2650  </v>
      </c>
    </row>
    <row r="367" spans="1:4" x14ac:dyDescent="0.55000000000000004">
      <c r="A367" s="1">
        <v>2440302111</v>
      </c>
      <c r="B367" s="1" t="s">
        <v>1636</v>
      </c>
      <c r="C367" s="1" t="str">
        <f>"鈴鹿市中江島町20-15"</f>
        <v>鈴鹿市中江島町20-15</v>
      </c>
      <c r="D367" s="1" t="str">
        <f>"059-388-0464  "</f>
        <v xml:space="preserve">059-388-0464  </v>
      </c>
    </row>
    <row r="368" spans="1:4" x14ac:dyDescent="0.55000000000000004">
      <c r="A368" s="1">
        <v>2440302145</v>
      </c>
      <c r="B368" s="1" t="s">
        <v>1637</v>
      </c>
      <c r="C368" s="1" t="str">
        <f>"鈴鹿市岸岡町1959-5"</f>
        <v>鈴鹿市岸岡町1959-5</v>
      </c>
      <c r="D368" s="1" t="str">
        <f>"059-389-5371  "</f>
        <v xml:space="preserve">059-389-5371  </v>
      </c>
    </row>
    <row r="369" spans="1:4" x14ac:dyDescent="0.55000000000000004">
      <c r="A369" s="1">
        <v>2440302152</v>
      </c>
      <c r="B369" s="1" t="s">
        <v>1638</v>
      </c>
      <c r="C369" s="1" t="s">
        <v>1639</v>
      </c>
      <c r="D369" s="1" t="str">
        <f>"059-388-1135  "</f>
        <v xml:space="preserve">059-388-1135  </v>
      </c>
    </row>
    <row r="370" spans="1:4" x14ac:dyDescent="0.55000000000000004">
      <c r="A370" s="1">
        <v>2440302160</v>
      </c>
      <c r="B370" s="1" t="s">
        <v>1640</v>
      </c>
      <c r="C370" s="1" t="str">
        <f>"鈴鹿市白子駅前3-1"</f>
        <v>鈴鹿市白子駅前3-1</v>
      </c>
      <c r="D370" s="1" t="str">
        <f>"059-380-5905  "</f>
        <v xml:space="preserve">059-380-5905  </v>
      </c>
    </row>
    <row r="371" spans="1:4" x14ac:dyDescent="0.55000000000000004">
      <c r="A371" s="1">
        <v>2440302178</v>
      </c>
      <c r="B371" s="1" t="s">
        <v>1641</v>
      </c>
      <c r="C371" s="1" t="str">
        <f>"鈴鹿市郡山町2001-35"</f>
        <v>鈴鹿市郡山町2001-35</v>
      </c>
      <c r="D371" s="1" t="str">
        <f>"059-392-8300  "</f>
        <v xml:space="preserve">059-392-8300  </v>
      </c>
    </row>
    <row r="372" spans="1:4" x14ac:dyDescent="0.55000000000000004">
      <c r="A372" s="1">
        <v>2440302186</v>
      </c>
      <c r="B372" s="1" t="s">
        <v>1642</v>
      </c>
      <c r="C372" s="1" t="s">
        <v>1643</v>
      </c>
      <c r="D372" s="1" t="str">
        <f>"059-381-2066  "</f>
        <v xml:space="preserve">059-381-2066  </v>
      </c>
    </row>
    <row r="373" spans="1:4" x14ac:dyDescent="0.55000000000000004">
      <c r="A373" s="1">
        <v>2440302194</v>
      </c>
      <c r="B373" s="1" t="s">
        <v>1644</v>
      </c>
      <c r="C373" s="1" t="s">
        <v>1645</v>
      </c>
      <c r="D373" s="1" t="str">
        <f>"059-381-2300  "</f>
        <v xml:space="preserve">059-381-2300  </v>
      </c>
    </row>
    <row r="374" spans="1:4" x14ac:dyDescent="0.55000000000000004">
      <c r="A374" s="1">
        <v>2440302202</v>
      </c>
      <c r="B374" s="1" t="s">
        <v>1646</v>
      </c>
      <c r="C374" s="1" t="str">
        <f>"鈴鹿市平田1丁目3-3"</f>
        <v>鈴鹿市平田1丁目3-3</v>
      </c>
      <c r="D374" s="1" t="str">
        <f>"059-375-1061  "</f>
        <v xml:space="preserve">059-375-1061  </v>
      </c>
    </row>
    <row r="375" spans="1:4" x14ac:dyDescent="0.55000000000000004">
      <c r="A375" s="1">
        <v>2440302210</v>
      </c>
      <c r="B375" s="1" t="s">
        <v>1647</v>
      </c>
      <c r="C375" s="1" t="s">
        <v>1648</v>
      </c>
      <c r="D375" s="1" t="str">
        <f>"059-373-6570  "</f>
        <v xml:space="preserve">059-373-6570  </v>
      </c>
    </row>
    <row r="376" spans="1:4" x14ac:dyDescent="0.55000000000000004">
      <c r="A376" s="1">
        <v>2440302228</v>
      </c>
      <c r="B376" s="1" t="s">
        <v>1649</v>
      </c>
      <c r="C376" s="1" t="s">
        <v>1650</v>
      </c>
      <c r="D376" s="1" t="str">
        <f>"059-389-5510  "</f>
        <v xml:space="preserve">059-389-5510  </v>
      </c>
    </row>
    <row r="377" spans="1:4" x14ac:dyDescent="0.55000000000000004">
      <c r="A377" s="1">
        <v>2440400121</v>
      </c>
      <c r="B377" s="1" t="s">
        <v>1651</v>
      </c>
      <c r="C377" s="1" t="str">
        <f>"亀山市東台町1-20"</f>
        <v>亀山市東台町1-20</v>
      </c>
      <c r="D377" s="1" t="str">
        <f>"0595-83-4801  "</f>
        <v xml:space="preserve">0595-83-4801  </v>
      </c>
    </row>
    <row r="378" spans="1:4" x14ac:dyDescent="0.55000000000000004">
      <c r="A378" s="1">
        <v>2440400139</v>
      </c>
      <c r="B378" s="1" t="s">
        <v>1652</v>
      </c>
      <c r="C378" s="1" t="str">
        <f>"亀山市栄町1487-140"</f>
        <v>亀山市栄町1487-140</v>
      </c>
      <c r="D378" s="1" t="str">
        <f>"0595-83-4075  "</f>
        <v xml:space="preserve">0595-83-4075  </v>
      </c>
    </row>
    <row r="379" spans="1:4" x14ac:dyDescent="0.55000000000000004">
      <c r="A379" s="1">
        <v>2440400147</v>
      </c>
      <c r="B379" s="1" t="s">
        <v>1653</v>
      </c>
      <c r="C379" s="1" t="s">
        <v>3037</v>
      </c>
      <c r="D379" s="1" t="str">
        <f>"0595-83-5830  "</f>
        <v xml:space="preserve">0595-83-5830  </v>
      </c>
    </row>
    <row r="380" spans="1:4" x14ac:dyDescent="0.55000000000000004">
      <c r="A380" s="1">
        <v>2440400154</v>
      </c>
      <c r="B380" s="1" t="s">
        <v>1654</v>
      </c>
      <c r="C380" s="1" t="str">
        <f>"亀山市阿野田町1674-7"</f>
        <v>亀山市阿野田町1674-7</v>
      </c>
      <c r="D380" s="1" t="str">
        <f>"0595-83-5665  "</f>
        <v xml:space="preserve">0595-83-5665  </v>
      </c>
    </row>
    <row r="381" spans="1:4" x14ac:dyDescent="0.55000000000000004">
      <c r="A381" s="1">
        <v>2440400162</v>
      </c>
      <c r="B381" s="1" t="s">
        <v>1655</v>
      </c>
      <c r="C381" s="1" t="s">
        <v>3038</v>
      </c>
      <c r="D381" s="1" t="str">
        <f>"0595-83-5575  "</f>
        <v xml:space="preserve">0595-83-5575  </v>
      </c>
    </row>
    <row r="382" spans="1:4" x14ac:dyDescent="0.55000000000000004">
      <c r="A382" s="1">
        <v>2440400204</v>
      </c>
      <c r="B382" s="1" t="s">
        <v>1656</v>
      </c>
      <c r="C382" s="1" t="s">
        <v>3039</v>
      </c>
      <c r="D382" s="1" t="str">
        <f>"0595-84-5700  "</f>
        <v xml:space="preserve">0595-84-5700  </v>
      </c>
    </row>
    <row r="383" spans="1:4" x14ac:dyDescent="0.55000000000000004">
      <c r="A383" s="1">
        <v>2440400212</v>
      </c>
      <c r="B383" s="1" t="s">
        <v>1657</v>
      </c>
      <c r="C383" s="1" t="str">
        <f>"亀山市江ケ室2丁目4-20"</f>
        <v>亀山市江ケ室2丁目4-20</v>
      </c>
      <c r="D383" s="1" t="str">
        <f>"0595-84-1377  "</f>
        <v xml:space="preserve">0595-84-1377  </v>
      </c>
    </row>
    <row r="384" spans="1:4" x14ac:dyDescent="0.55000000000000004">
      <c r="A384" s="1">
        <v>2440400246</v>
      </c>
      <c r="B384" s="1" t="s">
        <v>1658</v>
      </c>
      <c r="C384" s="1" t="str">
        <f>"亀山市高塚町8-7"</f>
        <v>亀山市高塚町8-7</v>
      </c>
      <c r="D384" s="1" t="str">
        <f>"0595-84-3515  "</f>
        <v xml:space="preserve">0595-84-3515  </v>
      </c>
    </row>
    <row r="385" spans="1:4" x14ac:dyDescent="0.55000000000000004">
      <c r="A385" s="1">
        <v>2440400303</v>
      </c>
      <c r="B385" s="1" t="s">
        <v>1659</v>
      </c>
      <c r="C385" s="1" t="str">
        <f>"亀山市みどり町26-9"</f>
        <v>亀山市みどり町26-9</v>
      </c>
      <c r="D385" s="1" t="str">
        <f>"0595-84-5900  "</f>
        <v xml:space="preserve">0595-84-5900  </v>
      </c>
    </row>
    <row r="386" spans="1:4" x14ac:dyDescent="0.55000000000000004">
      <c r="A386" s="1">
        <v>2440400311</v>
      </c>
      <c r="B386" s="1" t="s">
        <v>1660</v>
      </c>
      <c r="C386" s="1" t="str">
        <f>"亀山市南崎町735-10"</f>
        <v>亀山市南崎町735-10</v>
      </c>
      <c r="D386" s="1" t="str">
        <f>"0595-84-5586  "</f>
        <v xml:space="preserve">0595-84-5586  </v>
      </c>
    </row>
    <row r="387" spans="1:4" x14ac:dyDescent="0.55000000000000004">
      <c r="A387" s="1">
        <v>2440400337</v>
      </c>
      <c r="B387" s="1" t="s">
        <v>1661</v>
      </c>
      <c r="C387" s="1" t="str">
        <f>"亀山市栄町1488-258"</f>
        <v>亀山市栄町1488-258</v>
      </c>
      <c r="D387" s="1" t="str">
        <f>"0595-84-1884  "</f>
        <v xml:space="preserve">0595-84-1884  </v>
      </c>
    </row>
    <row r="388" spans="1:4" x14ac:dyDescent="0.55000000000000004">
      <c r="A388" s="1">
        <v>2440400345</v>
      </c>
      <c r="B388" s="1" t="s">
        <v>1662</v>
      </c>
      <c r="C388" s="1" t="str">
        <f>"亀山市東町1丁目2-19-1"</f>
        <v>亀山市東町1丁目2-19-1</v>
      </c>
      <c r="D388" s="1" t="str">
        <f>"0595-98-4780  "</f>
        <v xml:space="preserve">0595-98-4780  </v>
      </c>
    </row>
    <row r="389" spans="1:4" x14ac:dyDescent="0.55000000000000004">
      <c r="A389" s="1">
        <v>2440400352</v>
      </c>
      <c r="B389" s="1" t="s">
        <v>1663</v>
      </c>
      <c r="C389" s="1" t="s">
        <v>1664</v>
      </c>
      <c r="D389" s="1" t="str">
        <f>"0595-96-8212  "</f>
        <v xml:space="preserve">0595-96-8212  </v>
      </c>
    </row>
    <row r="390" spans="1:4" x14ac:dyDescent="0.55000000000000004">
      <c r="A390" s="1">
        <v>2440400386</v>
      </c>
      <c r="B390" s="1" t="s">
        <v>1665</v>
      </c>
      <c r="C390" s="1" t="str">
        <f>"亀山市亀田町466-1"</f>
        <v>亀山市亀田町466-1</v>
      </c>
      <c r="D390" s="1" t="str">
        <f>"0595-98-6755  "</f>
        <v xml:space="preserve">0595-98-6755  </v>
      </c>
    </row>
    <row r="391" spans="1:4" x14ac:dyDescent="0.55000000000000004">
      <c r="A391" s="1">
        <v>2440400394</v>
      </c>
      <c r="B391" s="1" t="s">
        <v>1666</v>
      </c>
      <c r="C391" s="1" t="s">
        <v>1667</v>
      </c>
      <c r="D391" s="1" t="str">
        <f>"0595-84-4013  "</f>
        <v xml:space="preserve">0595-84-4013  </v>
      </c>
    </row>
    <row r="392" spans="1:4" x14ac:dyDescent="0.55000000000000004">
      <c r="A392" s="1">
        <v>2440400402</v>
      </c>
      <c r="B392" s="1" t="s">
        <v>1668</v>
      </c>
      <c r="C392" s="1" t="str">
        <f>"亀山市東御幸町216-2"</f>
        <v>亀山市東御幸町216-2</v>
      </c>
      <c r="D392" s="1" t="str">
        <f>"0595-84-2266  "</f>
        <v xml:space="preserve">0595-84-2266  </v>
      </c>
    </row>
    <row r="393" spans="1:4" x14ac:dyDescent="0.55000000000000004">
      <c r="A393" s="1">
        <v>2440400410</v>
      </c>
      <c r="B393" s="1" t="s">
        <v>1669</v>
      </c>
      <c r="C393" s="1" t="s">
        <v>3040</v>
      </c>
      <c r="D393" s="1" t="str">
        <f>"0595-84-1193  "</f>
        <v xml:space="preserve">0595-84-1193  </v>
      </c>
    </row>
    <row r="394" spans="1:4" x14ac:dyDescent="0.55000000000000004">
      <c r="A394" s="1">
        <v>2440400428</v>
      </c>
      <c r="B394" s="1" t="s">
        <v>1670</v>
      </c>
      <c r="C394" s="1" t="s">
        <v>3041</v>
      </c>
      <c r="D394" s="1" t="str">
        <f>"0595-96-8301  "</f>
        <v xml:space="preserve">0595-96-8301  </v>
      </c>
    </row>
    <row r="395" spans="1:4" x14ac:dyDescent="0.55000000000000004">
      <c r="A395" s="1">
        <v>2440400436</v>
      </c>
      <c r="B395" s="1" t="s">
        <v>1671</v>
      </c>
      <c r="C395" s="1" t="s">
        <v>1672</v>
      </c>
      <c r="D395" s="1" t="str">
        <f>"0595-85-8005  "</f>
        <v xml:space="preserve">0595-85-8005  </v>
      </c>
    </row>
    <row r="396" spans="1:4" x14ac:dyDescent="0.55000000000000004">
      <c r="A396" s="1">
        <v>2440400444</v>
      </c>
      <c r="B396" s="1" t="s">
        <v>1673</v>
      </c>
      <c r="C396" s="1" t="str">
        <f>"亀山市能褒野町79-21"</f>
        <v>亀山市能褒野町79-21</v>
      </c>
      <c r="D396" s="1" t="str">
        <f>"0595-85-8134  "</f>
        <v xml:space="preserve">0595-85-8134  </v>
      </c>
    </row>
    <row r="397" spans="1:4" x14ac:dyDescent="0.55000000000000004">
      <c r="A397" s="1">
        <v>2440400451</v>
      </c>
      <c r="B397" s="1" t="s">
        <v>1674</v>
      </c>
      <c r="C397" s="1" t="str">
        <f>"亀山市川合町1155-10"</f>
        <v>亀山市川合町1155-10</v>
      </c>
      <c r="D397" s="1" t="str">
        <f>"0595-96-9090  "</f>
        <v xml:space="preserve">0595-96-9090  </v>
      </c>
    </row>
    <row r="398" spans="1:4" x14ac:dyDescent="0.55000000000000004">
      <c r="A398" s="1">
        <v>2440400469</v>
      </c>
      <c r="B398" s="1" t="s">
        <v>1675</v>
      </c>
      <c r="C398" s="1" t="str">
        <f>"亀山市天神2丁目3-7"</f>
        <v>亀山市天神2丁目3-7</v>
      </c>
      <c r="D398" s="1" t="str">
        <f>"0595-97-0142  "</f>
        <v xml:space="preserve">0595-97-0142  </v>
      </c>
    </row>
    <row r="399" spans="1:4" x14ac:dyDescent="0.55000000000000004">
      <c r="A399" s="1">
        <v>2441300056</v>
      </c>
      <c r="B399" s="1" t="s">
        <v>2129</v>
      </c>
      <c r="C399" s="1" t="str">
        <f>"名張市榊町1404-1"</f>
        <v>名張市榊町1404-1</v>
      </c>
      <c r="D399" s="1" t="str">
        <f>"0595-63-0238  "</f>
        <v xml:space="preserve">0595-63-0238  </v>
      </c>
    </row>
    <row r="400" spans="1:4" x14ac:dyDescent="0.55000000000000004">
      <c r="A400" s="1">
        <v>2441300171</v>
      </c>
      <c r="B400" s="1" t="s">
        <v>2130</v>
      </c>
      <c r="C400" s="1" t="s">
        <v>3110</v>
      </c>
      <c r="D400" s="1" t="str">
        <f>"0595-63-0725  "</f>
        <v xml:space="preserve">0595-63-0725  </v>
      </c>
    </row>
    <row r="401" spans="1:4" x14ac:dyDescent="0.55000000000000004">
      <c r="A401" s="1">
        <v>2441300197</v>
      </c>
      <c r="B401" s="1" t="s">
        <v>2131</v>
      </c>
      <c r="C401" s="1" t="s">
        <v>3111</v>
      </c>
      <c r="D401" s="1" t="str">
        <f>"0595-64-8934  "</f>
        <v xml:space="preserve">0595-64-8934  </v>
      </c>
    </row>
    <row r="402" spans="1:4" x14ac:dyDescent="0.55000000000000004">
      <c r="A402" s="1">
        <v>2441300205</v>
      </c>
      <c r="B402" s="1" t="s">
        <v>2132</v>
      </c>
      <c r="C402" s="1" t="str">
        <f>"名張市桔梗が丘1-4-72-3"</f>
        <v>名張市桔梗が丘1-4-72-3</v>
      </c>
      <c r="D402" s="1" t="str">
        <f>"0595-65-0026  "</f>
        <v xml:space="preserve">0595-65-0026  </v>
      </c>
    </row>
    <row r="403" spans="1:4" x14ac:dyDescent="0.55000000000000004">
      <c r="A403" s="1">
        <v>2441300213</v>
      </c>
      <c r="B403" s="1" t="s">
        <v>2133</v>
      </c>
      <c r="C403" s="1" t="str">
        <f>"名張市梅が丘北1-337"</f>
        <v>名張市梅が丘北1-337</v>
      </c>
      <c r="D403" s="1" t="str">
        <f>"0595-64-3507  "</f>
        <v xml:space="preserve">0595-64-3507  </v>
      </c>
    </row>
    <row r="404" spans="1:4" x14ac:dyDescent="0.55000000000000004">
      <c r="A404" s="1">
        <v>2441300247</v>
      </c>
      <c r="B404" s="1" t="s">
        <v>2134</v>
      </c>
      <c r="C404" s="1" t="s">
        <v>3112</v>
      </c>
      <c r="D404" s="1" t="str">
        <f>"0595-62-0280  "</f>
        <v xml:space="preserve">0595-62-0280  </v>
      </c>
    </row>
    <row r="405" spans="1:4" x14ac:dyDescent="0.55000000000000004">
      <c r="A405" s="1">
        <v>2441300312</v>
      </c>
      <c r="B405" s="1" t="s">
        <v>2135</v>
      </c>
      <c r="C405" s="1" t="s">
        <v>2136</v>
      </c>
      <c r="D405" s="1" t="str">
        <f>"0595-61-2439  "</f>
        <v xml:space="preserve">0595-61-2439  </v>
      </c>
    </row>
    <row r="406" spans="1:4" x14ac:dyDescent="0.55000000000000004">
      <c r="A406" s="1">
        <v>2441300353</v>
      </c>
      <c r="B406" s="1" t="s">
        <v>2137</v>
      </c>
      <c r="C406" s="1" t="str">
        <f>"名張市蔵持町原出1306-14"</f>
        <v>名張市蔵持町原出1306-14</v>
      </c>
      <c r="D406" s="1" t="str">
        <f>"0595-48-7081  "</f>
        <v xml:space="preserve">0595-48-7081  </v>
      </c>
    </row>
    <row r="407" spans="1:4" x14ac:dyDescent="0.55000000000000004">
      <c r="A407" s="1">
        <v>2441300379</v>
      </c>
      <c r="B407" s="1" t="s">
        <v>2138</v>
      </c>
      <c r="C407" s="1" t="s">
        <v>2139</v>
      </c>
      <c r="D407" s="1" t="str">
        <f>"0595-48-7770  "</f>
        <v xml:space="preserve">0595-48-7770  </v>
      </c>
    </row>
    <row r="408" spans="1:4" x14ac:dyDescent="0.55000000000000004">
      <c r="A408" s="1">
        <v>2441300387</v>
      </c>
      <c r="B408" s="1" t="s">
        <v>2140</v>
      </c>
      <c r="C408" s="1" t="str">
        <f>"名張市桔梗が丘7番町3街区1813-8"</f>
        <v>名張市桔梗が丘7番町3街区1813-8</v>
      </c>
      <c r="D408" s="1" t="str">
        <f>"0595-67-2225  "</f>
        <v xml:space="preserve">0595-67-2225  </v>
      </c>
    </row>
    <row r="409" spans="1:4" x14ac:dyDescent="0.55000000000000004">
      <c r="A409" s="1">
        <v>2441300395</v>
      </c>
      <c r="B409" s="1" t="s">
        <v>2141</v>
      </c>
      <c r="C409" s="1" t="s">
        <v>2169</v>
      </c>
      <c r="D409" s="1" t="str">
        <f>"0595-64-7844  "</f>
        <v xml:space="preserve">0595-64-7844  </v>
      </c>
    </row>
    <row r="410" spans="1:4" x14ac:dyDescent="0.55000000000000004">
      <c r="A410" s="1">
        <v>2441300403</v>
      </c>
      <c r="B410" s="1" t="s">
        <v>2142</v>
      </c>
      <c r="C410" s="1" t="s">
        <v>3113</v>
      </c>
      <c r="D410" s="1" t="str">
        <f>"0595-44-6280  "</f>
        <v xml:space="preserve">0595-44-6280  </v>
      </c>
    </row>
    <row r="411" spans="1:4" x14ac:dyDescent="0.55000000000000004">
      <c r="A411" s="1">
        <v>2441300411</v>
      </c>
      <c r="B411" s="1" t="s">
        <v>2143</v>
      </c>
      <c r="C411" s="1" t="s">
        <v>3114</v>
      </c>
      <c r="D411" s="1" t="str">
        <f>"0595-67-1414  "</f>
        <v xml:space="preserve">0595-67-1414  </v>
      </c>
    </row>
    <row r="412" spans="1:4" x14ac:dyDescent="0.55000000000000004">
      <c r="A412" s="1">
        <v>2441300429</v>
      </c>
      <c r="B412" s="1" t="s">
        <v>2144</v>
      </c>
      <c r="C412" s="1" t="str">
        <f>"名張市桔梗が丘西3-1-43"</f>
        <v>名張市桔梗が丘西3-1-43</v>
      </c>
      <c r="D412" s="1" t="str">
        <f>"0595-67-1333  "</f>
        <v xml:space="preserve">0595-67-1333  </v>
      </c>
    </row>
    <row r="413" spans="1:4" x14ac:dyDescent="0.55000000000000004">
      <c r="A413" s="1">
        <v>2441300437</v>
      </c>
      <c r="B413" s="1" t="s">
        <v>2145</v>
      </c>
      <c r="C413" s="1" t="s">
        <v>3115</v>
      </c>
      <c r="D413" s="1" t="str">
        <f>"0595-62-3600  "</f>
        <v xml:space="preserve">0595-62-3600  </v>
      </c>
    </row>
    <row r="414" spans="1:4" x14ac:dyDescent="0.55000000000000004">
      <c r="A414" s="1">
        <v>2441300486</v>
      </c>
      <c r="B414" s="1" t="s">
        <v>2146</v>
      </c>
      <c r="C414" s="1" t="str">
        <f>"名張市百合が丘西1-151"</f>
        <v>名張市百合が丘西1-151</v>
      </c>
      <c r="D414" s="1" t="str">
        <f>"0595-61-3680  "</f>
        <v xml:space="preserve">0595-61-3680  </v>
      </c>
    </row>
    <row r="415" spans="1:4" x14ac:dyDescent="0.55000000000000004">
      <c r="A415" s="1">
        <v>2441300494</v>
      </c>
      <c r="B415" s="1" t="s">
        <v>2147</v>
      </c>
      <c r="C415" s="1" t="s">
        <v>2148</v>
      </c>
      <c r="D415" s="1" t="str">
        <f>"0595-62-1630  "</f>
        <v xml:space="preserve">0595-62-1630  </v>
      </c>
    </row>
    <row r="416" spans="1:4" x14ac:dyDescent="0.55000000000000004">
      <c r="A416" s="1">
        <v>2441300502</v>
      </c>
      <c r="B416" s="1" t="s">
        <v>1433</v>
      </c>
      <c r="C416" s="1" t="str">
        <f>"名張市桔梗が丘5-9-1812-11"</f>
        <v>名張市桔梗が丘5-9-1812-11</v>
      </c>
      <c r="D416" s="1" t="str">
        <f>"0595-67-0710  "</f>
        <v xml:space="preserve">0595-67-0710  </v>
      </c>
    </row>
    <row r="417" spans="1:4" x14ac:dyDescent="0.55000000000000004">
      <c r="A417" s="1">
        <v>2441300510</v>
      </c>
      <c r="B417" s="1" t="s">
        <v>2149</v>
      </c>
      <c r="C417" s="1" t="str">
        <f>"名張市百合が丘東2番町132-2"</f>
        <v>名張市百合が丘東2番町132-2</v>
      </c>
      <c r="D417" s="1" t="str">
        <f>"0595-63-8650  "</f>
        <v xml:space="preserve">0595-63-8650  </v>
      </c>
    </row>
    <row r="418" spans="1:4" x14ac:dyDescent="0.55000000000000004">
      <c r="A418" s="1">
        <v>2441300577</v>
      </c>
      <c r="B418" s="1" t="s">
        <v>2150</v>
      </c>
      <c r="C418" s="1" t="str">
        <f>"名張市桔梗が丘1番町6-80"</f>
        <v>名張市桔梗が丘1番町6-80</v>
      </c>
      <c r="D418" s="1" t="str">
        <f>"0595-65-0403  "</f>
        <v xml:space="preserve">0595-65-0403  </v>
      </c>
    </row>
    <row r="419" spans="1:4" x14ac:dyDescent="0.55000000000000004">
      <c r="A419" s="1">
        <v>2441300585</v>
      </c>
      <c r="B419" s="1" t="s">
        <v>2151</v>
      </c>
      <c r="C419" s="1" t="s">
        <v>2152</v>
      </c>
      <c r="D419" s="1" t="str">
        <f>"0595-41-0360  "</f>
        <v xml:space="preserve">0595-41-0360  </v>
      </c>
    </row>
    <row r="420" spans="1:4" x14ac:dyDescent="0.55000000000000004">
      <c r="A420" s="1">
        <v>2441300593</v>
      </c>
      <c r="B420" s="1" t="s">
        <v>2153</v>
      </c>
      <c r="C420" s="1" t="str">
        <f>"名張市東町1911-2　グレイスコート1階"</f>
        <v>名張市東町1911-2　グレイスコート1階</v>
      </c>
      <c r="D420" s="1" t="str">
        <f>"0595-41-1700  "</f>
        <v xml:space="preserve">0595-41-1700  </v>
      </c>
    </row>
    <row r="421" spans="1:4" x14ac:dyDescent="0.55000000000000004">
      <c r="A421" s="1">
        <v>2441300601</v>
      </c>
      <c r="B421" s="1" t="s">
        <v>2154</v>
      </c>
      <c r="C421" s="1" t="str">
        <f>"名張市希央台3番町6-2"</f>
        <v>名張市希央台3番町6-2</v>
      </c>
      <c r="D421" s="1" t="str">
        <f>"0595-64-6004  "</f>
        <v xml:space="preserve">0595-64-6004  </v>
      </c>
    </row>
    <row r="422" spans="1:4" x14ac:dyDescent="0.55000000000000004">
      <c r="A422" s="1">
        <v>2441300619</v>
      </c>
      <c r="B422" s="1" t="s">
        <v>2155</v>
      </c>
      <c r="C422" s="1" t="str">
        <f>"名張市桔梗が丘8番町5-58"</f>
        <v>名張市桔梗が丘8番町5-58</v>
      </c>
      <c r="D422" s="1" t="str">
        <f>"0595-65-7557  "</f>
        <v xml:space="preserve">0595-65-7557  </v>
      </c>
    </row>
    <row r="423" spans="1:4" x14ac:dyDescent="0.55000000000000004">
      <c r="A423" s="1">
        <v>2441300635</v>
      </c>
      <c r="B423" s="1" t="s">
        <v>2156</v>
      </c>
      <c r="C423" s="1" t="str">
        <f>"名張市夏見3274-1"</f>
        <v>名張市夏見3274-1</v>
      </c>
      <c r="D423" s="1" t="str">
        <f>"0595-62-1193  "</f>
        <v xml:space="preserve">0595-62-1193  </v>
      </c>
    </row>
    <row r="424" spans="1:4" x14ac:dyDescent="0.55000000000000004">
      <c r="A424" s="1">
        <v>2441300643</v>
      </c>
      <c r="B424" s="1" t="s">
        <v>2157</v>
      </c>
      <c r="C424" s="1" t="str">
        <f>"名張市夏見3273-1"</f>
        <v>名張市夏見3273-1</v>
      </c>
      <c r="D424" s="1" t="str">
        <f>"0595-62-4193  "</f>
        <v xml:space="preserve">0595-62-4193  </v>
      </c>
    </row>
    <row r="425" spans="1:4" x14ac:dyDescent="0.55000000000000004">
      <c r="A425" s="1">
        <v>2441300650</v>
      </c>
      <c r="B425" s="1" t="s">
        <v>2158</v>
      </c>
      <c r="C425" s="1" t="s">
        <v>3116</v>
      </c>
      <c r="D425" s="1" t="str">
        <f>"0595-67-1193  "</f>
        <v xml:space="preserve">0595-67-1193  </v>
      </c>
    </row>
    <row r="426" spans="1:4" x14ac:dyDescent="0.55000000000000004">
      <c r="A426" s="1">
        <v>2441300668</v>
      </c>
      <c r="B426" s="1" t="s">
        <v>2159</v>
      </c>
      <c r="C426" s="1" t="s">
        <v>2160</v>
      </c>
      <c r="D426" s="1" t="str">
        <f>"0595-54-6111  "</f>
        <v xml:space="preserve">0595-54-6111  </v>
      </c>
    </row>
    <row r="427" spans="1:4" x14ac:dyDescent="0.55000000000000004">
      <c r="A427" s="1">
        <v>2441300676</v>
      </c>
      <c r="B427" s="1" t="s">
        <v>2161</v>
      </c>
      <c r="C427" s="1" t="str">
        <f>"名張市鴻之台3番町24-1"</f>
        <v>名張市鴻之台3番町24-1</v>
      </c>
      <c r="D427" s="1" t="str">
        <f>"0595-62-2511  "</f>
        <v xml:space="preserve">0595-62-2511  </v>
      </c>
    </row>
    <row r="428" spans="1:4" x14ac:dyDescent="0.55000000000000004">
      <c r="A428" s="1">
        <v>2441300684</v>
      </c>
      <c r="B428" s="1" t="s">
        <v>2162</v>
      </c>
      <c r="C428" s="1" t="s">
        <v>3117</v>
      </c>
      <c r="D428" s="1" t="str">
        <f>"0595-48-7780  "</f>
        <v xml:space="preserve">0595-48-7780  </v>
      </c>
    </row>
    <row r="429" spans="1:4" x14ac:dyDescent="0.55000000000000004">
      <c r="A429" s="1">
        <v>2441300692</v>
      </c>
      <c r="B429" s="1" t="s">
        <v>2163</v>
      </c>
      <c r="C429" s="1" t="str">
        <f>"名張市夏見102-1"</f>
        <v>名張市夏見102-1</v>
      </c>
      <c r="D429" s="1" t="str">
        <f>"0595-63-0236  "</f>
        <v xml:space="preserve">0595-63-0236  </v>
      </c>
    </row>
    <row r="430" spans="1:4" x14ac:dyDescent="0.55000000000000004">
      <c r="A430" s="1">
        <v>2441300700</v>
      </c>
      <c r="B430" s="1" t="s">
        <v>2164</v>
      </c>
      <c r="C430" s="1" t="str">
        <f>"名張市蔵持町里3258-1"</f>
        <v>名張市蔵持町里3258-1</v>
      </c>
      <c r="D430" s="1" t="str">
        <f>"0595-41-1400  "</f>
        <v xml:space="preserve">0595-41-1400  </v>
      </c>
    </row>
    <row r="431" spans="1:4" x14ac:dyDescent="0.55000000000000004">
      <c r="A431" s="1">
        <v>2441300718</v>
      </c>
      <c r="B431" s="1" t="s">
        <v>2165</v>
      </c>
      <c r="C431" s="1" t="s">
        <v>2166</v>
      </c>
      <c r="D431" s="1" t="str">
        <f>"0595-64-1193  "</f>
        <v xml:space="preserve">0595-64-1193  </v>
      </c>
    </row>
    <row r="432" spans="1:4" x14ac:dyDescent="0.55000000000000004">
      <c r="A432" s="1">
        <v>2441300726</v>
      </c>
      <c r="B432" s="1" t="s">
        <v>2167</v>
      </c>
      <c r="C432" s="1" t="s">
        <v>2168</v>
      </c>
      <c r="D432" s="1" t="str">
        <f>"0595-42-8200  "</f>
        <v xml:space="preserve">0595-42-8200  </v>
      </c>
    </row>
    <row r="433" spans="1:4" x14ac:dyDescent="0.55000000000000004">
      <c r="A433" s="1">
        <v>2441200124</v>
      </c>
      <c r="B433" s="1" t="s">
        <v>2078</v>
      </c>
      <c r="C433" s="1" t="s">
        <v>3098</v>
      </c>
      <c r="D433" s="1" t="str">
        <f>"0595-21-0269  "</f>
        <v xml:space="preserve">0595-21-0269  </v>
      </c>
    </row>
    <row r="434" spans="1:4" x14ac:dyDescent="0.55000000000000004">
      <c r="A434" s="1">
        <v>2441200421</v>
      </c>
      <c r="B434" s="1" t="s">
        <v>2082</v>
      </c>
      <c r="C434" s="1" t="str">
        <f>"伊賀市平野中川原560-17"</f>
        <v>伊賀市平野中川原560-17</v>
      </c>
      <c r="D434" s="1" t="str">
        <f>"0595-22-1222  "</f>
        <v xml:space="preserve">0595-22-1222  </v>
      </c>
    </row>
    <row r="435" spans="1:4" x14ac:dyDescent="0.55000000000000004">
      <c r="A435" s="1">
        <v>2441200439</v>
      </c>
      <c r="B435" s="1" t="s">
        <v>2083</v>
      </c>
      <c r="C435" s="1" t="s">
        <v>3099</v>
      </c>
      <c r="D435" s="1" t="str">
        <f>"0595-21-0294  "</f>
        <v xml:space="preserve">0595-21-0294  </v>
      </c>
    </row>
    <row r="436" spans="1:4" x14ac:dyDescent="0.55000000000000004">
      <c r="A436" s="1">
        <v>2441200462</v>
      </c>
      <c r="B436" s="1" t="s">
        <v>2084</v>
      </c>
      <c r="C436" s="1" t="str">
        <f>"伊賀市上野桑町1802-1"</f>
        <v>伊賀市上野桑町1802-1</v>
      </c>
      <c r="D436" s="1" t="str">
        <f>"0595-26-3711  "</f>
        <v xml:space="preserve">0595-26-3711  </v>
      </c>
    </row>
    <row r="437" spans="1:4" x14ac:dyDescent="0.55000000000000004">
      <c r="A437" s="1">
        <v>2441200512</v>
      </c>
      <c r="B437" s="1" t="s">
        <v>2079</v>
      </c>
      <c r="C437" s="1" t="s">
        <v>3100</v>
      </c>
      <c r="D437" s="1" t="str">
        <f>"0595-21-2746  "</f>
        <v xml:space="preserve">0595-21-2746  </v>
      </c>
    </row>
    <row r="438" spans="1:4" x14ac:dyDescent="0.55000000000000004">
      <c r="A438" s="1">
        <v>2441200538</v>
      </c>
      <c r="B438" s="1" t="s">
        <v>2081</v>
      </c>
      <c r="C438" s="1" t="s">
        <v>2085</v>
      </c>
      <c r="D438" s="1" t="str">
        <f>"0595-24-0166  "</f>
        <v xml:space="preserve">0595-24-0166  </v>
      </c>
    </row>
    <row r="439" spans="1:4" x14ac:dyDescent="0.55000000000000004">
      <c r="A439" s="1">
        <v>2441200561</v>
      </c>
      <c r="B439" s="1" t="s">
        <v>2086</v>
      </c>
      <c r="C439" s="1" t="str">
        <f>"伊賀市畑村1897-2"</f>
        <v>伊賀市畑村1897-2</v>
      </c>
      <c r="D439" s="1" t="str">
        <f>"0595-47-0050  "</f>
        <v xml:space="preserve">0595-47-0050  </v>
      </c>
    </row>
    <row r="440" spans="1:4" x14ac:dyDescent="0.55000000000000004">
      <c r="A440" s="1">
        <v>2441200587</v>
      </c>
      <c r="B440" s="1" t="s">
        <v>2087</v>
      </c>
      <c r="C440" s="1" t="str">
        <f>"伊賀市阿保133-5"</f>
        <v>伊賀市阿保133-5</v>
      </c>
      <c r="D440" s="1" t="str">
        <f>"0595-52-5600  "</f>
        <v xml:space="preserve">0595-52-5600  </v>
      </c>
    </row>
    <row r="441" spans="1:4" x14ac:dyDescent="0.55000000000000004">
      <c r="A441" s="1">
        <v>2441200645</v>
      </c>
      <c r="B441" s="1" t="s">
        <v>2088</v>
      </c>
      <c r="C441" s="1" t="s">
        <v>2089</v>
      </c>
      <c r="D441" s="1" t="str">
        <f>"0595-26-6331  "</f>
        <v xml:space="preserve">0595-26-6331  </v>
      </c>
    </row>
    <row r="442" spans="1:4" x14ac:dyDescent="0.55000000000000004">
      <c r="A442" s="1">
        <v>2441200678</v>
      </c>
      <c r="B442" s="1" t="s">
        <v>2090</v>
      </c>
      <c r="C442" s="1" t="s">
        <v>3101</v>
      </c>
      <c r="D442" s="1" t="str">
        <f>"0595-38-8555  "</f>
        <v xml:space="preserve">0595-38-8555  </v>
      </c>
    </row>
    <row r="443" spans="1:4" x14ac:dyDescent="0.55000000000000004">
      <c r="A443" s="1">
        <v>2441200744</v>
      </c>
      <c r="B443" s="1" t="s">
        <v>2091</v>
      </c>
      <c r="C443" s="1" t="str">
        <f>"伊賀市平野西町65-3"</f>
        <v>伊賀市平野西町65-3</v>
      </c>
      <c r="D443" s="1" t="str">
        <f>"0595-48-6975  "</f>
        <v xml:space="preserve">0595-48-6975  </v>
      </c>
    </row>
    <row r="444" spans="1:4" x14ac:dyDescent="0.55000000000000004">
      <c r="A444" s="1">
        <v>2441200751</v>
      </c>
      <c r="B444" s="1" t="s">
        <v>2092</v>
      </c>
      <c r="C444" s="1" t="s">
        <v>3102</v>
      </c>
      <c r="D444" s="1" t="str">
        <f>"0595-26-5000  "</f>
        <v xml:space="preserve">0595-26-5000  </v>
      </c>
    </row>
    <row r="445" spans="1:4" x14ac:dyDescent="0.55000000000000004">
      <c r="A445" s="1">
        <v>2441200769</v>
      </c>
      <c r="B445" s="1" t="s">
        <v>2093</v>
      </c>
      <c r="C445" s="1" t="str">
        <f>"伊賀市上野新町2756-1"</f>
        <v>伊賀市上野新町2756-1</v>
      </c>
      <c r="D445" s="1" t="str">
        <f>"0595-24-5660  "</f>
        <v xml:space="preserve">0595-24-5660  </v>
      </c>
    </row>
    <row r="446" spans="1:4" x14ac:dyDescent="0.55000000000000004">
      <c r="A446" s="1">
        <v>2441200777</v>
      </c>
      <c r="B446" s="1" t="s">
        <v>2094</v>
      </c>
      <c r="C446" s="1" t="s">
        <v>2095</v>
      </c>
      <c r="D446" s="1" t="str">
        <f>"0595-26-4081  "</f>
        <v xml:space="preserve">0595-26-4081  </v>
      </c>
    </row>
    <row r="447" spans="1:4" x14ac:dyDescent="0.55000000000000004">
      <c r="A447" s="1">
        <v>2441200843</v>
      </c>
      <c r="B447" s="1" t="s">
        <v>2096</v>
      </c>
      <c r="C447" s="1" t="s">
        <v>3103</v>
      </c>
      <c r="D447" s="1" t="str">
        <f>"0595-48-6812  "</f>
        <v xml:space="preserve">0595-48-6812  </v>
      </c>
    </row>
    <row r="448" spans="1:4" x14ac:dyDescent="0.55000000000000004">
      <c r="A448" s="1">
        <v>2441200876</v>
      </c>
      <c r="B448" s="1" t="s">
        <v>2080</v>
      </c>
      <c r="C448" s="1" t="s">
        <v>3104</v>
      </c>
      <c r="D448" s="1" t="str">
        <f>"0595-48-6700  "</f>
        <v xml:space="preserve">0595-48-6700  </v>
      </c>
    </row>
    <row r="449" spans="1:4" x14ac:dyDescent="0.55000000000000004">
      <c r="A449" s="1">
        <v>2441200918</v>
      </c>
      <c r="B449" s="1" t="s">
        <v>2097</v>
      </c>
      <c r="C449" s="1" t="str">
        <f>"伊賀市小田町748-1"</f>
        <v>伊賀市小田町748-1</v>
      </c>
      <c r="D449" s="1" t="str">
        <f>"0595-21-1737  "</f>
        <v xml:space="preserve">0595-21-1737  </v>
      </c>
    </row>
    <row r="450" spans="1:4" x14ac:dyDescent="0.55000000000000004">
      <c r="A450" s="1">
        <v>2441200926</v>
      </c>
      <c r="B450" s="1" t="s">
        <v>2098</v>
      </c>
      <c r="C450" s="1" t="str">
        <f>"伊賀市服部町2-96-1"</f>
        <v>伊賀市服部町2-96-1</v>
      </c>
      <c r="D450" s="1" t="str">
        <f>"0595-24-0931  "</f>
        <v xml:space="preserve">0595-24-0931  </v>
      </c>
    </row>
    <row r="451" spans="1:4" x14ac:dyDescent="0.55000000000000004">
      <c r="A451" s="1">
        <v>2441200934</v>
      </c>
      <c r="B451" s="1" t="s">
        <v>2099</v>
      </c>
      <c r="C451" s="1" t="str">
        <f>"伊賀市ゆめが丘4丁目2-14"</f>
        <v>伊賀市ゆめが丘4丁目2-14</v>
      </c>
      <c r="D451" s="1" t="str">
        <f>"0595-41-0787  "</f>
        <v xml:space="preserve">0595-41-0787  </v>
      </c>
    </row>
    <row r="452" spans="1:4" x14ac:dyDescent="0.55000000000000004">
      <c r="A452" s="1">
        <v>2441200983</v>
      </c>
      <c r="B452" s="1" t="s">
        <v>2100</v>
      </c>
      <c r="C452" s="1" t="str">
        <f>"伊賀市四十九町831-4"</f>
        <v>伊賀市四十九町831-4</v>
      </c>
      <c r="D452" s="1" t="str">
        <f>"0595-26-2512  "</f>
        <v xml:space="preserve">0595-26-2512  </v>
      </c>
    </row>
    <row r="453" spans="1:4" x14ac:dyDescent="0.55000000000000004">
      <c r="A453" s="1">
        <v>2441200991</v>
      </c>
      <c r="B453" s="1" t="s">
        <v>2101</v>
      </c>
      <c r="C453" s="1" t="s">
        <v>2102</v>
      </c>
      <c r="D453" s="1" t="str">
        <f>"0595-41-1701  "</f>
        <v xml:space="preserve">0595-41-1701  </v>
      </c>
    </row>
    <row r="454" spans="1:4" x14ac:dyDescent="0.55000000000000004">
      <c r="A454" s="1">
        <v>2441201015</v>
      </c>
      <c r="B454" s="1" t="s">
        <v>2103</v>
      </c>
      <c r="C454" s="1" t="str">
        <f>"伊賀市久米町大坪666-4"</f>
        <v>伊賀市久米町大坪666-4</v>
      </c>
      <c r="D454" s="1" t="str">
        <f>"0595-26-0064  "</f>
        <v xml:space="preserve">0595-26-0064  </v>
      </c>
    </row>
    <row r="455" spans="1:4" x14ac:dyDescent="0.55000000000000004">
      <c r="A455" s="1">
        <v>2441201023</v>
      </c>
      <c r="B455" s="1" t="s">
        <v>2104</v>
      </c>
      <c r="C455" s="1" t="s">
        <v>921</v>
      </c>
      <c r="D455" s="1" t="str">
        <f>"0595-43-1660  "</f>
        <v xml:space="preserve">0595-43-1660  </v>
      </c>
    </row>
    <row r="456" spans="1:4" x14ac:dyDescent="0.55000000000000004">
      <c r="A456" s="1">
        <v>2441201031</v>
      </c>
      <c r="B456" s="1" t="s">
        <v>2105</v>
      </c>
      <c r="C456" s="1" t="s">
        <v>2106</v>
      </c>
      <c r="D456" s="1" t="str">
        <f>"0595-53-0800  "</f>
        <v xml:space="preserve">0595-53-0800  </v>
      </c>
    </row>
    <row r="457" spans="1:4" x14ac:dyDescent="0.55000000000000004">
      <c r="A457" s="1">
        <v>2441201049</v>
      </c>
      <c r="B457" s="1" t="s">
        <v>2107</v>
      </c>
      <c r="C457" s="1" t="s">
        <v>2108</v>
      </c>
      <c r="D457" s="1" t="str">
        <f>"0595-41-2280  "</f>
        <v xml:space="preserve">0595-41-2280  </v>
      </c>
    </row>
    <row r="458" spans="1:4" x14ac:dyDescent="0.55000000000000004">
      <c r="A458" s="1">
        <v>2441201064</v>
      </c>
      <c r="B458" s="1" t="s">
        <v>2109</v>
      </c>
      <c r="C458" s="1" t="s">
        <v>3105</v>
      </c>
      <c r="D458" s="1" t="str">
        <f>"0595-24-1193  "</f>
        <v xml:space="preserve">0595-24-1193  </v>
      </c>
    </row>
    <row r="459" spans="1:4" x14ac:dyDescent="0.55000000000000004">
      <c r="A459" s="1">
        <v>2441201072</v>
      </c>
      <c r="B459" s="1" t="s">
        <v>2110</v>
      </c>
      <c r="C459" s="1" t="str">
        <f>"伊賀市荒木533-3"</f>
        <v>伊賀市荒木533-3</v>
      </c>
      <c r="D459" s="1" t="str">
        <f>"0595-22-1193  "</f>
        <v xml:space="preserve">0595-22-1193  </v>
      </c>
    </row>
    <row r="460" spans="1:4" x14ac:dyDescent="0.55000000000000004">
      <c r="A460" s="1">
        <v>2441201080</v>
      </c>
      <c r="B460" s="1" t="s">
        <v>2111</v>
      </c>
      <c r="C460" s="1" t="str">
        <f>"伊賀市柘植町2034-1"</f>
        <v>伊賀市柘植町2034-1</v>
      </c>
      <c r="D460" s="1" t="str">
        <f>"0595-45-1193  "</f>
        <v xml:space="preserve">0595-45-1193  </v>
      </c>
    </row>
    <row r="461" spans="1:4" x14ac:dyDescent="0.55000000000000004">
      <c r="A461" s="1">
        <v>2441201098</v>
      </c>
      <c r="B461" s="1" t="s">
        <v>2112</v>
      </c>
      <c r="C461" s="1" t="s">
        <v>3106</v>
      </c>
      <c r="D461" s="1" t="str">
        <f>"0595-59-9311  "</f>
        <v xml:space="preserve">0595-59-9311  </v>
      </c>
    </row>
    <row r="462" spans="1:4" x14ac:dyDescent="0.55000000000000004">
      <c r="A462" s="1">
        <v>2441201106</v>
      </c>
      <c r="B462" s="1" t="s">
        <v>2113</v>
      </c>
      <c r="C462" s="1" t="str">
        <f>"伊賀市阿保1341-3"</f>
        <v>伊賀市阿保1341-3</v>
      </c>
      <c r="D462" s="1" t="str">
        <f>"0595-53-1193  "</f>
        <v xml:space="preserve">0595-53-1193  </v>
      </c>
    </row>
    <row r="463" spans="1:4" x14ac:dyDescent="0.55000000000000004">
      <c r="A463" s="1">
        <v>2441201114</v>
      </c>
      <c r="B463" s="1" t="s">
        <v>2114</v>
      </c>
      <c r="C463" s="1" t="s">
        <v>3107</v>
      </c>
      <c r="D463" s="1" t="str">
        <f>"0595-26-4300  "</f>
        <v xml:space="preserve">0595-26-4300  </v>
      </c>
    </row>
    <row r="464" spans="1:4" x14ac:dyDescent="0.55000000000000004">
      <c r="A464" s="1">
        <v>2441201122</v>
      </c>
      <c r="B464" s="1" t="s">
        <v>2115</v>
      </c>
      <c r="C464" s="1" t="s">
        <v>3108</v>
      </c>
      <c r="D464" s="1" t="str">
        <f>"0595-21-3993  "</f>
        <v xml:space="preserve">0595-21-3993  </v>
      </c>
    </row>
    <row r="465" spans="1:4" x14ac:dyDescent="0.55000000000000004">
      <c r="A465" s="1">
        <v>2441201130</v>
      </c>
      <c r="B465" s="1" t="s">
        <v>2116</v>
      </c>
      <c r="C465" s="1" t="s">
        <v>3109</v>
      </c>
      <c r="D465" s="1" t="str">
        <f>"0595-41-0240  "</f>
        <v xml:space="preserve">0595-41-0240  </v>
      </c>
    </row>
    <row r="466" spans="1:4" x14ac:dyDescent="0.55000000000000004">
      <c r="A466" s="1">
        <v>2441201148</v>
      </c>
      <c r="B466" s="1" t="s">
        <v>2117</v>
      </c>
      <c r="C466" s="1" t="s">
        <v>2118</v>
      </c>
      <c r="D466" s="1" t="str">
        <f>"0595-48-5116  "</f>
        <v xml:space="preserve">0595-48-5116  </v>
      </c>
    </row>
    <row r="467" spans="1:4" x14ac:dyDescent="0.55000000000000004">
      <c r="A467" s="1">
        <v>2441201155</v>
      </c>
      <c r="B467" s="1" t="s">
        <v>2119</v>
      </c>
      <c r="C467" s="1" t="str">
        <f>"伊賀市上野桑町1521-1"</f>
        <v>伊賀市上野桑町1521-1</v>
      </c>
      <c r="D467" s="1" t="str">
        <f>"0595-41-2255  "</f>
        <v xml:space="preserve">0595-41-2255  </v>
      </c>
    </row>
    <row r="468" spans="1:4" x14ac:dyDescent="0.55000000000000004">
      <c r="A468" s="1">
        <v>2441201189</v>
      </c>
      <c r="B468" s="1" t="s">
        <v>2120</v>
      </c>
      <c r="C468" s="1" t="str">
        <f>"伊賀市ゆめが丘3-1-15"</f>
        <v>伊賀市ゆめが丘3-1-15</v>
      </c>
      <c r="D468" s="1" t="str">
        <f>"0595-48-6652  "</f>
        <v xml:space="preserve">0595-48-6652  </v>
      </c>
    </row>
    <row r="469" spans="1:4" x14ac:dyDescent="0.55000000000000004">
      <c r="A469" s="1">
        <v>2441201197</v>
      </c>
      <c r="B469" s="1" t="s">
        <v>2121</v>
      </c>
      <c r="C469" s="1" t="str">
        <f>"伊賀市下柘植999-5"</f>
        <v>伊賀市下柘植999-5</v>
      </c>
      <c r="D469" s="1" t="str">
        <f>"0595-45-8585  "</f>
        <v xml:space="preserve">0595-45-8585  </v>
      </c>
    </row>
    <row r="470" spans="1:4" x14ac:dyDescent="0.55000000000000004">
      <c r="A470" s="1">
        <v>2441201213</v>
      </c>
      <c r="B470" s="1" t="s">
        <v>2122</v>
      </c>
      <c r="C470" s="1" t="str">
        <f>"伊賀市上之庄1700-1"</f>
        <v>伊賀市上之庄1700-1</v>
      </c>
      <c r="D470" s="1" t="str">
        <f>"0595-26-1193  "</f>
        <v xml:space="preserve">0595-26-1193  </v>
      </c>
    </row>
    <row r="471" spans="1:4" x14ac:dyDescent="0.55000000000000004">
      <c r="A471" s="1">
        <v>2441201221</v>
      </c>
      <c r="B471" s="1" t="s">
        <v>2123</v>
      </c>
      <c r="C471" s="1" t="str">
        <f>"伊賀市服部町1172-10"</f>
        <v>伊賀市服部町1172-10</v>
      </c>
      <c r="D471" s="1" t="str">
        <f>"0595-51-0636  "</f>
        <v xml:space="preserve">0595-51-0636  </v>
      </c>
    </row>
    <row r="472" spans="1:4" x14ac:dyDescent="0.55000000000000004">
      <c r="A472" s="1">
        <v>2441201239</v>
      </c>
      <c r="B472" s="1" t="s">
        <v>1582</v>
      </c>
      <c r="C472" s="1" t="str">
        <f>"伊賀市上野丸之内116-12"</f>
        <v>伊賀市上野丸之内116-12</v>
      </c>
      <c r="D472" s="1" t="str">
        <f>"0595-24-9393  "</f>
        <v xml:space="preserve">0595-24-9393  </v>
      </c>
    </row>
    <row r="473" spans="1:4" x14ac:dyDescent="0.55000000000000004">
      <c r="A473" s="1">
        <v>2441201247</v>
      </c>
      <c r="B473" s="1" t="s">
        <v>2124</v>
      </c>
      <c r="C473" s="1" t="s">
        <v>2125</v>
      </c>
      <c r="D473" s="1" t="str">
        <f>"0595-42-8501  "</f>
        <v xml:space="preserve">0595-42-8501  </v>
      </c>
    </row>
    <row r="474" spans="1:4" x14ac:dyDescent="0.55000000000000004">
      <c r="A474" s="1">
        <v>2441201254</v>
      </c>
      <c r="B474" s="1" t="s">
        <v>2126</v>
      </c>
      <c r="C474" s="1" t="s">
        <v>2127</v>
      </c>
      <c r="D474" s="1" t="str">
        <f>"0595-48-7380  "</f>
        <v xml:space="preserve">0595-48-7380  </v>
      </c>
    </row>
    <row r="475" spans="1:4" x14ac:dyDescent="0.55000000000000004">
      <c r="A475" s="1">
        <v>2441201262</v>
      </c>
      <c r="B475" s="1" t="s">
        <v>2128</v>
      </c>
      <c r="C475" s="1" t="str">
        <f>"伊賀市上野農人町533-1"</f>
        <v>伊賀市上野農人町533-1</v>
      </c>
      <c r="D475" s="1" t="str">
        <f>"0595-41-1130  "</f>
        <v xml:space="preserve">0595-41-1130  </v>
      </c>
    </row>
    <row r="476" spans="1:4" x14ac:dyDescent="0.55000000000000004">
      <c r="A476" s="1">
        <v>2440500573</v>
      </c>
      <c r="B476" s="1" t="s">
        <v>1677</v>
      </c>
      <c r="C476" s="1" t="s">
        <v>3042</v>
      </c>
      <c r="D476" s="1" t="str">
        <f>"059-225-8847  "</f>
        <v xml:space="preserve">059-225-8847  </v>
      </c>
    </row>
    <row r="477" spans="1:4" x14ac:dyDescent="0.55000000000000004">
      <c r="A477" s="1">
        <v>2440500672</v>
      </c>
      <c r="B477" s="1" t="s">
        <v>1678</v>
      </c>
      <c r="C477" s="1" t="str">
        <f>"津市大倉11-14"</f>
        <v>津市大倉11-14</v>
      </c>
      <c r="D477" s="1" t="str">
        <f>"059-227-7088  "</f>
        <v xml:space="preserve">059-227-7088  </v>
      </c>
    </row>
    <row r="478" spans="1:4" x14ac:dyDescent="0.55000000000000004">
      <c r="A478" s="1">
        <v>2440500789</v>
      </c>
      <c r="B478" s="1" t="s">
        <v>1679</v>
      </c>
      <c r="C478" s="1" t="str">
        <f>"津市野田33-5"</f>
        <v>津市野田33-5</v>
      </c>
      <c r="D478" s="1" t="str">
        <f>"059-237-5278  "</f>
        <v xml:space="preserve">059-237-5278  </v>
      </c>
    </row>
    <row r="479" spans="1:4" x14ac:dyDescent="0.55000000000000004">
      <c r="A479" s="1">
        <v>2440501100</v>
      </c>
      <c r="B479" s="1" t="s">
        <v>1683</v>
      </c>
      <c r="C479" s="1" t="str">
        <f>"津市半田1364-20"</f>
        <v>津市半田1364-20</v>
      </c>
      <c r="D479" s="1" t="str">
        <f>"059-221-7070  "</f>
        <v xml:space="preserve">059-221-7070  </v>
      </c>
    </row>
    <row r="480" spans="1:4" x14ac:dyDescent="0.55000000000000004">
      <c r="A480" s="1">
        <v>2440501118</v>
      </c>
      <c r="B480" s="1" t="s">
        <v>1684</v>
      </c>
      <c r="C480" s="1" t="str">
        <f>"津市西丸之内10-1"</f>
        <v>津市西丸之内10-1</v>
      </c>
      <c r="D480" s="1" t="str">
        <f>"059-228-3993  "</f>
        <v xml:space="preserve">059-228-3993  </v>
      </c>
    </row>
    <row r="481" spans="1:4" x14ac:dyDescent="0.55000000000000004">
      <c r="A481" s="1">
        <v>2440501159</v>
      </c>
      <c r="B481" s="1" t="s">
        <v>1685</v>
      </c>
      <c r="C481" s="1" t="str">
        <f>"津市神納60-6"</f>
        <v>津市神納60-6</v>
      </c>
      <c r="D481" s="1" t="str">
        <f>"059-222-5015  "</f>
        <v xml:space="preserve">059-222-5015  </v>
      </c>
    </row>
    <row r="482" spans="1:4" x14ac:dyDescent="0.55000000000000004">
      <c r="A482" s="1">
        <v>2440501167</v>
      </c>
      <c r="B482" s="1" t="s">
        <v>1686</v>
      </c>
      <c r="C482" s="1" t="str">
        <f>"津市長岡町800-286"</f>
        <v>津市長岡町800-286</v>
      </c>
      <c r="D482" s="1" t="str">
        <f>"059-213-3068  "</f>
        <v xml:space="preserve">059-213-3068  </v>
      </c>
    </row>
    <row r="483" spans="1:4" x14ac:dyDescent="0.55000000000000004">
      <c r="A483" s="1">
        <v>2440501266</v>
      </c>
      <c r="B483" s="1" t="s">
        <v>1687</v>
      </c>
      <c r="C483" s="1" t="s">
        <v>3043</v>
      </c>
      <c r="D483" s="1" t="str">
        <f>"059-222-7891  "</f>
        <v xml:space="preserve">059-222-7891  </v>
      </c>
    </row>
    <row r="484" spans="1:4" x14ac:dyDescent="0.55000000000000004">
      <c r="A484" s="1">
        <v>2440501381</v>
      </c>
      <c r="B484" s="1" t="s">
        <v>1682</v>
      </c>
      <c r="C484" s="1" t="str">
        <f>"津市高野尾町1890-78"</f>
        <v>津市高野尾町1890-78</v>
      </c>
      <c r="D484" s="1" t="str">
        <f>"059-230-7077  "</f>
        <v xml:space="preserve">059-230-7077  </v>
      </c>
    </row>
    <row r="485" spans="1:4" x14ac:dyDescent="0.55000000000000004">
      <c r="A485" s="1">
        <v>2440501407</v>
      </c>
      <c r="B485" s="1" t="s">
        <v>1688</v>
      </c>
      <c r="C485" s="1" t="str">
        <f>"津市観音寺町445-15"</f>
        <v>津市観音寺町445-15</v>
      </c>
      <c r="D485" s="1" t="str">
        <f>"059-221-0008  "</f>
        <v xml:space="preserve">059-221-0008  </v>
      </c>
    </row>
    <row r="486" spans="1:4" x14ac:dyDescent="0.55000000000000004">
      <c r="A486" s="1">
        <v>2440501415</v>
      </c>
      <c r="B486" s="1" t="s">
        <v>1689</v>
      </c>
      <c r="C486" s="1" t="s">
        <v>597</v>
      </c>
      <c r="D486" s="1" t="str">
        <f>"059-233-2800  "</f>
        <v xml:space="preserve">059-233-2800  </v>
      </c>
    </row>
    <row r="487" spans="1:4" x14ac:dyDescent="0.55000000000000004">
      <c r="A487" s="1">
        <v>2440501498</v>
      </c>
      <c r="B487" s="1" t="s">
        <v>1690</v>
      </c>
      <c r="C487" s="1" t="s">
        <v>3044</v>
      </c>
      <c r="D487" s="1" t="str">
        <f>"059-255-8880  "</f>
        <v xml:space="preserve">059-255-8880  </v>
      </c>
    </row>
    <row r="488" spans="1:4" x14ac:dyDescent="0.55000000000000004">
      <c r="A488" s="1">
        <v>2440501506</v>
      </c>
      <c r="B488" s="1" t="s">
        <v>1691</v>
      </c>
      <c r="C488" s="1" t="s">
        <v>3045</v>
      </c>
      <c r="D488" s="1" t="str">
        <f>"059-259-0555  "</f>
        <v xml:space="preserve">059-259-0555  </v>
      </c>
    </row>
    <row r="489" spans="1:4" x14ac:dyDescent="0.55000000000000004">
      <c r="A489" s="1">
        <v>2440501548</v>
      </c>
      <c r="B489" s="1" t="s">
        <v>1692</v>
      </c>
      <c r="C489" s="1" t="str">
        <f>"津市久居井戸山町864-6"</f>
        <v>津市久居井戸山町864-6</v>
      </c>
      <c r="D489" s="1" t="str">
        <f>"059-254-1300  "</f>
        <v xml:space="preserve">059-254-1300  </v>
      </c>
    </row>
    <row r="490" spans="1:4" x14ac:dyDescent="0.55000000000000004">
      <c r="A490" s="1">
        <v>2440501555</v>
      </c>
      <c r="B490" s="1" t="s">
        <v>1693</v>
      </c>
      <c r="C490" s="1" t="s">
        <v>3046</v>
      </c>
      <c r="D490" s="1" t="str">
        <f>"059-254-2055  "</f>
        <v xml:space="preserve">059-254-2055  </v>
      </c>
    </row>
    <row r="491" spans="1:4" x14ac:dyDescent="0.55000000000000004">
      <c r="A491" s="1">
        <v>2440501563</v>
      </c>
      <c r="B491" s="1" t="s">
        <v>1694</v>
      </c>
      <c r="C491" s="1" t="str">
        <f>"津市久居野村町314-1"</f>
        <v>津市久居野村町314-1</v>
      </c>
      <c r="D491" s="1" t="str">
        <f>"059-255-0050  "</f>
        <v xml:space="preserve">059-255-0050  </v>
      </c>
    </row>
    <row r="492" spans="1:4" x14ac:dyDescent="0.55000000000000004">
      <c r="A492" s="1">
        <v>2440501571</v>
      </c>
      <c r="B492" s="1" t="s">
        <v>1695</v>
      </c>
      <c r="C492" s="1" t="str">
        <f>"津市久居中町176-2"</f>
        <v>津市久居中町176-2</v>
      </c>
      <c r="D492" s="1" t="str">
        <f>"059-256-4313  "</f>
        <v xml:space="preserve">059-256-4313  </v>
      </c>
    </row>
    <row r="493" spans="1:4" x14ac:dyDescent="0.55000000000000004">
      <c r="A493" s="1">
        <v>2440501621</v>
      </c>
      <c r="B493" s="1" t="s">
        <v>1696</v>
      </c>
      <c r="C493" s="1" t="str">
        <f>"津市河芸町上野3892-6"</f>
        <v>津市河芸町上野3892-6</v>
      </c>
      <c r="D493" s="1" t="str">
        <f>"059-244-0123  "</f>
        <v xml:space="preserve">059-244-0123  </v>
      </c>
    </row>
    <row r="494" spans="1:4" x14ac:dyDescent="0.55000000000000004">
      <c r="A494" s="1">
        <v>2440501688</v>
      </c>
      <c r="B494" s="1" t="s">
        <v>1697</v>
      </c>
      <c r="C494" s="1" t="str">
        <f>"津市河芸町東千里字大橋259-3"</f>
        <v>津市河芸町東千里字大橋259-3</v>
      </c>
      <c r="D494" s="1" t="str">
        <f>"059-244-1155  "</f>
        <v xml:space="preserve">059-244-1155  </v>
      </c>
    </row>
    <row r="495" spans="1:4" x14ac:dyDescent="0.55000000000000004">
      <c r="A495" s="1">
        <v>2440501696</v>
      </c>
      <c r="B495" s="1" t="s">
        <v>1698</v>
      </c>
      <c r="C495" s="1" t="s">
        <v>3047</v>
      </c>
      <c r="D495" s="1" t="str">
        <f>"059-244-2081  "</f>
        <v xml:space="preserve">059-244-2081  </v>
      </c>
    </row>
    <row r="496" spans="1:4" x14ac:dyDescent="0.55000000000000004">
      <c r="A496" s="1">
        <v>2440501704</v>
      </c>
      <c r="B496" s="1" t="s">
        <v>1699</v>
      </c>
      <c r="C496" s="1" t="str">
        <f>"津市芸濃町林356-1"</f>
        <v>津市芸濃町林356-1</v>
      </c>
      <c r="D496" s="1" t="str">
        <f>"059-266-0030  "</f>
        <v xml:space="preserve">059-266-0030  </v>
      </c>
    </row>
    <row r="497" spans="1:4" x14ac:dyDescent="0.55000000000000004">
      <c r="A497" s="1">
        <v>2440501738</v>
      </c>
      <c r="B497" s="1" t="s">
        <v>1700</v>
      </c>
      <c r="C497" s="1" t="str">
        <f>"津市一志町田尻30-1"</f>
        <v>津市一志町田尻30-1</v>
      </c>
      <c r="D497" s="1" t="str">
        <f>"059-293-6355  "</f>
        <v xml:space="preserve">059-293-6355  </v>
      </c>
    </row>
    <row r="498" spans="1:4" x14ac:dyDescent="0.55000000000000004">
      <c r="A498" s="1">
        <v>2440501761</v>
      </c>
      <c r="B498" s="1" t="s">
        <v>1701</v>
      </c>
      <c r="C498" s="1" t="str">
        <f>"津市白山町二本木1139-6"</f>
        <v>津市白山町二本木1139-6</v>
      </c>
      <c r="D498" s="1" t="str">
        <f>"059-264-1113  "</f>
        <v xml:space="preserve">059-264-1113  </v>
      </c>
    </row>
    <row r="499" spans="1:4" x14ac:dyDescent="0.55000000000000004">
      <c r="A499" s="1">
        <v>2440501803</v>
      </c>
      <c r="B499" s="1" t="s">
        <v>1702</v>
      </c>
      <c r="C499" s="1" t="s">
        <v>3048</v>
      </c>
      <c r="D499" s="1" t="str">
        <f>"059-254-1350  "</f>
        <v xml:space="preserve">059-254-1350  </v>
      </c>
    </row>
    <row r="500" spans="1:4" x14ac:dyDescent="0.55000000000000004">
      <c r="A500" s="1">
        <v>2440501845</v>
      </c>
      <c r="B500" s="1" t="s">
        <v>1703</v>
      </c>
      <c r="C500" s="1" t="str">
        <f>"津市芸濃町椋本5069-7"</f>
        <v>津市芸濃町椋本5069-7</v>
      </c>
      <c r="D500" s="1" t="str">
        <f>"059-266-1800  "</f>
        <v xml:space="preserve">059-266-1800  </v>
      </c>
    </row>
    <row r="501" spans="1:4" x14ac:dyDescent="0.55000000000000004">
      <c r="A501" s="1">
        <v>2440501852</v>
      </c>
      <c r="B501" s="1" t="s">
        <v>1704</v>
      </c>
      <c r="C501" s="1" t="str">
        <f>"津市河芸町東千里113-3"</f>
        <v>津市河芸町東千里113-3</v>
      </c>
      <c r="D501" s="1" t="str">
        <f>"059-244-1000  "</f>
        <v xml:space="preserve">059-244-1000  </v>
      </c>
    </row>
    <row r="502" spans="1:4" x14ac:dyDescent="0.55000000000000004">
      <c r="A502" s="1">
        <v>2440501886</v>
      </c>
      <c r="B502" s="1" t="s">
        <v>1705</v>
      </c>
      <c r="C502" s="1" t="s">
        <v>1706</v>
      </c>
      <c r="D502" s="1" t="str">
        <f>"059-254-3700  "</f>
        <v xml:space="preserve">059-254-3700  </v>
      </c>
    </row>
    <row r="503" spans="1:4" x14ac:dyDescent="0.55000000000000004">
      <c r="A503" s="1">
        <v>2440501894</v>
      </c>
      <c r="B503" s="1" t="s">
        <v>1707</v>
      </c>
      <c r="C503" s="1" t="s">
        <v>1708</v>
      </c>
      <c r="D503" s="1" t="str">
        <f>"059-266-1160  "</f>
        <v xml:space="preserve">059-266-1160  </v>
      </c>
    </row>
    <row r="504" spans="1:4" x14ac:dyDescent="0.55000000000000004">
      <c r="A504" s="1">
        <v>2440501910</v>
      </c>
      <c r="B504" s="1" t="s">
        <v>1709</v>
      </c>
      <c r="C504" s="1" t="s">
        <v>1710</v>
      </c>
      <c r="D504" s="1" t="str">
        <f>"059-221-2557  "</f>
        <v xml:space="preserve">059-221-2557  </v>
      </c>
    </row>
    <row r="505" spans="1:4" x14ac:dyDescent="0.55000000000000004">
      <c r="A505" s="1">
        <v>2440501928</v>
      </c>
      <c r="B505" s="1" t="s">
        <v>1711</v>
      </c>
      <c r="C505" s="1" t="s">
        <v>1712</v>
      </c>
      <c r="D505" s="1" t="str">
        <f>"059-213-6951  "</f>
        <v xml:space="preserve">059-213-6951  </v>
      </c>
    </row>
    <row r="506" spans="1:4" x14ac:dyDescent="0.55000000000000004">
      <c r="A506" s="1">
        <v>2440501936</v>
      </c>
      <c r="B506" s="1" t="s">
        <v>1713</v>
      </c>
      <c r="C506" s="1" t="s">
        <v>1714</v>
      </c>
      <c r="D506" s="1" t="str">
        <f>"059-244-2211  "</f>
        <v xml:space="preserve">059-244-2211  </v>
      </c>
    </row>
    <row r="507" spans="1:4" x14ac:dyDescent="0.55000000000000004">
      <c r="A507" s="1">
        <v>2440501944</v>
      </c>
      <c r="B507" s="1" t="s">
        <v>1715</v>
      </c>
      <c r="C507" s="1" t="s">
        <v>1716</v>
      </c>
      <c r="D507" s="1" t="str">
        <f>"059-254-5270  "</f>
        <v xml:space="preserve">059-254-5270  </v>
      </c>
    </row>
    <row r="508" spans="1:4" x14ac:dyDescent="0.55000000000000004">
      <c r="A508" s="1">
        <v>2440501951</v>
      </c>
      <c r="B508" s="1" t="s">
        <v>1717</v>
      </c>
      <c r="C508" s="1" t="str">
        <f>"津市城山1丁目16-31"</f>
        <v>津市城山1丁目16-31</v>
      </c>
      <c r="D508" s="1" t="str">
        <f>"059-238-1545  "</f>
        <v xml:space="preserve">059-238-1545  </v>
      </c>
    </row>
    <row r="509" spans="1:4" x14ac:dyDescent="0.55000000000000004">
      <c r="A509" s="1">
        <v>2440501969</v>
      </c>
      <c r="B509" s="1" t="s">
        <v>1718</v>
      </c>
      <c r="C509" s="1" t="s">
        <v>1719</v>
      </c>
      <c r="D509" s="1" t="str">
        <f>"059-253-3678  "</f>
        <v xml:space="preserve">059-253-3678  </v>
      </c>
    </row>
    <row r="510" spans="1:4" x14ac:dyDescent="0.55000000000000004">
      <c r="A510" s="1">
        <v>2440501977</v>
      </c>
      <c r="B510" s="1" t="s">
        <v>1720</v>
      </c>
      <c r="C510" s="1" t="s">
        <v>1721</v>
      </c>
      <c r="D510" s="1" t="str">
        <f>"059-254-3115  "</f>
        <v xml:space="preserve">059-254-3115  </v>
      </c>
    </row>
    <row r="511" spans="1:4" x14ac:dyDescent="0.55000000000000004">
      <c r="A511" s="1">
        <v>2440501985</v>
      </c>
      <c r="B511" s="1" t="s">
        <v>1722</v>
      </c>
      <c r="C511" s="1" t="s">
        <v>1723</v>
      </c>
      <c r="D511" s="1" t="str">
        <f>"059-236-1105  "</f>
        <v xml:space="preserve">059-236-1105  </v>
      </c>
    </row>
    <row r="512" spans="1:4" x14ac:dyDescent="0.55000000000000004">
      <c r="A512" s="1">
        <v>2440501993</v>
      </c>
      <c r="B512" s="1" t="s">
        <v>1724</v>
      </c>
      <c r="C512" s="1" t="str">
        <f>"津市久居新町611-6"</f>
        <v>津市久居新町611-6</v>
      </c>
      <c r="D512" s="1" t="str">
        <f>"059-256-3365  "</f>
        <v xml:space="preserve">059-256-3365  </v>
      </c>
    </row>
    <row r="513" spans="1:4" x14ac:dyDescent="0.55000000000000004">
      <c r="A513" s="1">
        <v>2440502009</v>
      </c>
      <c r="B513" s="1" t="s">
        <v>1725</v>
      </c>
      <c r="C513" s="1" t="str">
        <f>"津市芸濃町椋本906-6"</f>
        <v>津市芸濃町椋本906-6</v>
      </c>
      <c r="D513" s="1" t="str">
        <f>"059-266-1300  "</f>
        <v xml:space="preserve">059-266-1300  </v>
      </c>
    </row>
    <row r="514" spans="1:4" x14ac:dyDescent="0.55000000000000004">
      <c r="A514" s="1">
        <v>2440502017</v>
      </c>
      <c r="B514" s="1" t="s">
        <v>1726</v>
      </c>
      <c r="C514" s="1" t="str">
        <f>"津市垂水西青谷2871-8"</f>
        <v>津市垂水西青谷2871-8</v>
      </c>
      <c r="D514" s="1" t="str">
        <f>"059-253-6638  "</f>
        <v xml:space="preserve">059-253-6638  </v>
      </c>
    </row>
    <row r="515" spans="1:4" x14ac:dyDescent="0.55000000000000004">
      <c r="A515" s="1">
        <v>2440502025</v>
      </c>
      <c r="B515" s="1" t="s">
        <v>1727</v>
      </c>
      <c r="C515" s="1" t="s">
        <v>1728</v>
      </c>
      <c r="D515" s="1" t="str">
        <f>"059-236-1055  "</f>
        <v xml:space="preserve">059-236-1055  </v>
      </c>
    </row>
    <row r="516" spans="1:4" x14ac:dyDescent="0.55000000000000004">
      <c r="A516" s="1">
        <v>2440502033</v>
      </c>
      <c r="B516" s="1" t="s">
        <v>1729</v>
      </c>
      <c r="C516" s="1" t="str">
        <f>"津市海岸町5-10"</f>
        <v>津市海岸町5-10</v>
      </c>
      <c r="D516" s="1" t="str">
        <f>"059-253-6018  "</f>
        <v xml:space="preserve">059-253-6018  </v>
      </c>
    </row>
    <row r="517" spans="1:4" x14ac:dyDescent="0.55000000000000004">
      <c r="A517" s="1">
        <v>2440502058</v>
      </c>
      <c r="B517" s="1" t="s">
        <v>1730</v>
      </c>
      <c r="C517" s="1" t="s">
        <v>1731</v>
      </c>
      <c r="D517" s="1" t="str">
        <f>"059-266-1170  "</f>
        <v xml:space="preserve">059-266-1170  </v>
      </c>
    </row>
    <row r="518" spans="1:4" x14ac:dyDescent="0.55000000000000004">
      <c r="A518" s="1">
        <v>2440502066</v>
      </c>
      <c r="B518" s="1" t="s">
        <v>1732</v>
      </c>
      <c r="C518" s="1" t="str">
        <f>"津市江戸橋1丁目126-1"</f>
        <v>津市江戸橋1丁目126-1</v>
      </c>
      <c r="D518" s="1" t="str">
        <f>"059-236-3131  "</f>
        <v xml:space="preserve">059-236-3131  </v>
      </c>
    </row>
    <row r="519" spans="1:4" x14ac:dyDescent="0.55000000000000004">
      <c r="A519" s="1">
        <v>2440502074</v>
      </c>
      <c r="B519" s="1" t="s">
        <v>1733</v>
      </c>
      <c r="C519" s="1" t="str">
        <f>"津市久居新町767-27"</f>
        <v>津市久居新町767-27</v>
      </c>
      <c r="D519" s="1" t="str">
        <f>"059-256-5153  "</f>
        <v xml:space="preserve">059-256-5153  </v>
      </c>
    </row>
    <row r="520" spans="1:4" x14ac:dyDescent="0.55000000000000004">
      <c r="A520" s="1">
        <v>2440502082</v>
      </c>
      <c r="B520" s="1" t="s">
        <v>1734</v>
      </c>
      <c r="C520" s="1" t="str">
        <f>"津市新町1丁目10-4"</f>
        <v>津市新町1丁目10-4</v>
      </c>
      <c r="D520" s="1" t="str">
        <f>"059-226-7009  "</f>
        <v xml:space="preserve">059-226-7009  </v>
      </c>
    </row>
    <row r="521" spans="1:4" x14ac:dyDescent="0.55000000000000004">
      <c r="A521" s="1">
        <v>2440502090</v>
      </c>
      <c r="B521" s="1" t="s">
        <v>1681</v>
      </c>
      <c r="C521" s="1" t="str">
        <f>"津市雲出本郷町1904-2"</f>
        <v>津市雲出本郷町1904-2</v>
      </c>
      <c r="D521" s="1" t="str">
        <f>"059-234-9346  "</f>
        <v xml:space="preserve">059-234-9346  </v>
      </c>
    </row>
    <row r="522" spans="1:4" x14ac:dyDescent="0.55000000000000004">
      <c r="A522" s="1">
        <v>2440502108</v>
      </c>
      <c r="B522" s="1" t="s">
        <v>1735</v>
      </c>
      <c r="C522" s="1" t="s">
        <v>3049</v>
      </c>
      <c r="D522" s="1" t="str">
        <f>"059-253-7799  "</f>
        <v xml:space="preserve">059-253-7799  </v>
      </c>
    </row>
    <row r="523" spans="1:4" x14ac:dyDescent="0.55000000000000004">
      <c r="A523" s="1">
        <v>2440502116</v>
      </c>
      <c r="B523" s="1" t="s">
        <v>1680</v>
      </c>
      <c r="C523" s="1" t="str">
        <f>"津市観音寺町799-7"</f>
        <v>津市観音寺町799-7</v>
      </c>
      <c r="D523" s="1" t="str">
        <f>"059-226-0102  "</f>
        <v xml:space="preserve">059-226-0102  </v>
      </c>
    </row>
    <row r="524" spans="1:4" x14ac:dyDescent="0.55000000000000004">
      <c r="A524" s="1">
        <v>2440502124</v>
      </c>
      <c r="B524" s="1" t="s">
        <v>1736</v>
      </c>
      <c r="C524" s="1" t="s">
        <v>3050</v>
      </c>
      <c r="D524" s="1" t="str">
        <f>"059-244-1888  "</f>
        <v xml:space="preserve">059-244-1888  </v>
      </c>
    </row>
    <row r="525" spans="1:4" x14ac:dyDescent="0.55000000000000004">
      <c r="A525" s="1">
        <v>2440502140</v>
      </c>
      <c r="B525" s="1" t="s">
        <v>1737</v>
      </c>
      <c r="C525" s="1" t="str">
        <f>"津市河芸町中別保314-4"</f>
        <v>津市河芸町中別保314-4</v>
      </c>
      <c r="D525" s="1" t="str">
        <f>"059-244-0001  "</f>
        <v xml:space="preserve">059-244-0001  </v>
      </c>
    </row>
    <row r="526" spans="1:4" x14ac:dyDescent="0.55000000000000004">
      <c r="A526" s="1">
        <v>2440502165</v>
      </c>
      <c r="B526" s="1" t="s">
        <v>1738</v>
      </c>
      <c r="C526" s="1" t="s">
        <v>1739</v>
      </c>
      <c r="D526" s="1" t="str">
        <f>"059-255-1911  "</f>
        <v xml:space="preserve">059-255-1911  </v>
      </c>
    </row>
    <row r="527" spans="1:4" x14ac:dyDescent="0.55000000000000004">
      <c r="A527" s="1">
        <v>2440502173</v>
      </c>
      <c r="B527" s="1" t="s">
        <v>1740</v>
      </c>
      <c r="C527" s="1" t="s">
        <v>1741</v>
      </c>
      <c r="D527" s="1" t="str">
        <f>"059-238-1717  "</f>
        <v xml:space="preserve">059-238-1717  </v>
      </c>
    </row>
    <row r="528" spans="1:4" x14ac:dyDescent="0.55000000000000004">
      <c r="A528" s="1">
        <v>2440502181</v>
      </c>
      <c r="B528" s="1" t="s">
        <v>1742</v>
      </c>
      <c r="C528" s="1" t="s">
        <v>1743</v>
      </c>
      <c r="D528" s="1" t="str">
        <f>"059-253-8611  "</f>
        <v xml:space="preserve">059-253-8611  </v>
      </c>
    </row>
    <row r="529" spans="1:4" x14ac:dyDescent="0.55000000000000004">
      <c r="A529" s="1">
        <v>2440502207</v>
      </c>
      <c r="B529" s="1" t="s">
        <v>1744</v>
      </c>
      <c r="C529" s="1" t="str">
        <f>"津市一身田上津部田1337-10"</f>
        <v>津市一身田上津部田1337-10</v>
      </c>
      <c r="D529" s="1" t="str">
        <f>"059-221-0666  "</f>
        <v xml:space="preserve">059-221-0666  </v>
      </c>
    </row>
    <row r="530" spans="1:4" x14ac:dyDescent="0.55000000000000004">
      <c r="A530" s="1">
        <v>2440502215</v>
      </c>
      <c r="B530" s="1" t="s">
        <v>1745</v>
      </c>
      <c r="C530" s="1" t="str">
        <f>"津市河芸町浜田688-8"</f>
        <v>津市河芸町浜田688-8</v>
      </c>
      <c r="D530" s="1" t="str">
        <f>"059-244-0328  "</f>
        <v xml:space="preserve">059-244-0328  </v>
      </c>
    </row>
    <row r="531" spans="1:4" x14ac:dyDescent="0.55000000000000004">
      <c r="A531" s="1">
        <v>2440502223</v>
      </c>
      <c r="B531" s="1" t="s">
        <v>1746</v>
      </c>
      <c r="C531" s="1" t="s">
        <v>3051</v>
      </c>
      <c r="D531" s="1" t="str">
        <f>"059-253-8852  "</f>
        <v xml:space="preserve">059-253-8852  </v>
      </c>
    </row>
    <row r="532" spans="1:4" x14ac:dyDescent="0.55000000000000004">
      <c r="A532" s="1">
        <v>2440502249</v>
      </c>
      <c r="B532" s="1" t="s">
        <v>1747</v>
      </c>
      <c r="C532" s="1" t="str">
        <f>"津市津興2900-1"</f>
        <v>津市津興2900-1</v>
      </c>
      <c r="D532" s="1" t="str">
        <f>"059-222-1202  "</f>
        <v xml:space="preserve">059-222-1202  </v>
      </c>
    </row>
    <row r="533" spans="1:4" x14ac:dyDescent="0.55000000000000004">
      <c r="A533" s="1">
        <v>2440502256</v>
      </c>
      <c r="B533" s="1" t="s">
        <v>1748</v>
      </c>
      <c r="C533" s="1" t="str">
        <f>"津市河芸町西千里275-1"</f>
        <v>津市河芸町西千里275-1</v>
      </c>
      <c r="D533" s="1" t="str">
        <f>"059-244-2006  "</f>
        <v xml:space="preserve">059-244-2006  </v>
      </c>
    </row>
    <row r="534" spans="1:4" x14ac:dyDescent="0.55000000000000004">
      <c r="A534" s="1">
        <v>2440502280</v>
      </c>
      <c r="B534" s="1" t="s">
        <v>1749</v>
      </c>
      <c r="C534" s="1" t="str">
        <f>"津市香良洲町1874-4"</f>
        <v>津市香良洲町1874-4</v>
      </c>
      <c r="D534" s="1" t="str">
        <f>"059-292-7011  "</f>
        <v xml:space="preserve">059-292-7011  </v>
      </c>
    </row>
    <row r="535" spans="1:4" x14ac:dyDescent="0.55000000000000004">
      <c r="A535" s="1">
        <v>2440502348</v>
      </c>
      <c r="B535" s="1" t="s">
        <v>1750</v>
      </c>
      <c r="C535" s="1" t="str">
        <f>"津市三重町津興433-228"</f>
        <v>津市三重町津興433-228</v>
      </c>
      <c r="D535" s="1" t="str">
        <f>"059-273-5880  "</f>
        <v xml:space="preserve">059-273-5880  </v>
      </c>
    </row>
    <row r="536" spans="1:4" x14ac:dyDescent="0.55000000000000004">
      <c r="A536" s="1">
        <v>2440502355</v>
      </c>
      <c r="B536" s="1" t="s">
        <v>1751</v>
      </c>
      <c r="C536" s="1" t="s">
        <v>1752</v>
      </c>
      <c r="D536" s="1" t="str">
        <f>"059-261-4167  "</f>
        <v xml:space="preserve">059-261-4167  </v>
      </c>
    </row>
    <row r="537" spans="1:4" x14ac:dyDescent="0.55000000000000004">
      <c r="A537" s="1">
        <v>2440502363</v>
      </c>
      <c r="B537" s="1" t="s">
        <v>1753</v>
      </c>
      <c r="C537" s="1" t="str">
        <f>"津市津興字四ツ辻2913-4"</f>
        <v>津市津興字四ツ辻2913-4</v>
      </c>
      <c r="D537" s="1" t="str">
        <f>"059-253-6870  "</f>
        <v xml:space="preserve">059-253-6870  </v>
      </c>
    </row>
    <row r="538" spans="1:4" x14ac:dyDescent="0.55000000000000004">
      <c r="A538" s="1">
        <v>2440502389</v>
      </c>
      <c r="B538" s="1" t="s">
        <v>1754</v>
      </c>
      <c r="C538" s="1" t="str">
        <f>"津市修成町1-19"</f>
        <v>津市修成町1-19</v>
      </c>
      <c r="D538" s="1" t="str">
        <f>"059-225-0202  "</f>
        <v xml:space="preserve">059-225-0202  </v>
      </c>
    </row>
    <row r="539" spans="1:4" x14ac:dyDescent="0.55000000000000004">
      <c r="A539" s="1">
        <v>2440502397</v>
      </c>
      <c r="B539" s="1" t="s">
        <v>1755</v>
      </c>
      <c r="C539" s="1" t="str">
        <f>"津市片田志袋町487-4"</f>
        <v>津市片田志袋町487-4</v>
      </c>
      <c r="D539" s="1" t="str">
        <f>"059-239-1212  "</f>
        <v xml:space="preserve">059-239-1212  </v>
      </c>
    </row>
    <row r="540" spans="1:4" x14ac:dyDescent="0.55000000000000004">
      <c r="A540" s="1">
        <v>2440502405</v>
      </c>
      <c r="B540" s="1" t="s">
        <v>1756</v>
      </c>
      <c r="C540" s="1" t="str">
        <f>"津市東丸之内21-7"</f>
        <v>津市東丸之内21-7</v>
      </c>
      <c r="D540" s="1" t="str">
        <f>"059-253-8815  "</f>
        <v xml:space="preserve">059-253-8815  </v>
      </c>
    </row>
    <row r="541" spans="1:4" x14ac:dyDescent="0.55000000000000004">
      <c r="A541" s="1">
        <v>2440502421</v>
      </c>
      <c r="B541" s="1" t="s">
        <v>1757</v>
      </c>
      <c r="C541" s="1" t="s">
        <v>3052</v>
      </c>
      <c r="D541" s="1" t="str">
        <f>"059-272-4013  "</f>
        <v xml:space="preserve">059-272-4013  </v>
      </c>
    </row>
    <row r="542" spans="1:4" x14ac:dyDescent="0.55000000000000004">
      <c r="A542" s="1">
        <v>2440502454</v>
      </c>
      <c r="B542" s="1" t="s">
        <v>1758</v>
      </c>
      <c r="C542" s="1" t="s">
        <v>3053</v>
      </c>
      <c r="D542" s="1" t="str">
        <f>"059-221-6281  "</f>
        <v xml:space="preserve">059-221-6281  </v>
      </c>
    </row>
    <row r="543" spans="1:4" x14ac:dyDescent="0.55000000000000004">
      <c r="A543" s="1">
        <v>2440502488</v>
      </c>
      <c r="B543" s="1" t="s">
        <v>1759</v>
      </c>
      <c r="C543" s="1" t="str">
        <f>"津市高野尾町633-105"</f>
        <v>津市高野尾町633-105</v>
      </c>
      <c r="D543" s="1" t="str">
        <f>"059-253-7411  "</f>
        <v xml:space="preserve">059-253-7411  </v>
      </c>
    </row>
    <row r="544" spans="1:4" x14ac:dyDescent="0.55000000000000004">
      <c r="A544" s="1">
        <v>2440502496</v>
      </c>
      <c r="B544" s="1" t="s">
        <v>1760</v>
      </c>
      <c r="C544" s="1" t="str">
        <f>"津市上浜町5-58"</f>
        <v>津市上浜町5-58</v>
      </c>
      <c r="D544" s="1" t="str">
        <f>"059-269-7010  "</f>
        <v xml:space="preserve">059-269-7010  </v>
      </c>
    </row>
    <row r="545" spans="1:4" x14ac:dyDescent="0.55000000000000004">
      <c r="A545" s="1">
        <v>2440502504</v>
      </c>
      <c r="B545" s="1" t="s">
        <v>1761</v>
      </c>
      <c r="C545" s="1" t="str">
        <f>"津市久居中町263-1"</f>
        <v>津市久居中町263-1</v>
      </c>
      <c r="D545" s="1" t="str">
        <f>"059-254-1016  "</f>
        <v xml:space="preserve">059-254-1016  </v>
      </c>
    </row>
    <row r="546" spans="1:4" x14ac:dyDescent="0.55000000000000004">
      <c r="A546" s="1">
        <v>2440502512</v>
      </c>
      <c r="B546" s="1" t="s">
        <v>1762</v>
      </c>
      <c r="C546" s="1" t="str">
        <f>"津市河芸町東千里27-2"</f>
        <v>津市河芸町東千里27-2</v>
      </c>
      <c r="D546" s="1" t="str">
        <f>"059-245-2701  "</f>
        <v xml:space="preserve">059-245-2701  </v>
      </c>
    </row>
    <row r="547" spans="1:4" x14ac:dyDescent="0.55000000000000004">
      <c r="A547" s="1">
        <v>2440502520</v>
      </c>
      <c r="B547" s="1" t="s">
        <v>1763</v>
      </c>
      <c r="C547" s="1" t="str">
        <f>"津市城山3-4-26"</f>
        <v>津市城山3-4-26</v>
      </c>
      <c r="D547" s="1" t="str">
        <f>"059-253-2800  "</f>
        <v xml:space="preserve">059-253-2800  </v>
      </c>
    </row>
    <row r="548" spans="1:4" x14ac:dyDescent="0.55000000000000004">
      <c r="A548" s="1">
        <v>2440502538</v>
      </c>
      <c r="B548" s="1" t="s">
        <v>1676</v>
      </c>
      <c r="C548" s="1" t="str">
        <f>"津市渋見町630-28"</f>
        <v>津市渋見町630-28</v>
      </c>
      <c r="D548" s="1" t="str">
        <f>"059-225-7761  "</f>
        <v xml:space="preserve">059-225-7761  </v>
      </c>
    </row>
    <row r="549" spans="1:4" x14ac:dyDescent="0.55000000000000004">
      <c r="A549" s="1">
        <v>2440502546</v>
      </c>
      <c r="B549" s="1" t="s">
        <v>1764</v>
      </c>
      <c r="C549" s="1" t="str">
        <f>"津市寿町16-34"</f>
        <v>津市寿町16-34</v>
      </c>
      <c r="D549" s="1" t="str">
        <f>"059-213-3555  "</f>
        <v xml:space="preserve">059-213-3555  </v>
      </c>
    </row>
    <row r="550" spans="1:4" x14ac:dyDescent="0.55000000000000004">
      <c r="A550" s="1">
        <v>2440502553</v>
      </c>
      <c r="B550" s="1" t="s">
        <v>1765</v>
      </c>
      <c r="C550" s="1" t="str">
        <f>"津市高茶屋5丁目11-46"</f>
        <v>津市高茶屋5丁目11-46</v>
      </c>
      <c r="D550" s="1" t="str">
        <f>"059-238-0010  "</f>
        <v xml:space="preserve">059-238-0010  </v>
      </c>
    </row>
    <row r="551" spans="1:4" x14ac:dyDescent="0.55000000000000004">
      <c r="A551" s="1">
        <v>2440502561</v>
      </c>
      <c r="B551" s="1" t="s">
        <v>1766</v>
      </c>
      <c r="C551" s="1" t="str">
        <f>"津市白塚町3385-1　平和ビル102号"</f>
        <v>津市白塚町3385-1　平和ビル102号</v>
      </c>
      <c r="D551" s="1" t="str">
        <f>"059-273-6450  "</f>
        <v xml:space="preserve">059-273-6450  </v>
      </c>
    </row>
    <row r="552" spans="1:4" x14ac:dyDescent="0.55000000000000004">
      <c r="A552" s="1">
        <v>2440502579</v>
      </c>
      <c r="B552" s="1" t="s">
        <v>1767</v>
      </c>
      <c r="C552" s="1" t="str">
        <f>"津市高茶屋小森町1812-3"</f>
        <v>津市高茶屋小森町1812-3</v>
      </c>
      <c r="D552" s="1" t="str">
        <f>"059-238-0180  "</f>
        <v xml:space="preserve">059-238-0180  </v>
      </c>
    </row>
    <row r="553" spans="1:4" x14ac:dyDescent="0.55000000000000004">
      <c r="A553" s="1">
        <v>2440502587</v>
      </c>
      <c r="B553" s="1" t="s">
        <v>1768</v>
      </c>
      <c r="C553" s="1" t="s">
        <v>1769</v>
      </c>
      <c r="D553" s="1" t="str">
        <f>"059-253-7220  "</f>
        <v xml:space="preserve">059-253-7220  </v>
      </c>
    </row>
    <row r="554" spans="1:4" x14ac:dyDescent="0.55000000000000004">
      <c r="A554" s="1">
        <v>2440502595</v>
      </c>
      <c r="B554" s="1" t="s">
        <v>1770</v>
      </c>
      <c r="C554" s="1" t="str">
        <f>"津市一身田上津部田1578-7"</f>
        <v>津市一身田上津部田1578-7</v>
      </c>
      <c r="D554" s="1" t="str">
        <f>"059-253-1173  "</f>
        <v xml:space="preserve">059-253-1173  </v>
      </c>
    </row>
    <row r="555" spans="1:4" x14ac:dyDescent="0.55000000000000004">
      <c r="A555" s="1">
        <v>2440502603</v>
      </c>
      <c r="B555" s="1" t="s">
        <v>1771</v>
      </c>
      <c r="C555" s="1" t="s">
        <v>1772</v>
      </c>
      <c r="D555" s="1" t="str">
        <f>"059-253-2033  "</f>
        <v xml:space="preserve">059-253-2033  </v>
      </c>
    </row>
    <row r="556" spans="1:4" x14ac:dyDescent="0.55000000000000004">
      <c r="A556" s="1">
        <v>2440502611</v>
      </c>
      <c r="B556" s="1" t="s">
        <v>1773</v>
      </c>
      <c r="C556" s="1" t="str">
        <f>"津市久居藤ケ丘町2598-9"</f>
        <v>津市久居藤ケ丘町2598-9</v>
      </c>
      <c r="D556" s="1" t="str">
        <f>"059-253-1618  "</f>
        <v xml:space="preserve">059-253-1618  </v>
      </c>
    </row>
    <row r="557" spans="1:4" x14ac:dyDescent="0.55000000000000004">
      <c r="A557" s="1">
        <v>2440502629</v>
      </c>
      <c r="B557" s="1" t="s">
        <v>1774</v>
      </c>
      <c r="C557" s="1" t="s">
        <v>1775</v>
      </c>
      <c r="D557" s="1" t="str">
        <f>"059-238-5220  "</f>
        <v xml:space="preserve">059-238-5220  </v>
      </c>
    </row>
    <row r="558" spans="1:4" x14ac:dyDescent="0.55000000000000004">
      <c r="A558" s="1">
        <v>2440502637</v>
      </c>
      <c r="B558" s="1" t="s">
        <v>1776</v>
      </c>
      <c r="C558" s="1" t="str">
        <f>"津市藤方35-1"</f>
        <v>津市藤方35-1</v>
      </c>
      <c r="D558" s="1" t="str">
        <f>"059-269-7775  "</f>
        <v xml:space="preserve">059-269-7775  </v>
      </c>
    </row>
    <row r="559" spans="1:4" x14ac:dyDescent="0.55000000000000004">
      <c r="A559" s="1">
        <v>2440502645</v>
      </c>
      <c r="B559" s="1" t="s">
        <v>1777</v>
      </c>
      <c r="C559" s="1" t="str">
        <f>"津市久居明神町2327-1"</f>
        <v>津市久居明神町2327-1</v>
      </c>
      <c r="D559" s="1" t="str">
        <f>"059-253-2650  "</f>
        <v xml:space="preserve">059-253-2650  </v>
      </c>
    </row>
    <row r="560" spans="1:4" x14ac:dyDescent="0.55000000000000004">
      <c r="A560" s="1">
        <v>2440502652</v>
      </c>
      <c r="B560" s="1" t="s">
        <v>1778</v>
      </c>
      <c r="C560" s="1" t="str">
        <f>"津市城山1丁目24-13"</f>
        <v>津市城山1丁目24-13</v>
      </c>
      <c r="D560" s="1" t="str">
        <f>"059-235-1193  "</f>
        <v xml:space="preserve">059-235-1193  </v>
      </c>
    </row>
    <row r="561" spans="1:4" x14ac:dyDescent="0.55000000000000004">
      <c r="A561" s="1">
        <v>2440502660</v>
      </c>
      <c r="B561" s="1" t="s">
        <v>1779</v>
      </c>
      <c r="C561" s="1" t="s">
        <v>3054</v>
      </c>
      <c r="D561" s="1" t="str">
        <f>"059-222-1193  "</f>
        <v xml:space="preserve">059-222-1193  </v>
      </c>
    </row>
    <row r="562" spans="1:4" x14ac:dyDescent="0.55000000000000004">
      <c r="A562" s="1">
        <v>2440502678</v>
      </c>
      <c r="B562" s="1" t="s">
        <v>1780</v>
      </c>
      <c r="C562" s="1" t="s">
        <v>1781</v>
      </c>
      <c r="D562" s="1" t="str">
        <f>"059-254-1193  "</f>
        <v xml:space="preserve">059-254-1193  </v>
      </c>
    </row>
    <row r="563" spans="1:4" x14ac:dyDescent="0.55000000000000004">
      <c r="A563" s="1">
        <v>2440502686</v>
      </c>
      <c r="B563" s="1" t="s">
        <v>1782</v>
      </c>
      <c r="C563" s="1" t="str">
        <f>"津市安濃町川西字藤が森51-7"</f>
        <v>津市安濃町川西字藤が森51-7</v>
      </c>
      <c r="D563" s="1" t="str">
        <f>"059-268-4193  "</f>
        <v xml:space="preserve">059-268-4193  </v>
      </c>
    </row>
    <row r="564" spans="1:4" x14ac:dyDescent="0.55000000000000004">
      <c r="A564" s="1">
        <v>2440502694</v>
      </c>
      <c r="B564" s="1" t="s">
        <v>1783</v>
      </c>
      <c r="C564" s="1" t="s">
        <v>3055</v>
      </c>
      <c r="D564" s="1" t="str">
        <f>"059-264-1193  "</f>
        <v xml:space="preserve">059-264-1193  </v>
      </c>
    </row>
    <row r="565" spans="1:4" x14ac:dyDescent="0.55000000000000004">
      <c r="A565" s="1">
        <v>2440502702</v>
      </c>
      <c r="B565" s="1" t="s">
        <v>1784</v>
      </c>
      <c r="C565" s="1" t="s">
        <v>3056</v>
      </c>
      <c r="D565" s="1" t="str">
        <f>"059-213-9341  "</f>
        <v xml:space="preserve">059-213-9341  </v>
      </c>
    </row>
    <row r="566" spans="1:4" x14ac:dyDescent="0.55000000000000004">
      <c r="A566" s="1">
        <v>2440502710</v>
      </c>
      <c r="B566" s="1" t="s">
        <v>1785</v>
      </c>
      <c r="C566" s="1" t="s">
        <v>3057</v>
      </c>
      <c r="D566" s="1" t="str">
        <f>"059-213-9311  "</f>
        <v xml:space="preserve">059-213-9311  </v>
      </c>
    </row>
    <row r="567" spans="1:4" x14ac:dyDescent="0.55000000000000004">
      <c r="A567" s="1">
        <v>2440502728</v>
      </c>
      <c r="B567" s="1" t="s">
        <v>1786</v>
      </c>
      <c r="C567" s="1" t="s">
        <v>1787</v>
      </c>
      <c r="D567" s="1" t="str">
        <f>"059-253-2888  "</f>
        <v xml:space="preserve">059-253-2888  </v>
      </c>
    </row>
    <row r="568" spans="1:4" x14ac:dyDescent="0.55000000000000004">
      <c r="A568" s="1">
        <v>2440502736</v>
      </c>
      <c r="B568" s="1" t="s">
        <v>1788</v>
      </c>
      <c r="C568" s="1" t="str">
        <f>"津市安東町404-5"</f>
        <v>津市安東町404-5</v>
      </c>
      <c r="D568" s="1" t="str">
        <f>"059-224-8511  "</f>
        <v xml:space="preserve">059-224-8511  </v>
      </c>
    </row>
    <row r="569" spans="1:4" x14ac:dyDescent="0.55000000000000004">
      <c r="A569" s="1">
        <v>2440502744</v>
      </c>
      <c r="B569" s="1" t="s">
        <v>1789</v>
      </c>
      <c r="C569" s="1" t="str">
        <f>"津市広明町371-101"</f>
        <v>津市広明町371-101</v>
      </c>
      <c r="D569" s="1" t="str">
        <f>"080-4845-2020 "</f>
        <v xml:space="preserve">080-4845-2020 </v>
      </c>
    </row>
    <row r="570" spans="1:4" x14ac:dyDescent="0.55000000000000004">
      <c r="A570" s="1">
        <v>2440502769</v>
      </c>
      <c r="B570" s="1" t="s">
        <v>1790</v>
      </c>
      <c r="C570" s="1" t="str">
        <f>"津市藤方15-1"</f>
        <v>津市藤方15-1</v>
      </c>
      <c r="D570" s="1" t="str">
        <f>"059-238-1288  "</f>
        <v xml:space="preserve">059-238-1288  </v>
      </c>
    </row>
    <row r="571" spans="1:4" x14ac:dyDescent="0.55000000000000004">
      <c r="A571" s="1">
        <v>2440502777</v>
      </c>
      <c r="B571" s="1" t="s">
        <v>1791</v>
      </c>
      <c r="C571" s="1" t="s">
        <v>3058</v>
      </c>
      <c r="D571" s="1" t="str">
        <f>"059-236-1193  "</f>
        <v xml:space="preserve">059-236-1193  </v>
      </c>
    </row>
    <row r="572" spans="1:4" x14ac:dyDescent="0.55000000000000004">
      <c r="A572" s="1">
        <v>2440502785</v>
      </c>
      <c r="B572" s="1" t="s">
        <v>1792</v>
      </c>
      <c r="C572" s="1" t="str">
        <f>"津市一志町日置字西貝鍋5-1"</f>
        <v>津市一志町日置字西貝鍋5-1</v>
      </c>
      <c r="D572" s="1" t="str">
        <f>"059-295-1678  "</f>
        <v xml:space="preserve">059-295-1678  </v>
      </c>
    </row>
    <row r="573" spans="1:4" x14ac:dyDescent="0.55000000000000004">
      <c r="A573" s="1">
        <v>2440502793</v>
      </c>
      <c r="B573" s="1" t="s">
        <v>1793</v>
      </c>
      <c r="C573" s="1" t="s">
        <v>1794</v>
      </c>
      <c r="D573" s="1" t="str">
        <f>"059-253-8122  "</f>
        <v xml:space="preserve">059-253-8122  </v>
      </c>
    </row>
    <row r="574" spans="1:4" x14ac:dyDescent="0.55000000000000004">
      <c r="A574" s="1">
        <v>2440502801</v>
      </c>
      <c r="B574" s="1" t="s">
        <v>1795</v>
      </c>
      <c r="C574" s="1" t="s">
        <v>3059</v>
      </c>
      <c r="D574" s="1" t="str">
        <f>"059-253-2278  "</f>
        <v xml:space="preserve">059-253-2278  </v>
      </c>
    </row>
    <row r="575" spans="1:4" x14ac:dyDescent="0.55000000000000004">
      <c r="A575" s="1">
        <v>2440502819</v>
      </c>
      <c r="B575" s="1" t="s">
        <v>1349</v>
      </c>
      <c r="C575" s="1" t="s">
        <v>3060</v>
      </c>
      <c r="D575" s="1" t="str">
        <f>"059-271-7725  "</f>
        <v xml:space="preserve">059-271-7725  </v>
      </c>
    </row>
    <row r="576" spans="1:4" x14ac:dyDescent="0.55000000000000004">
      <c r="A576" s="1">
        <v>2440502827</v>
      </c>
      <c r="B576" s="1" t="s">
        <v>1796</v>
      </c>
      <c r="C576" s="1" t="str">
        <f>"津市久居新町2115-72"</f>
        <v>津市久居新町2115-72</v>
      </c>
      <c r="D576" s="1" t="str">
        <f>"059-269-6821  "</f>
        <v xml:space="preserve">059-269-6821  </v>
      </c>
    </row>
    <row r="577" spans="1:4" x14ac:dyDescent="0.55000000000000004">
      <c r="A577" s="1">
        <v>2440502850</v>
      </c>
      <c r="B577" s="1" t="s">
        <v>1797</v>
      </c>
      <c r="C577" s="1" t="str">
        <f>"津市中央４－１１橋本ビル１０１"</f>
        <v>津市中央４－１１橋本ビル１０１</v>
      </c>
      <c r="D577" s="1" t="str">
        <f>"059-221-0800  "</f>
        <v xml:space="preserve">059-221-0800  </v>
      </c>
    </row>
    <row r="578" spans="1:4" x14ac:dyDescent="0.55000000000000004">
      <c r="A578" s="1">
        <v>2440502884</v>
      </c>
      <c r="B578" s="1" t="s">
        <v>1798</v>
      </c>
      <c r="C578" s="1" t="s">
        <v>3061</v>
      </c>
      <c r="D578" s="1" t="str">
        <f>"059-253-6830  "</f>
        <v xml:space="preserve">059-253-6830  </v>
      </c>
    </row>
    <row r="579" spans="1:4" x14ac:dyDescent="0.55000000000000004">
      <c r="A579" s="1">
        <v>2440502892</v>
      </c>
      <c r="B579" s="1" t="s">
        <v>1799</v>
      </c>
      <c r="C579" s="1" t="s">
        <v>3062</v>
      </c>
      <c r="D579" s="1" t="str">
        <f>"059-293-1190  "</f>
        <v xml:space="preserve">059-293-1190  </v>
      </c>
    </row>
    <row r="580" spans="1:4" x14ac:dyDescent="0.55000000000000004">
      <c r="A580" s="1">
        <v>2440502918</v>
      </c>
      <c r="B580" s="1" t="s">
        <v>1800</v>
      </c>
      <c r="C580" s="1" t="s">
        <v>1801</v>
      </c>
      <c r="D580" s="1" t="str">
        <f>"059-253-2851  "</f>
        <v xml:space="preserve">059-253-2851  </v>
      </c>
    </row>
    <row r="581" spans="1:4" x14ac:dyDescent="0.55000000000000004">
      <c r="A581" s="1">
        <v>2440502926</v>
      </c>
      <c r="B581" s="1" t="s">
        <v>1802</v>
      </c>
      <c r="C581" s="1" t="str">
        <f>"津市久居小野辺町1130－7"</f>
        <v>津市久居小野辺町1130－7</v>
      </c>
      <c r="D581" s="1" t="str">
        <f>"059-253-8243  "</f>
        <v xml:space="preserve">059-253-8243  </v>
      </c>
    </row>
    <row r="582" spans="1:4" x14ac:dyDescent="0.55000000000000004">
      <c r="A582" s="1">
        <v>2440502934</v>
      </c>
      <c r="B582" s="1" t="s">
        <v>1803</v>
      </c>
      <c r="C582" s="1" t="str">
        <f>"津市江戸橋１－152－2"</f>
        <v>津市江戸橋１－152－2</v>
      </c>
      <c r="D582" s="1" t="str">
        <f>"059-233-3410  "</f>
        <v xml:space="preserve">059-233-3410  </v>
      </c>
    </row>
    <row r="583" spans="1:4" x14ac:dyDescent="0.55000000000000004">
      <c r="A583" s="1">
        <v>2440502942</v>
      </c>
      <c r="B583" s="1" t="s">
        <v>1804</v>
      </c>
      <c r="C583" s="1" t="s">
        <v>1805</v>
      </c>
      <c r="D583" s="1" t="str">
        <f>"059-227-5756  "</f>
        <v xml:space="preserve">059-227-5756  </v>
      </c>
    </row>
    <row r="584" spans="1:4" x14ac:dyDescent="0.55000000000000004">
      <c r="A584" s="1">
        <v>2440502959</v>
      </c>
      <c r="B584" s="1" t="s">
        <v>1806</v>
      </c>
      <c r="C584" s="1" t="s">
        <v>1807</v>
      </c>
      <c r="D584" s="1" t="str">
        <f>"059-213-9031  "</f>
        <v xml:space="preserve">059-213-9031  </v>
      </c>
    </row>
    <row r="585" spans="1:4" x14ac:dyDescent="0.55000000000000004">
      <c r="A585" s="1">
        <v>2440502967</v>
      </c>
      <c r="B585" s="1" t="s">
        <v>1808</v>
      </c>
      <c r="C585" s="1" t="str">
        <f>"津市一身田町484-3"</f>
        <v>津市一身田町484-3</v>
      </c>
      <c r="D585" s="1" t="str">
        <f>"059-236-7755  "</f>
        <v xml:space="preserve">059-236-7755  </v>
      </c>
    </row>
    <row r="586" spans="1:4" x14ac:dyDescent="0.55000000000000004">
      <c r="A586" s="1">
        <v>2440502975</v>
      </c>
      <c r="B586" s="1" t="s">
        <v>1809</v>
      </c>
      <c r="C586" s="1" t="s">
        <v>1810</v>
      </c>
      <c r="D586" s="1" t="str">
        <f>"059-222-5366  "</f>
        <v xml:space="preserve">059-222-5366  </v>
      </c>
    </row>
    <row r="587" spans="1:4" x14ac:dyDescent="0.55000000000000004">
      <c r="A587" s="1">
        <v>2440502983</v>
      </c>
      <c r="B587" s="1" t="s">
        <v>1811</v>
      </c>
      <c r="C587" s="1" t="str">
        <f>"津市寿町19-11"</f>
        <v>津市寿町19-11</v>
      </c>
      <c r="D587" s="1" t="str">
        <f>"059-253-7580  "</f>
        <v xml:space="preserve">059-253-7580  </v>
      </c>
    </row>
    <row r="588" spans="1:4" x14ac:dyDescent="0.55000000000000004">
      <c r="A588" s="1">
        <v>2440502991</v>
      </c>
      <c r="B588" s="1" t="s">
        <v>1812</v>
      </c>
      <c r="C588" s="1" t="s">
        <v>1813</v>
      </c>
      <c r="D588" s="1" t="str">
        <f>"059-253-7636  "</f>
        <v xml:space="preserve">059-253-7636  </v>
      </c>
    </row>
    <row r="589" spans="1:4" x14ac:dyDescent="0.55000000000000004">
      <c r="A589" s="1">
        <v>2440503007</v>
      </c>
      <c r="B589" s="1" t="s">
        <v>1814</v>
      </c>
      <c r="C589" s="1" t="s">
        <v>1815</v>
      </c>
      <c r="D589" s="1" t="str">
        <f>"059-227-0147  "</f>
        <v xml:space="preserve">059-227-0147  </v>
      </c>
    </row>
    <row r="590" spans="1:4" x14ac:dyDescent="0.55000000000000004">
      <c r="A590" s="1">
        <v>2440503015</v>
      </c>
      <c r="B590" s="1" t="s">
        <v>1816</v>
      </c>
      <c r="C590" s="1" t="str">
        <f>"津市新町二丁目11-18"</f>
        <v>津市新町二丁目11-18</v>
      </c>
      <c r="D590" s="1" t="str">
        <f>"059-264-7882  "</f>
        <v xml:space="preserve">059-264-7882  </v>
      </c>
    </row>
    <row r="591" spans="1:4" x14ac:dyDescent="0.55000000000000004">
      <c r="A591" s="1">
        <v>2440503023</v>
      </c>
      <c r="B591" s="1" t="s">
        <v>1817</v>
      </c>
      <c r="C591" s="1" t="str">
        <f>"津市半田字平木209-1"</f>
        <v>津市半田字平木209-1</v>
      </c>
      <c r="D591" s="1" t="str">
        <f>"059-269-7780  "</f>
        <v xml:space="preserve">059-269-7780  </v>
      </c>
    </row>
    <row r="592" spans="1:4" x14ac:dyDescent="0.55000000000000004">
      <c r="A592" s="1">
        <v>2440503031</v>
      </c>
      <c r="B592" s="1" t="s">
        <v>1818</v>
      </c>
      <c r="C592" s="1" t="s">
        <v>1819</v>
      </c>
      <c r="D592" s="1" t="str">
        <f>"0595-233-4193 "</f>
        <v xml:space="preserve">0595-233-4193 </v>
      </c>
    </row>
    <row r="593" spans="1:4" x14ac:dyDescent="0.55000000000000004">
      <c r="A593" s="1">
        <v>2440503049</v>
      </c>
      <c r="B593" s="1" t="s">
        <v>1820</v>
      </c>
      <c r="C593" s="1" t="s">
        <v>1821</v>
      </c>
      <c r="D593" s="1" t="str">
        <f>"059-253-7522  "</f>
        <v xml:space="preserve">059-253-7522  </v>
      </c>
    </row>
    <row r="594" spans="1:4" x14ac:dyDescent="0.55000000000000004">
      <c r="A594" s="1">
        <v>2440503056</v>
      </c>
      <c r="B594" s="1" t="s">
        <v>1822</v>
      </c>
      <c r="C594" s="1" t="str">
        <f>"津市久居野村町514-3"</f>
        <v>津市久居野村町514-3</v>
      </c>
      <c r="D594" s="1" t="str">
        <f>"059-271-8456  "</f>
        <v xml:space="preserve">059-271-8456  </v>
      </c>
    </row>
    <row r="595" spans="1:4" x14ac:dyDescent="0.55000000000000004">
      <c r="A595" s="1">
        <v>2440503064</v>
      </c>
      <c r="B595" s="1" t="s">
        <v>1823</v>
      </c>
      <c r="C595" s="1" t="s">
        <v>1824</v>
      </c>
      <c r="D595" s="1" t="str">
        <f>"059-271-8110  "</f>
        <v xml:space="preserve">059-271-8110  </v>
      </c>
    </row>
    <row r="596" spans="1:4" x14ac:dyDescent="0.55000000000000004">
      <c r="A596" s="1">
        <v>2440503072</v>
      </c>
      <c r="B596" s="1" t="s">
        <v>1825</v>
      </c>
      <c r="C596" s="1" t="str">
        <f>"津市一身田上津部田1413-11"</f>
        <v>津市一身田上津部田1413-11</v>
      </c>
      <c r="D596" s="1" t="str">
        <f>"059-253-8522  "</f>
        <v xml:space="preserve">059-253-8522  </v>
      </c>
    </row>
    <row r="597" spans="1:4" x14ac:dyDescent="0.55000000000000004">
      <c r="A597" s="1">
        <v>2440503080</v>
      </c>
      <c r="B597" s="1" t="s">
        <v>1826</v>
      </c>
      <c r="C597" s="1" t="s">
        <v>1827</v>
      </c>
      <c r="D597" s="1" t="str">
        <f>"059-213-8866  "</f>
        <v xml:space="preserve">059-213-8866  </v>
      </c>
    </row>
    <row r="598" spans="1:4" x14ac:dyDescent="0.55000000000000004">
      <c r="A598" s="1">
        <v>2440503098</v>
      </c>
      <c r="B598" s="1" t="s">
        <v>1828</v>
      </c>
      <c r="C598" s="1" t="str">
        <f>"津市栄町1丁目857-4"</f>
        <v>津市栄町1丁目857-4</v>
      </c>
      <c r="D598" s="1" t="str">
        <f>"059-221-2100  "</f>
        <v xml:space="preserve">059-221-2100  </v>
      </c>
    </row>
    <row r="599" spans="1:4" x14ac:dyDescent="0.55000000000000004">
      <c r="A599" s="1">
        <v>2440503106</v>
      </c>
      <c r="B599" s="1" t="s">
        <v>1829</v>
      </c>
      <c r="C599" s="1" t="str">
        <f>"津市江戸橋1-113"</f>
        <v>津市江戸橋1-113</v>
      </c>
      <c r="D599" s="1" t="str">
        <f>"059-231-1134  "</f>
        <v xml:space="preserve">059-231-1134  </v>
      </c>
    </row>
    <row r="600" spans="1:4" x14ac:dyDescent="0.55000000000000004">
      <c r="A600" s="1">
        <v>2440503114</v>
      </c>
      <c r="B600" s="1" t="s">
        <v>1830</v>
      </c>
      <c r="C600" s="1" t="str">
        <f>"津市久居明神町字風早2093-1"</f>
        <v>津市久居明神町字風早2093-1</v>
      </c>
      <c r="D600" s="1" t="str">
        <f>"059-256-6717  "</f>
        <v xml:space="preserve">059-256-6717  </v>
      </c>
    </row>
    <row r="601" spans="1:4" x14ac:dyDescent="0.55000000000000004">
      <c r="A601" s="1">
        <v>2440503122</v>
      </c>
      <c r="B601" s="1" t="s">
        <v>1831</v>
      </c>
      <c r="C601" s="1" t="s">
        <v>1832</v>
      </c>
      <c r="D601" s="1" t="str">
        <f>"059-223-1193  "</f>
        <v xml:space="preserve">059-223-1193  </v>
      </c>
    </row>
    <row r="602" spans="1:4" x14ac:dyDescent="0.55000000000000004">
      <c r="A602" s="1">
        <v>2440503130</v>
      </c>
      <c r="B602" s="1" t="s">
        <v>1833</v>
      </c>
      <c r="C602" s="1" t="s">
        <v>1834</v>
      </c>
      <c r="D602" s="1" t="str">
        <f>"059-264-7737  "</f>
        <v xml:space="preserve">059-264-7737  </v>
      </c>
    </row>
    <row r="603" spans="1:4" x14ac:dyDescent="0.55000000000000004">
      <c r="A603" s="1">
        <v>2440503148</v>
      </c>
      <c r="B603" s="1" t="s">
        <v>1835</v>
      </c>
      <c r="C603" s="1" t="s">
        <v>1836</v>
      </c>
      <c r="D603" s="1" t="str">
        <f>"059-254-3701  "</f>
        <v xml:space="preserve">059-254-3701  </v>
      </c>
    </row>
    <row r="604" spans="1:4" x14ac:dyDescent="0.55000000000000004">
      <c r="A604" s="1">
        <v>2440503155</v>
      </c>
      <c r="B604" s="1" t="s">
        <v>1837</v>
      </c>
      <c r="C604" s="1" t="str">
        <f>"津市一志町小山字鳥居ノ本529-6"</f>
        <v>津市一志町小山字鳥居ノ本529-6</v>
      </c>
      <c r="D604" s="1" t="str">
        <f>"059-295-1031  "</f>
        <v xml:space="preserve">059-295-1031  </v>
      </c>
    </row>
    <row r="605" spans="1:4" x14ac:dyDescent="0.55000000000000004">
      <c r="A605" s="1">
        <v>2440503163</v>
      </c>
      <c r="B605" s="1" t="s">
        <v>1838</v>
      </c>
      <c r="C605" s="1" t="str">
        <f>"津市栗真中山町249-6"</f>
        <v>津市栗真中山町249-6</v>
      </c>
      <c r="D605" s="1" t="str">
        <f>"059-236-4489  "</f>
        <v xml:space="preserve">059-236-4489  </v>
      </c>
    </row>
    <row r="606" spans="1:4" x14ac:dyDescent="0.55000000000000004">
      <c r="A606" s="1">
        <v>2440503171</v>
      </c>
      <c r="B606" s="1" t="s">
        <v>1839</v>
      </c>
      <c r="C606" s="1" t="str">
        <f>"津市久居明神町1200-2"</f>
        <v>津市久居明神町1200-2</v>
      </c>
      <c r="D606" s="1" t="str">
        <f>"059-271-5830  "</f>
        <v xml:space="preserve">059-271-5830  </v>
      </c>
    </row>
    <row r="607" spans="1:4" x14ac:dyDescent="0.55000000000000004">
      <c r="A607" s="1">
        <v>2440503189</v>
      </c>
      <c r="B607" s="1" t="s">
        <v>1840</v>
      </c>
      <c r="C607" s="1" t="str">
        <f>"津市白塚町3702-3"</f>
        <v>津市白塚町3702-3</v>
      </c>
      <c r="D607" s="1" t="str">
        <f>"059-253-7718  "</f>
        <v xml:space="preserve">059-253-7718  </v>
      </c>
    </row>
    <row r="608" spans="1:4" x14ac:dyDescent="0.55000000000000004">
      <c r="A608" s="1">
        <v>2440503197</v>
      </c>
      <c r="B608" s="1" t="s">
        <v>1841</v>
      </c>
      <c r="C608" s="1" t="s">
        <v>1842</v>
      </c>
      <c r="D608" s="1" t="str">
        <f>"059-271-9480  "</f>
        <v xml:space="preserve">059-271-9480  </v>
      </c>
    </row>
    <row r="609" spans="1:4" x14ac:dyDescent="0.55000000000000004">
      <c r="A609" s="1">
        <v>2440503205</v>
      </c>
      <c r="B609" s="1" t="s">
        <v>1843</v>
      </c>
      <c r="C609" s="1" t="str">
        <f>"津市一志町田尻592-13"</f>
        <v>津市一志町田尻592-13</v>
      </c>
      <c r="D609" s="1" t="str">
        <f>"059-264-7170  "</f>
        <v xml:space="preserve">059-264-7170  </v>
      </c>
    </row>
    <row r="610" spans="1:4" x14ac:dyDescent="0.55000000000000004">
      <c r="A610" s="1">
        <v>2440700025</v>
      </c>
      <c r="B610" s="1" t="s">
        <v>1844</v>
      </c>
      <c r="C610" s="1" t="s">
        <v>3063</v>
      </c>
      <c r="D610" s="1" t="str">
        <f>"0598-21-0274  "</f>
        <v xml:space="preserve">0598-21-0274  </v>
      </c>
    </row>
    <row r="611" spans="1:4" x14ac:dyDescent="0.55000000000000004">
      <c r="A611" s="1">
        <v>2440700108</v>
      </c>
      <c r="B611" s="1" t="s">
        <v>1845</v>
      </c>
      <c r="C611" s="1" t="s">
        <v>3064</v>
      </c>
      <c r="D611" s="1" t="str">
        <f>"0598-21-0531  "</f>
        <v xml:space="preserve">0598-21-0531  </v>
      </c>
    </row>
    <row r="612" spans="1:4" x14ac:dyDescent="0.55000000000000004">
      <c r="A612" s="1">
        <v>2440700124</v>
      </c>
      <c r="B612" s="1" t="s">
        <v>1846</v>
      </c>
      <c r="C612" s="1" t="s">
        <v>3065</v>
      </c>
      <c r="D612" s="1" t="str">
        <f>"0598-21-0934  "</f>
        <v xml:space="preserve">0598-21-0934  </v>
      </c>
    </row>
    <row r="613" spans="1:4" x14ac:dyDescent="0.55000000000000004">
      <c r="A613" s="1">
        <v>2440700280</v>
      </c>
      <c r="B613" s="1" t="s">
        <v>1848</v>
      </c>
      <c r="C613" s="1" t="s">
        <v>3066</v>
      </c>
      <c r="D613" s="1" t="str">
        <f>"0598-23-7227  "</f>
        <v xml:space="preserve">0598-23-7227  </v>
      </c>
    </row>
    <row r="614" spans="1:4" x14ac:dyDescent="0.55000000000000004">
      <c r="A614" s="1">
        <v>2440700330</v>
      </c>
      <c r="B614" s="1" t="s">
        <v>1849</v>
      </c>
      <c r="C614" s="1" t="s">
        <v>3067</v>
      </c>
      <c r="D614" s="1" t="str">
        <f>"0598-21-0092  "</f>
        <v xml:space="preserve">0598-21-0092  </v>
      </c>
    </row>
    <row r="615" spans="1:4" x14ac:dyDescent="0.55000000000000004">
      <c r="A615" s="1">
        <v>2440700371</v>
      </c>
      <c r="B615" s="1" t="s">
        <v>1850</v>
      </c>
      <c r="C615" s="1" t="str">
        <f>"松阪市立野町474-1"</f>
        <v>松阪市立野町474-1</v>
      </c>
      <c r="D615" s="1" t="str">
        <f>"0598-26-6189  "</f>
        <v xml:space="preserve">0598-26-6189  </v>
      </c>
    </row>
    <row r="616" spans="1:4" x14ac:dyDescent="0.55000000000000004">
      <c r="A616" s="1">
        <v>2440700439</v>
      </c>
      <c r="B616" s="1" t="s">
        <v>1852</v>
      </c>
      <c r="C616" s="1" t="s">
        <v>3068</v>
      </c>
      <c r="D616" s="1" t="str">
        <f>"0598-21-0520  "</f>
        <v xml:space="preserve">0598-21-0520  </v>
      </c>
    </row>
    <row r="617" spans="1:4" x14ac:dyDescent="0.55000000000000004">
      <c r="A617" s="1">
        <v>2440700447</v>
      </c>
      <c r="B617" s="1" t="s">
        <v>1853</v>
      </c>
      <c r="C617" s="1" t="str">
        <f>"松阪市小阿坂町192-4"</f>
        <v>松阪市小阿坂町192-4</v>
      </c>
      <c r="D617" s="1" t="str">
        <f>"0598-58-0360  "</f>
        <v xml:space="preserve">0598-58-0360  </v>
      </c>
    </row>
    <row r="618" spans="1:4" x14ac:dyDescent="0.55000000000000004">
      <c r="A618" s="1">
        <v>2440700470</v>
      </c>
      <c r="B618" s="1" t="s">
        <v>1854</v>
      </c>
      <c r="C618" s="1" t="s">
        <v>3069</v>
      </c>
      <c r="D618" s="1" t="str">
        <f>"0598-21-2241  "</f>
        <v xml:space="preserve">0598-21-2241  </v>
      </c>
    </row>
    <row r="619" spans="1:4" x14ac:dyDescent="0.55000000000000004">
      <c r="A619" s="1">
        <v>2440700488</v>
      </c>
      <c r="B619" s="1" t="s">
        <v>1855</v>
      </c>
      <c r="C619" s="1" t="s">
        <v>3070</v>
      </c>
      <c r="D619" s="1" t="str">
        <f>"0598-51-3445  "</f>
        <v xml:space="preserve">0598-51-3445  </v>
      </c>
    </row>
    <row r="620" spans="1:4" x14ac:dyDescent="0.55000000000000004">
      <c r="A620" s="1">
        <v>2440700629</v>
      </c>
      <c r="B620" s="1" t="s">
        <v>1857</v>
      </c>
      <c r="C620" s="1" t="str">
        <f>"松阪市宮町141-7"</f>
        <v>松阪市宮町141-7</v>
      </c>
      <c r="D620" s="1" t="str">
        <f>"0598-51-3306  "</f>
        <v xml:space="preserve">0598-51-3306  </v>
      </c>
    </row>
    <row r="621" spans="1:4" x14ac:dyDescent="0.55000000000000004">
      <c r="A621" s="1">
        <v>2440700645</v>
      </c>
      <c r="B621" s="1" t="s">
        <v>1858</v>
      </c>
      <c r="C621" s="1" t="str">
        <f>"松阪市殿町1580-1"</f>
        <v>松阪市殿町1580-1</v>
      </c>
      <c r="D621" s="1" t="str">
        <f>"0598-22-2355  "</f>
        <v xml:space="preserve">0598-22-2355  </v>
      </c>
    </row>
    <row r="622" spans="1:4" x14ac:dyDescent="0.55000000000000004">
      <c r="A622" s="1">
        <v>2440700694</v>
      </c>
      <c r="B622" s="1" t="s">
        <v>1859</v>
      </c>
      <c r="C622" s="1" t="str">
        <f>"松阪市南町上石川239-1"</f>
        <v>松阪市南町上石川239-1</v>
      </c>
      <c r="D622" s="1" t="str">
        <f>"0598-21-5549  "</f>
        <v xml:space="preserve">0598-21-5549  </v>
      </c>
    </row>
    <row r="623" spans="1:4" x14ac:dyDescent="0.55000000000000004">
      <c r="A623" s="1">
        <v>2440700769</v>
      </c>
      <c r="B623" s="1" t="s">
        <v>1860</v>
      </c>
      <c r="C623" s="1" t="s">
        <v>1861</v>
      </c>
      <c r="D623" s="1" t="str">
        <f>"0598-52-5111  "</f>
        <v xml:space="preserve">0598-52-5111  </v>
      </c>
    </row>
    <row r="624" spans="1:4" x14ac:dyDescent="0.55000000000000004">
      <c r="A624" s="1">
        <v>2440700801</v>
      </c>
      <c r="B624" s="1" t="s">
        <v>1862</v>
      </c>
      <c r="C624" s="1" t="s">
        <v>3071</v>
      </c>
      <c r="D624" s="1" t="str">
        <f>"0598-51-0132  "</f>
        <v xml:space="preserve">0598-51-0132  </v>
      </c>
    </row>
    <row r="625" spans="1:4" x14ac:dyDescent="0.55000000000000004">
      <c r="A625" s="1">
        <v>2440700835</v>
      </c>
      <c r="B625" s="1" t="s">
        <v>1856</v>
      </c>
      <c r="C625" s="1" t="str">
        <f>"松阪市大足町671-4"</f>
        <v>松阪市大足町671-4</v>
      </c>
      <c r="D625" s="1" t="str">
        <f>"0598-23-0515  "</f>
        <v xml:space="preserve">0598-23-0515  </v>
      </c>
    </row>
    <row r="626" spans="1:4" x14ac:dyDescent="0.55000000000000004">
      <c r="A626" s="1">
        <v>2440700868</v>
      </c>
      <c r="B626" s="1" t="s">
        <v>1863</v>
      </c>
      <c r="C626" s="1" t="str">
        <f>"松阪市宝塚町1508-1"</f>
        <v>松阪市宝塚町1508-1</v>
      </c>
      <c r="D626" s="1" t="str">
        <f>"0598-25-6677  "</f>
        <v xml:space="preserve">0598-25-6677  </v>
      </c>
    </row>
    <row r="627" spans="1:4" x14ac:dyDescent="0.55000000000000004">
      <c r="A627" s="1">
        <v>2440700892</v>
      </c>
      <c r="B627" s="1" t="s">
        <v>1864</v>
      </c>
      <c r="C627" s="1" t="str">
        <f>"松阪市大河内町字大垣戸772-3"</f>
        <v>松阪市大河内町字大垣戸772-3</v>
      </c>
      <c r="D627" s="1" t="str">
        <f>"0598-36-8811  "</f>
        <v xml:space="preserve">0598-36-8811  </v>
      </c>
    </row>
    <row r="628" spans="1:4" x14ac:dyDescent="0.55000000000000004">
      <c r="A628" s="1">
        <v>2440700926</v>
      </c>
      <c r="B628" s="1" t="s">
        <v>1865</v>
      </c>
      <c r="C628" s="1" t="str">
        <f>"松阪市川井町字小望185-2"</f>
        <v>松阪市川井町字小望185-2</v>
      </c>
      <c r="D628" s="1" t="str">
        <f>"0598-25-6333  "</f>
        <v xml:space="preserve">0598-25-6333  </v>
      </c>
    </row>
    <row r="629" spans="1:4" x14ac:dyDescent="0.55000000000000004">
      <c r="A629" s="1">
        <v>2440700942</v>
      </c>
      <c r="B629" s="1" t="s">
        <v>1867</v>
      </c>
      <c r="C629" s="1" t="str">
        <f>"松阪市下村町564-4"</f>
        <v>松阪市下村町564-4</v>
      </c>
      <c r="D629" s="1" t="str">
        <f>"0598-60-1117  "</f>
        <v xml:space="preserve">0598-60-1117  </v>
      </c>
    </row>
    <row r="630" spans="1:4" x14ac:dyDescent="0.55000000000000004">
      <c r="A630" s="1">
        <v>2440700959</v>
      </c>
      <c r="B630" s="1" t="s">
        <v>1868</v>
      </c>
      <c r="C630" s="1" t="str">
        <f>"松阪市朝日町1区10-27"</f>
        <v>松阪市朝日町1区10-27</v>
      </c>
      <c r="D630" s="1" t="str">
        <f>"0598-50-3433  "</f>
        <v xml:space="preserve">0598-50-3433  </v>
      </c>
    </row>
    <row r="631" spans="1:4" x14ac:dyDescent="0.55000000000000004">
      <c r="A631" s="1">
        <v>2440700967</v>
      </c>
      <c r="B631" s="1" t="s">
        <v>1869</v>
      </c>
      <c r="C631" s="1" t="s">
        <v>3072</v>
      </c>
      <c r="D631" s="1" t="str">
        <f>"0598-21-0016  "</f>
        <v xml:space="preserve">0598-21-0016  </v>
      </c>
    </row>
    <row r="632" spans="1:4" x14ac:dyDescent="0.55000000000000004">
      <c r="A632" s="1">
        <v>2440700983</v>
      </c>
      <c r="B632" s="1" t="s">
        <v>1870</v>
      </c>
      <c r="C632" s="1" t="str">
        <f>"松阪市大口町字西155-1"</f>
        <v>松阪市大口町字西155-1</v>
      </c>
      <c r="D632" s="1" t="str">
        <f>"0598-50-0278  "</f>
        <v xml:space="preserve">0598-50-0278  </v>
      </c>
    </row>
    <row r="633" spans="1:4" x14ac:dyDescent="0.55000000000000004">
      <c r="A633" s="1">
        <v>2440700991</v>
      </c>
      <c r="B633" s="1" t="s">
        <v>1871</v>
      </c>
      <c r="C633" s="1" t="s">
        <v>1872</v>
      </c>
      <c r="D633" s="1" t="str">
        <f>"0598-42-4987  "</f>
        <v xml:space="preserve">0598-42-4987  </v>
      </c>
    </row>
    <row r="634" spans="1:4" x14ac:dyDescent="0.55000000000000004">
      <c r="A634" s="1">
        <v>2440701049</v>
      </c>
      <c r="B634" s="1" t="s">
        <v>1873</v>
      </c>
      <c r="C634" s="1" t="s">
        <v>3073</v>
      </c>
      <c r="D634" s="1" t="str">
        <f>"0598-48-2266  "</f>
        <v xml:space="preserve">0598-48-2266  </v>
      </c>
    </row>
    <row r="635" spans="1:4" x14ac:dyDescent="0.55000000000000004">
      <c r="A635" s="1">
        <v>2440701056</v>
      </c>
      <c r="B635" s="1" t="s">
        <v>1874</v>
      </c>
      <c r="C635" s="1" t="s">
        <v>3074</v>
      </c>
      <c r="D635" s="1" t="str">
        <f>"0598-42-2218  "</f>
        <v xml:space="preserve">0598-42-2218  </v>
      </c>
    </row>
    <row r="636" spans="1:4" x14ac:dyDescent="0.55000000000000004">
      <c r="A636" s="1">
        <v>2440701072</v>
      </c>
      <c r="B636" s="1" t="s">
        <v>1875</v>
      </c>
      <c r="C636" s="1" t="s">
        <v>3075</v>
      </c>
      <c r="D636" s="1" t="str">
        <f>"0598-32-2250  "</f>
        <v xml:space="preserve">0598-32-2250  </v>
      </c>
    </row>
    <row r="637" spans="1:4" x14ac:dyDescent="0.55000000000000004">
      <c r="A637" s="1">
        <v>2440701080</v>
      </c>
      <c r="B637" s="1" t="s">
        <v>1876</v>
      </c>
      <c r="C637" s="1" t="s">
        <v>3076</v>
      </c>
      <c r="D637" s="1" t="str">
        <f>"0598-46-0035  "</f>
        <v xml:space="preserve">0598-46-0035  </v>
      </c>
    </row>
    <row r="638" spans="1:4" x14ac:dyDescent="0.55000000000000004">
      <c r="A638" s="1">
        <v>2440701098</v>
      </c>
      <c r="B638" s="1" t="s">
        <v>1877</v>
      </c>
      <c r="C638" s="1" t="str">
        <f>"松阪市鎌田町217-16"</f>
        <v>松阪市鎌田町217-16</v>
      </c>
      <c r="D638" s="1" t="str">
        <f>"0598-50-0038  "</f>
        <v xml:space="preserve">0598-50-0038  </v>
      </c>
    </row>
    <row r="639" spans="1:4" x14ac:dyDescent="0.55000000000000004">
      <c r="A639" s="1">
        <v>2440701106</v>
      </c>
      <c r="B639" s="1" t="s">
        <v>1878</v>
      </c>
      <c r="C639" s="1" t="str">
        <f>"松阪市駅部田町753-1"</f>
        <v>松阪市駅部田町753-1</v>
      </c>
      <c r="D639" s="1" t="str">
        <f>"0598-25-4193  "</f>
        <v xml:space="preserve">0598-25-4193  </v>
      </c>
    </row>
    <row r="640" spans="1:4" x14ac:dyDescent="0.55000000000000004">
      <c r="A640" s="1">
        <v>2440701148</v>
      </c>
      <c r="B640" s="1" t="s">
        <v>1879</v>
      </c>
      <c r="C640" s="1" t="str">
        <f>"松阪市嬉野町1424-1"</f>
        <v>松阪市嬉野町1424-1</v>
      </c>
      <c r="D640" s="1" t="str">
        <f>"0598-42-7726  "</f>
        <v xml:space="preserve">0598-42-7726  </v>
      </c>
    </row>
    <row r="641" spans="1:4" x14ac:dyDescent="0.55000000000000004">
      <c r="A641" s="1">
        <v>2440701171</v>
      </c>
      <c r="B641" s="1" t="s">
        <v>1880</v>
      </c>
      <c r="C641" s="1" t="str">
        <f>"松阪市下村町1843-8"</f>
        <v>松阪市下村町1843-8</v>
      </c>
      <c r="D641" s="1" t="str">
        <f>"0598-60-1106  "</f>
        <v xml:space="preserve">0598-60-1106  </v>
      </c>
    </row>
    <row r="642" spans="1:4" x14ac:dyDescent="0.55000000000000004">
      <c r="A642" s="1">
        <v>2440701213</v>
      </c>
      <c r="B642" s="1" t="s">
        <v>1881</v>
      </c>
      <c r="C642" s="1" t="str">
        <f>"松阪市五反田町3丁目1371-11"</f>
        <v>松阪市五反田町3丁目1371-11</v>
      </c>
      <c r="D642" s="1" t="str">
        <f>"0598-25-6161  "</f>
        <v xml:space="preserve">0598-25-6161  </v>
      </c>
    </row>
    <row r="643" spans="1:4" x14ac:dyDescent="0.55000000000000004">
      <c r="A643" s="1">
        <v>2440701221</v>
      </c>
      <c r="B643" s="1" t="s">
        <v>1847</v>
      </c>
      <c r="C643" s="1" t="s">
        <v>3077</v>
      </c>
      <c r="D643" s="1" t="str">
        <f>"0598-59-0007  "</f>
        <v xml:space="preserve">0598-59-0007  </v>
      </c>
    </row>
    <row r="644" spans="1:4" x14ac:dyDescent="0.55000000000000004">
      <c r="A644" s="1">
        <v>2440701247</v>
      </c>
      <c r="B644" s="1" t="s">
        <v>1882</v>
      </c>
      <c r="C644" s="1" t="s">
        <v>1883</v>
      </c>
      <c r="D644" s="1" t="str">
        <f>"0598-48-1100  "</f>
        <v xml:space="preserve">0598-48-1100  </v>
      </c>
    </row>
    <row r="645" spans="1:4" x14ac:dyDescent="0.55000000000000004">
      <c r="A645" s="1">
        <v>2440701254</v>
      </c>
      <c r="B645" s="1" t="s">
        <v>1866</v>
      </c>
      <c r="C645" s="1" t="str">
        <f>"松阪市田村町235-1"</f>
        <v>松阪市田村町235-1</v>
      </c>
      <c r="D645" s="1" t="str">
        <f>"0598-25-5666  "</f>
        <v xml:space="preserve">0598-25-5666  </v>
      </c>
    </row>
    <row r="646" spans="1:4" x14ac:dyDescent="0.55000000000000004">
      <c r="A646" s="1">
        <v>2440701262</v>
      </c>
      <c r="B646" s="1" t="s">
        <v>1884</v>
      </c>
      <c r="C646" s="1" t="s">
        <v>1885</v>
      </c>
      <c r="D646" s="1" t="str">
        <f>"0598-50-1372  "</f>
        <v xml:space="preserve">0598-50-1372  </v>
      </c>
    </row>
    <row r="647" spans="1:4" x14ac:dyDescent="0.55000000000000004">
      <c r="A647" s="1">
        <v>2440701288</v>
      </c>
      <c r="B647" s="1" t="s">
        <v>1886</v>
      </c>
      <c r="C647" s="1" t="str">
        <f>"松阪市若葉町486-2"</f>
        <v>松阪市若葉町486-2</v>
      </c>
      <c r="D647" s="1" t="str">
        <f>"0598-20-8444  "</f>
        <v xml:space="preserve">0598-20-8444  </v>
      </c>
    </row>
    <row r="648" spans="1:4" x14ac:dyDescent="0.55000000000000004">
      <c r="A648" s="1">
        <v>2440701312</v>
      </c>
      <c r="B648" s="1" t="s">
        <v>1851</v>
      </c>
      <c r="C648" s="1" t="s">
        <v>3078</v>
      </c>
      <c r="D648" s="1" t="str">
        <f>"0598-51-9123  "</f>
        <v xml:space="preserve">0598-51-9123  </v>
      </c>
    </row>
    <row r="649" spans="1:4" x14ac:dyDescent="0.55000000000000004">
      <c r="A649" s="1">
        <v>2440701320</v>
      </c>
      <c r="B649" s="1" t="s">
        <v>1887</v>
      </c>
      <c r="C649" s="1" t="s">
        <v>1888</v>
      </c>
      <c r="D649" s="1" t="str">
        <f>"0598-60-2117  "</f>
        <v xml:space="preserve">0598-60-2117  </v>
      </c>
    </row>
    <row r="650" spans="1:4" x14ac:dyDescent="0.55000000000000004">
      <c r="A650" s="1">
        <v>2440701338</v>
      </c>
      <c r="B650" s="1" t="s">
        <v>1889</v>
      </c>
      <c r="C650" s="1" t="s">
        <v>1890</v>
      </c>
      <c r="D650" s="1" t="str">
        <f>"0598-25-6991  "</f>
        <v xml:space="preserve">0598-25-6991  </v>
      </c>
    </row>
    <row r="651" spans="1:4" x14ac:dyDescent="0.55000000000000004">
      <c r="A651" s="1">
        <v>2440701346</v>
      </c>
      <c r="B651" s="1" t="s">
        <v>1891</v>
      </c>
      <c r="C651" s="1" t="str">
        <f>"松阪市小津町253-3"</f>
        <v>松阪市小津町253-3</v>
      </c>
      <c r="D651" s="1" t="str">
        <f>"0598-56-6300  "</f>
        <v xml:space="preserve">0598-56-6300  </v>
      </c>
    </row>
    <row r="652" spans="1:4" x14ac:dyDescent="0.55000000000000004">
      <c r="A652" s="1">
        <v>2440701353</v>
      </c>
      <c r="B652" s="1" t="s">
        <v>1892</v>
      </c>
      <c r="C652" s="1" t="str">
        <f>"松阪市曽原町811-1-2"</f>
        <v>松阪市曽原町811-1-2</v>
      </c>
      <c r="D652" s="1" t="str">
        <f>"0598-56-9966  "</f>
        <v xml:space="preserve">0598-56-9966  </v>
      </c>
    </row>
    <row r="653" spans="1:4" x14ac:dyDescent="0.55000000000000004">
      <c r="A653" s="1">
        <v>2440701403</v>
      </c>
      <c r="B653" s="1" t="s">
        <v>1893</v>
      </c>
      <c r="C653" s="1" t="s">
        <v>1894</v>
      </c>
      <c r="D653" s="1" t="str">
        <f>"0598-25-3232  "</f>
        <v xml:space="preserve">0598-25-3232  </v>
      </c>
    </row>
    <row r="654" spans="1:4" x14ac:dyDescent="0.55000000000000004">
      <c r="A654" s="1">
        <v>2440701445</v>
      </c>
      <c r="B654" s="1" t="s">
        <v>1895</v>
      </c>
      <c r="C654" s="1" t="str">
        <f>"松阪市伊勢寺町481-6"</f>
        <v>松阪市伊勢寺町481-6</v>
      </c>
      <c r="D654" s="1" t="str">
        <f>"0598-58-3245  "</f>
        <v xml:space="preserve">0598-58-3245  </v>
      </c>
    </row>
    <row r="655" spans="1:4" x14ac:dyDescent="0.55000000000000004">
      <c r="A655" s="1">
        <v>2440701452</v>
      </c>
      <c r="B655" s="1" t="s">
        <v>1896</v>
      </c>
      <c r="C655" s="1" t="str">
        <f>"松阪市豊原町295-18"</f>
        <v>松阪市豊原町295-18</v>
      </c>
      <c r="D655" s="1" t="str">
        <f>"0598-61-1477  "</f>
        <v xml:space="preserve">0598-61-1477  </v>
      </c>
    </row>
    <row r="656" spans="1:4" x14ac:dyDescent="0.55000000000000004">
      <c r="A656" s="1">
        <v>2440701460</v>
      </c>
      <c r="B656" s="1" t="s">
        <v>1897</v>
      </c>
      <c r="C656" s="1" t="s">
        <v>3079</v>
      </c>
      <c r="D656" s="1" t="str">
        <f>"0598-20-8855  "</f>
        <v xml:space="preserve">0598-20-8855  </v>
      </c>
    </row>
    <row r="657" spans="1:4" x14ac:dyDescent="0.55000000000000004">
      <c r="A657" s="1">
        <v>2440701494</v>
      </c>
      <c r="B657" s="1" t="s">
        <v>1898</v>
      </c>
      <c r="C657" s="1" t="str">
        <f>"松阪市田村町444-4"</f>
        <v>松阪市田村町444-4</v>
      </c>
      <c r="D657" s="1" t="str">
        <f>"0598-31-2830  "</f>
        <v xml:space="preserve">0598-31-2830  </v>
      </c>
    </row>
    <row r="658" spans="1:4" x14ac:dyDescent="0.55000000000000004">
      <c r="A658" s="1">
        <v>2440701510</v>
      </c>
      <c r="B658" s="1" t="s">
        <v>1899</v>
      </c>
      <c r="C658" s="1" t="str">
        <f>"松阪市朝日町一区10-24"</f>
        <v>松阪市朝日町一区10-24</v>
      </c>
      <c r="D658" s="1" t="str">
        <f>"0598-50-0233  "</f>
        <v xml:space="preserve">0598-50-0233  </v>
      </c>
    </row>
    <row r="659" spans="1:4" x14ac:dyDescent="0.55000000000000004">
      <c r="A659" s="1">
        <v>2440701528</v>
      </c>
      <c r="B659" s="1" t="s">
        <v>1349</v>
      </c>
      <c r="C659" s="1" t="s">
        <v>3080</v>
      </c>
      <c r="D659" s="1" t="str">
        <f>"0598-25-3300  "</f>
        <v xml:space="preserve">0598-25-3300  </v>
      </c>
    </row>
    <row r="660" spans="1:4" x14ac:dyDescent="0.55000000000000004">
      <c r="A660" s="1">
        <v>2440701536</v>
      </c>
      <c r="B660" s="1" t="s">
        <v>1900</v>
      </c>
      <c r="C660" s="1" t="s">
        <v>3081</v>
      </c>
      <c r="D660" s="1" t="str">
        <f>"0598-29-4567  "</f>
        <v xml:space="preserve">0598-29-4567  </v>
      </c>
    </row>
    <row r="661" spans="1:4" x14ac:dyDescent="0.55000000000000004">
      <c r="A661" s="1">
        <v>2440701544</v>
      </c>
      <c r="B661" s="1" t="s">
        <v>1901</v>
      </c>
      <c r="C661" s="1" t="str">
        <f>"松阪市目田町字門327-6"</f>
        <v>松阪市目田町字門327-6</v>
      </c>
      <c r="D661" s="1" t="str">
        <f>"0598-61-2223  "</f>
        <v xml:space="preserve">0598-61-2223  </v>
      </c>
    </row>
    <row r="662" spans="1:4" x14ac:dyDescent="0.55000000000000004">
      <c r="A662" s="1">
        <v>2440701551</v>
      </c>
      <c r="B662" s="1" t="s">
        <v>1902</v>
      </c>
      <c r="C662" s="1" t="str">
        <f>"松阪市垣鼻町1761-23"</f>
        <v>松阪市垣鼻町1761-23</v>
      </c>
      <c r="D662" s="1" t="str">
        <f>"0598-67-0998  "</f>
        <v xml:space="preserve">0598-67-0998  </v>
      </c>
    </row>
    <row r="663" spans="1:4" x14ac:dyDescent="0.55000000000000004">
      <c r="A663" s="1">
        <v>2440701569</v>
      </c>
      <c r="B663" s="1" t="s">
        <v>1903</v>
      </c>
      <c r="C663" s="1" t="s">
        <v>3082</v>
      </c>
      <c r="D663" s="1" t="str">
        <f>"0598-30-5547  "</f>
        <v xml:space="preserve">0598-30-5547  </v>
      </c>
    </row>
    <row r="664" spans="1:4" x14ac:dyDescent="0.55000000000000004">
      <c r="A664" s="1">
        <v>2440701577</v>
      </c>
      <c r="B664" s="1" t="s">
        <v>1904</v>
      </c>
      <c r="C664" s="1" t="str">
        <f>"松阪市射和町305-1"</f>
        <v>松阪市射和町305-1</v>
      </c>
      <c r="D664" s="1" t="str">
        <f>"0598-30-4600  "</f>
        <v xml:space="preserve">0598-30-4600  </v>
      </c>
    </row>
    <row r="665" spans="1:4" x14ac:dyDescent="0.55000000000000004">
      <c r="A665" s="1">
        <v>2440701585</v>
      </c>
      <c r="B665" s="1" t="s">
        <v>1905</v>
      </c>
      <c r="C665" s="1" t="s">
        <v>1906</v>
      </c>
      <c r="D665" s="1" t="str">
        <f>"0598-25-5115  "</f>
        <v xml:space="preserve">0598-25-5115  </v>
      </c>
    </row>
    <row r="666" spans="1:4" x14ac:dyDescent="0.55000000000000004">
      <c r="A666" s="1">
        <v>2440701593</v>
      </c>
      <c r="B666" s="1" t="s">
        <v>1907</v>
      </c>
      <c r="C666" s="1" t="s">
        <v>1908</v>
      </c>
      <c r="D666" s="1" t="str">
        <f>"0598-56-9593  "</f>
        <v xml:space="preserve">0598-56-9593  </v>
      </c>
    </row>
    <row r="667" spans="1:4" x14ac:dyDescent="0.55000000000000004">
      <c r="A667" s="1">
        <v>2440701601</v>
      </c>
      <c r="B667" s="1" t="s">
        <v>1909</v>
      </c>
      <c r="C667" s="1" t="str">
        <f>"松阪市飯高町宮前1102-4"</f>
        <v>松阪市飯高町宮前1102-4</v>
      </c>
      <c r="D667" s="1" t="str">
        <f>"0598-46-0761  "</f>
        <v xml:space="preserve">0598-46-0761  </v>
      </c>
    </row>
    <row r="668" spans="1:4" x14ac:dyDescent="0.55000000000000004">
      <c r="A668" s="1">
        <v>2440701619</v>
      </c>
      <c r="B668" s="1" t="s">
        <v>1910</v>
      </c>
      <c r="C668" s="1" t="str">
        <f>"松阪市東黒部町738-1"</f>
        <v>松阪市東黒部町738-1</v>
      </c>
      <c r="D668" s="1" t="str">
        <f>"0598-67-7018  "</f>
        <v xml:space="preserve">0598-67-7018  </v>
      </c>
    </row>
    <row r="669" spans="1:4" x14ac:dyDescent="0.55000000000000004">
      <c r="A669" s="1">
        <v>2440701627</v>
      </c>
      <c r="B669" s="1" t="s">
        <v>1911</v>
      </c>
      <c r="C669" s="1" t="s">
        <v>1912</v>
      </c>
      <c r="D669" s="1" t="str">
        <f>"0598-20-9001  "</f>
        <v xml:space="preserve">0598-20-9001  </v>
      </c>
    </row>
    <row r="670" spans="1:4" x14ac:dyDescent="0.55000000000000004">
      <c r="A670" s="1">
        <v>2440701635</v>
      </c>
      <c r="B670" s="1" t="s">
        <v>1913</v>
      </c>
      <c r="C670" s="1" t="s">
        <v>1914</v>
      </c>
      <c r="D670" s="1" t="str">
        <f>"0598-60-2872  "</f>
        <v xml:space="preserve">0598-60-2872  </v>
      </c>
    </row>
    <row r="671" spans="1:4" x14ac:dyDescent="0.55000000000000004">
      <c r="A671" s="1">
        <v>2440701643</v>
      </c>
      <c r="B671" s="1" t="s">
        <v>1915</v>
      </c>
      <c r="C671" s="1" t="str">
        <f>"松阪市春日町1-1"</f>
        <v>松阪市春日町1-1</v>
      </c>
      <c r="D671" s="1" t="str">
        <f>"0598-30-5527  "</f>
        <v xml:space="preserve">0598-30-5527  </v>
      </c>
    </row>
    <row r="672" spans="1:4" x14ac:dyDescent="0.55000000000000004">
      <c r="A672" s="1">
        <v>2440701668</v>
      </c>
      <c r="B672" s="1" t="s">
        <v>1916</v>
      </c>
      <c r="C672" s="1" t="str">
        <f>"松阪市川井町969-7"</f>
        <v>松阪市川井町969-7</v>
      </c>
      <c r="D672" s="1" t="str">
        <f>"0598-30-5514  "</f>
        <v xml:space="preserve">0598-30-5514  </v>
      </c>
    </row>
    <row r="673" spans="1:4" x14ac:dyDescent="0.55000000000000004">
      <c r="A673" s="1">
        <v>2440701676</v>
      </c>
      <c r="B673" s="1" t="s">
        <v>1917</v>
      </c>
      <c r="C673" s="1" t="s">
        <v>3083</v>
      </c>
      <c r="D673" s="1" t="str">
        <f>"0598-30-5382  "</f>
        <v xml:space="preserve">0598-30-5382  </v>
      </c>
    </row>
    <row r="674" spans="1:4" x14ac:dyDescent="0.55000000000000004">
      <c r="A674" s="1">
        <v>2440701684</v>
      </c>
      <c r="B674" s="1" t="s">
        <v>1918</v>
      </c>
      <c r="C674" s="1" t="s">
        <v>1919</v>
      </c>
      <c r="D674" s="1" t="str">
        <f>"0598-30-6275  "</f>
        <v xml:space="preserve">0598-30-6275  </v>
      </c>
    </row>
    <row r="675" spans="1:4" x14ac:dyDescent="0.55000000000000004">
      <c r="A675" s="1">
        <v>2440701692</v>
      </c>
      <c r="B675" s="1" t="s">
        <v>1920</v>
      </c>
      <c r="C675" s="1" t="s">
        <v>3084</v>
      </c>
      <c r="D675" s="1" t="str">
        <f>"0598-42-8811  "</f>
        <v xml:space="preserve">0598-42-8811  </v>
      </c>
    </row>
    <row r="676" spans="1:4" x14ac:dyDescent="0.55000000000000004">
      <c r="A676" s="1">
        <v>2440701700</v>
      </c>
      <c r="B676" s="1" t="s">
        <v>1921</v>
      </c>
      <c r="C676" s="1" t="s">
        <v>1922</v>
      </c>
      <c r="D676" s="1" t="str">
        <f>"0598-48-1230  "</f>
        <v xml:space="preserve">0598-48-1230  </v>
      </c>
    </row>
    <row r="677" spans="1:4" x14ac:dyDescent="0.55000000000000004">
      <c r="A677" s="1">
        <v>2440701718</v>
      </c>
      <c r="B677" s="1" t="s">
        <v>1923</v>
      </c>
      <c r="C677" s="1" t="str">
        <f>"松阪市大黒田町1840-1"</f>
        <v>松阪市大黒田町1840-1</v>
      </c>
      <c r="D677" s="1" t="str">
        <f>"0598-31-2128  "</f>
        <v xml:space="preserve">0598-31-2128  </v>
      </c>
    </row>
    <row r="678" spans="1:4" x14ac:dyDescent="0.55000000000000004">
      <c r="A678" s="1">
        <v>2440701726</v>
      </c>
      <c r="B678" s="1" t="s">
        <v>1924</v>
      </c>
      <c r="C678" s="1" t="str">
        <f>"松阪市市場庄町1085-1"</f>
        <v>松阪市市場庄町1085-1</v>
      </c>
      <c r="D678" s="1" t="str">
        <f>"0598-20-8805  "</f>
        <v xml:space="preserve">0598-20-8805  </v>
      </c>
    </row>
    <row r="679" spans="1:4" x14ac:dyDescent="0.55000000000000004">
      <c r="A679" s="1">
        <v>2440701734</v>
      </c>
      <c r="B679" s="1" t="s">
        <v>1925</v>
      </c>
      <c r="C679" s="1" t="s">
        <v>3085</v>
      </c>
      <c r="D679" s="1" t="str">
        <f>"0598-67-5538  "</f>
        <v xml:space="preserve">0598-67-5538  </v>
      </c>
    </row>
    <row r="680" spans="1:4" x14ac:dyDescent="0.55000000000000004">
      <c r="A680" s="1">
        <v>2440701742</v>
      </c>
      <c r="B680" s="1" t="s">
        <v>1926</v>
      </c>
      <c r="C680" s="1" t="s">
        <v>1595</v>
      </c>
      <c r="D680" s="1" t="str">
        <f>"0598-20-9570  "</f>
        <v xml:space="preserve">0598-20-9570  </v>
      </c>
    </row>
    <row r="681" spans="1:4" x14ac:dyDescent="0.55000000000000004">
      <c r="A681" s="1">
        <v>2440701759</v>
      </c>
      <c r="B681" s="1" t="s">
        <v>1927</v>
      </c>
      <c r="C681" s="1" t="s">
        <v>3086</v>
      </c>
      <c r="D681" s="1" t="str">
        <f>"0598-31-3207  "</f>
        <v xml:space="preserve">0598-31-3207  </v>
      </c>
    </row>
    <row r="682" spans="1:4" x14ac:dyDescent="0.55000000000000004">
      <c r="A682" s="1">
        <v>2440701767</v>
      </c>
      <c r="B682" s="1" t="s">
        <v>1928</v>
      </c>
      <c r="C682" s="1" t="str">
        <f>"松阪市嬉野算所町514-3-2"</f>
        <v>松阪市嬉野算所町514-3-2</v>
      </c>
      <c r="D682" s="1" t="str">
        <f>"0598-30-5732  "</f>
        <v xml:space="preserve">0598-30-5732  </v>
      </c>
    </row>
    <row r="683" spans="1:4" x14ac:dyDescent="0.55000000000000004">
      <c r="A683" s="1">
        <v>2440701775</v>
      </c>
      <c r="B683" s="1" t="s">
        <v>1929</v>
      </c>
      <c r="C683" s="1" t="str">
        <f>"松阪市駅部田町1811-1"</f>
        <v>松阪市駅部田町1811-1</v>
      </c>
      <c r="D683" s="1" t="str">
        <f>"0598-30-5818  "</f>
        <v xml:space="preserve">0598-30-5818  </v>
      </c>
    </row>
    <row r="684" spans="1:4" x14ac:dyDescent="0.55000000000000004">
      <c r="A684" s="1">
        <v>2440701783</v>
      </c>
      <c r="B684" s="1" t="s">
        <v>1930</v>
      </c>
      <c r="C684" s="1" t="str">
        <f>"松阪市小片野町323-2"</f>
        <v>松阪市小片野町323-2</v>
      </c>
      <c r="D684" s="1" t="str">
        <f>"0598-62-2030  "</f>
        <v xml:space="preserve">0598-62-2030  </v>
      </c>
    </row>
    <row r="685" spans="1:4" x14ac:dyDescent="0.55000000000000004">
      <c r="A685" s="1">
        <v>2440701791</v>
      </c>
      <c r="B685" s="1" t="s">
        <v>1931</v>
      </c>
      <c r="C685" s="1" t="str">
        <f>"松阪市船江町554-2"</f>
        <v>松阪市船江町554-2</v>
      </c>
      <c r="D685" s="1" t="str">
        <f>"0598-30-4440  "</f>
        <v xml:space="preserve">0598-30-4440  </v>
      </c>
    </row>
    <row r="686" spans="1:4" x14ac:dyDescent="0.55000000000000004">
      <c r="A686" s="1">
        <v>2440701809</v>
      </c>
      <c r="B686" s="1" t="s">
        <v>1932</v>
      </c>
      <c r="C686" s="1" t="s">
        <v>1933</v>
      </c>
      <c r="D686" s="1" t="str">
        <f>"0598-20-9230  "</f>
        <v xml:space="preserve">0598-20-9230  </v>
      </c>
    </row>
    <row r="687" spans="1:4" x14ac:dyDescent="0.55000000000000004">
      <c r="A687" s="1">
        <v>2440701817</v>
      </c>
      <c r="B687" s="1" t="s">
        <v>1318</v>
      </c>
      <c r="C687" s="1" t="str">
        <f>"松阪市久保田町5-13"</f>
        <v>松阪市久保田町5-13</v>
      </c>
      <c r="D687" s="1" t="str">
        <f>"0598-30-6555  "</f>
        <v xml:space="preserve">0598-30-6555  </v>
      </c>
    </row>
    <row r="688" spans="1:4" x14ac:dyDescent="0.55000000000000004">
      <c r="A688" s="1">
        <v>2440701825</v>
      </c>
      <c r="B688" s="1" t="s">
        <v>1934</v>
      </c>
      <c r="C688" s="1" t="str">
        <f>"松阪市京町173-5"</f>
        <v>松阪市京町173-5</v>
      </c>
      <c r="D688" s="1" t="str">
        <f>"0598-30-6797  "</f>
        <v xml:space="preserve">0598-30-6797  </v>
      </c>
    </row>
    <row r="689" spans="1:4" x14ac:dyDescent="0.55000000000000004">
      <c r="A689" s="1">
        <v>2440701833</v>
      </c>
      <c r="B689" s="1" t="s">
        <v>1935</v>
      </c>
      <c r="C689" s="1" t="str">
        <f>"松阪市射和町628-2"</f>
        <v>松阪市射和町628-2</v>
      </c>
      <c r="D689" s="1" t="str">
        <f>"0598-60-0312  "</f>
        <v xml:space="preserve">0598-60-0312  </v>
      </c>
    </row>
    <row r="690" spans="1:4" x14ac:dyDescent="0.55000000000000004">
      <c r="A690" s="1">
        <v>2440701841</v>
      </c>
      <c r="B690" s="1" t="s">
        <v>1936</v>
      </c>
      <c r="C690" s="1" t="str">
        <f>"松阪市下村町樋口997－3"</f>
        <v>松阪市下村町樋口997－3</v>
      </c>
      <c r="D690" s="1" t="str">
        <f>"0598-60-2631  "</f>
        <v xml:space="preserve">0598-60-2631  </v>
      </c>
    </row>
    <row r="691" spans="1:4" x14ac:dyDescent="0.55000000000000004">
      <c r="A691" s="1">
        <v>2440701866</v>
      </c>
      <c r="B691" s="1" t="s">
        <v>1937</v>
      </c>
      <c r="C691" s="1" t="s">
        <v>1938</v>
      </c>
      <c r="D691" s="1" t="str">
        <f>"0598-31-1317  "</f>
        <v xml:space="preserve">0598-31-1317  </v>
      </c>
    </row>
    <row r="692" spans="1:4" x14ac:dyDescent="0.55000000000000004">
      <c r="A692" s="1">
        <v>2440701882</v>
      </c>
      <c r="B692" s="1" t="s">
        <v>1939</v>
      </c>
      <c r="C692" s="1" t="str">
        <f>"松阪市下村町815-1"</f>
        <v>松阪市下村町815-1</v>
      </c>
      <c r="D692" s="1" t="str">
        <f>"0598-20-9222  "</f>
        <v xml:space="preserve">0598-20-9222  </v>
      </c>
    </row>
    <row r="693" spans="1:4" x14ac:dyDescent="0.55000000000000004">
      <c r="A693" s="1">
        <v>2440701890</v>
      </c>
      <c r="B693" s="1" t="s">
        <v>1940</v>
      </c>
      <c r="C693" s="1" t="str">
        <f>"松阪市鎌田町字中保651-18　バレンタインB"</f>
        <v>松阪市鎌田町字中保651-18　バレンタインB</v>
      </c>
      <c r="D693" s="1" t="str">
        <f>"0598-53-9066  "</f>
        <v xml:space="preserve">0598-53-9066  </v>
      </c>
    </row>
    <row r="694" spans="1:4" x14ac:dyDescent="0.55000000000000004">
      <c r="A694" s="1">
        <v>2440701908</v>
      </c>
      <c r="B694" s="1" t="s">
        <v>1942</v>
      </c>
      <c r="C694" s="1" t="str">
        <f>"松阪市川井町895-1"</f>
        <v>松阪市川井町895-1</v>
      </c>
      <c r="D694" s="1" t="str">
        <f>"0598-30-4630  "</f>
        <v xml:space="preserve">0598-30-4630  </v>
      </c>
    </row>
    <row r="695" spans="1:4" x14ac:dyDescent="0.55000000000000004">
      <c r="A695" s="1">
        <v>2440701916</v>
      </c>
      <c r="B695" s="1" t="s">
        <v>1943</v>
      </c>
      <c r="C695" s="1" t="s">
        <v>1944</v>
      </c>
      <c r="D695" s="1" t="str">
        <f>"0598-31-2232  "</f>
        <v xml:space="preserve">0598-31-2232  </v>
      </c>
    </row>
    <row r="696" spans="1:4" x14ac:dyDescent="0.55000000000000004">
      <c r="A696" s="1">
        <v>2440701924</v>
      </c>
      <c r="B696" s="1" t="s">
        <v>1945</v>
      </c>
      <c r="C696" s="1" t="str">
        <f>"松阪市上川町2194-16"</f>
        <v>松阪市上川町2194-16</v>
      </c>
      <c r="D696" s="1" t="str">
        <f>"0598-61-1012  "</f>
        <v xml:space="preserve">0598-61-1012  </v>
      </c>
    </row>
    <row r="697" spans="1:4" x14ac:dyDescent="0.55000000000000004">
      <c r="A697" s="1">
        <v>2440701932</v>
      </c>
      <c r="B697" s="1" t="s">
        <v>1946</v>
      </c>
      <c r="C697" s="1" t="s">
        <v>1947</v>
      </c>
      <c r="D697" s="1" t="str">
        <f>"0598-20-8151  "</f>
        <v xml:space="preserve">0598-20-8151  </v>
      </c>
    </row>
    <row r="698" spans="1:4" x14ac:dyDescent="0.55000000000000004">
      <c r="A698" s="1">
        <v>2440701940</v>
      </c>
      <c r="B698" s="1" t="s">
        <v>1948</v>
      </c>
      <c r="C698" s="1" t="str">
        <f>"松阪市大黒田町454-14"</f>
        <v>松阪市大黒田町454-14</v>
      </c>
      <c r="D698" s="1" t="str">
        <f>"0598-20-8990  "</f>
        <v xml:space="preserve">0598-20-8990  </v>
      </c>
    </row>
    <row r="699" spans="1:4" x14ac:dyDescent="0.55000000000000004">
      <c r="A699" s="1">
        <v>2440701957</v>
      </c>
      <c r="B699" s="1" t="s">
        <v>1949</v>
      </c>
      <c r="C699" s="1" t="str">
        <f>"松阪市鎌田町195-19"</f>
        <v>松阪市鎌田町195-19</v>
      </c>
      <c r="D699" s="1" t="str">
        <f>"0598-50-3250  "</f>
        <v xml:space="preserve">0598-50-3250  </v>
      </c>
    </row>
    <row r="700" spans="1:4" x14ac:dyDescent="0.55000000000000004">
      <c r="A700" s="1">
        <v>2440701965</v>
      </c>
      <c r="B700" s="1" t="s">
        <v>1950</v>
      </c>
      <c r="C700" s="1" t="str">
        <f>"松阪市駅部田町233-1"</f>
        <v>松阪市駅部田町233-1</v>
      </c>
      <c r="D700" s="1" t="str">
        <f>"0598-21-0960  "</f>
        <v xml:space="preserve">0598-21-0960  </v>
      </c>
    </row>
    <row r="701" spans="1:4" x14ac:dyDescent="0.55000000000000004">
      <c r="A701" s="1">
        <v>2440701973</v>
      </c>
      <c r="B701" s="1" t="s">
        <v>1951</v>
      </c>
      <c r="C701" s="1" t="str">
        <f>"松阪市小黒田町251-6"</f>
        <v>松阪市小黒田町251-6</v>
      </c>
      <c r="D701" s="1" t="str">
        <f>"0598-25-1811  "</f>
        <v xml:space="preserve">0598-25-1811  </v>
      </c>
    </row>
    <row r="702" spans="1:4" x14ac:dyDescent="0.55000000000000004">
      <c r="A702" s="1">
        <v>2440701981</v>
      </c>
      <c r="B702" s="1" t="s">
        <v>1952</v>
      </c>
      <c r="C702" s="1" t="str">
        <f>"松阪市船江町1392-27"</f>
        <v>松阪市船江町1392-27</v>
      </c>
      <c r="D702" s="1" t="str">
        <f>"0598-52-1920  "</f>
        <v xml:space="preserve">0598-52-1920  </v>
      </c>
    </row>
    <row r="703" spans="1:4" x14ac:dyDescent="0.55000000000000004">
      <c r="A703" s="1">
        <v>2440701999</v>
      </c>
      <c r="B703" s="1" t="s">
        <v>1953</v>
      </c>
      <c r="C703" s="1" t="s">
        <v>1954</v>
      </c>
      <c r="D703" s="1" t="str">
        <f>"0598-31-2350  "</f>
        <v xml:space="preserve">0598-31-2350  </v>
      </c>
    </row>
    <row r="704" spans="1:4" x14ac:dyDescent="0.55000000000000004">
      <c r="A704" s="1">
        <v>2442700288</v>
      </c>
      <c r="B704" s="1" t="s">
        <v>2237</v>
      </c>
      <c r="C704" s="1" t="str">
        <f>"多気郡多気町相可1043-4"</f>
        <v>多気郡多気町相可1043-4</v>
      </c>
      <c r="D704" s="1" t="str">
        <f>"0598-38-7700  "</f>
        <v xml:space="preserve">0598-38-7700  </v>
      </c>
    </row>
    <row r="705" spans="1:4" x14ac:dyDescent="0.55000000000000004">
      <c r="A705" s="1">
        <v>2442700189</v>
      </c>
      <c r="B705" s="1" t="s">
        <v>2229</v>
      </c>
      <c r="C705" s="1" t="str">
        <f>"多気郡明和町大字金剛坂817-30"</f>
        <v>多気郡明和町大字金剛坂817-30</v>
      </c>
      <c r="D705" s="1" t="str">
        <f>"0596-53-2300  "</f>
        <v xml:space="preserve">0596-53-2300  </v>
      </c>
    </row>
    <row r="706" spans="1:4" x14ac:dyDescent="0.55000000000000004">
      <c r="A706" s="1">
        <v>2442700197</v>
      </c>
      <c r="B706" s="1" t="s">
        <v>2230</v>
      </c>
      <c r="C706" s="1" t="str">
        <f>"多気郡明和町大淀字寺前2418-7"</f>
        <v>多気郡明和町大淀字寺前2418-7</v>
      </c>
      <c r="D706" s="1" t="str">
        <f>"0596-55-6830  "</f>
        <v xml:space="preserve">0596-55-6830  </v>
      </c>
    </row>
    <row r="707" spans="1:4" x14ac:dyDescent="0.55000000000000004">
      <c r="A707" s="1">
        <v>2442700213</v>
      </c>
      <c r="B707" s="1" t="s">
        <v>2231</v>
      </c>
      <c r="C707" s="1" t="s">
        <v>2232</v>
      </c>
      <c r="D707" s="1" t="str">
        <f>"0596-55-4815  "</f>
        <v xml:space="preserve">0596-55-4815  </v>
      </c>
    </row>
    <row r="708" spans="1:4" x14ac:dyDescent="0.55000000000000004">
      <c r="A708" s="1">
        <v>2442700239</v>
      </c>
      <c r="B708" s="1" t="s">
        <v>2233</v>
      </c>
      <c r="C708" s="1" t="str">
        <f>"多気郡明和町大字明星茶屋1500-3"</f>
        <v>多気郡明和町大字明星茶屋1500-3</v>
      </c>
      <c r="D708" s="1" t="str">
        <f>"0596-53-0100  "</f>
        <v xml:space="preserve">0596-53-0100  </v>
      </c>
    </row>
    <row r="709" spans="1:4" x14ac:dyDescent="0.55000000000000004">
      <c r="A709" s="1">
        <v>2442700247</v>
      </c>
      <c r="B709" s="1" t="s">
        <v>2234</v>
      </c>
      <c r="C709" s="1" t="str">
        <f>"多気郡明和町大字竹川字野口39-79"</f>
        <v>多気郡明和町大字竹川字野口39-79</v>
      </c>
      <c r="D709" s="1" t="str">
        <f>"0596-63-8295  "</f>
        <v xml:space="preserve">0596-63-8295  </v>
      </c>
    </row>
    <row r="710" spans="1:4" x14ac:dyDescent="0.55000000000000004">
      <c r="A710" s="1">
        <v>2442700304</v>
      </c>
      <c r="B710" s="1" t="s">
        <v>2238</v>
      </c>
      <c r="C710" s="1" t="str">
        <f>"多気郡明和町斎宮北野3726-1"</f>
        <v>多気郡明和町斎宮北野3726-1</v>
      </c>
      <c r="D710" s="1" t="str">
        <f>"0596-63-5421  "</f>
        <v xml:space="preserve">0596-63-5421  </v>
      </c>
    </row>
    <row r="711" spans="1:4" x14ac:dyDescent="0.55000000000000004">
      <c r="A711" s="1">
        <v>2442700320</v>
      </c>
      <c r="B711" s="1" t="s">
        <v>2240</v>
      </c>
      <c r="C711" s="1" t="s">
        <v>2241</v>
      </c>
      <c r="D711" s="1" t="str">
        <f>"0596-63-5783  "</f>
        <v xml:space="preserve">0596-63-5783  </v>
      </c>
    </row>
    <row r="712" spans="1:4" x14ac:dyDescent="0.55000000000000004">
      <c r="A712" s="1">
        <v>2442700148</v>
      </c>
      <c r="B712" s="1" t="s">
        <v>2227</v>
      </c>
      <c r="C712" s="1" t="str">
        <f>"多気郡大台町佐原525-1"</f>
        <v>多気郡大台町佐原525-1</v>
      </c>
      <c r="D712" s="1" t="str">
        <f>"0598-82-3153  "</f>
        <v xml:space="preserve">0598-82-3153  </v>
      </c>
    </row>
    <row r="713" spans="1:4" x14ac:dyDescent="0.55000000000000004">
      <c r="A713" s="1">
        <v>2442700155</v>
      </c>
      <c r="B713" s="1" t="s">
        <v>2228</v>
      </c>
      <c r="C713" s="1" t="s">
        <v>3126</v>
      </c>
      <c r="D713" s="1" t="str">
        <f>"0598-76-0062  "</f>
        <v xml:space="preserve">0598-76-0062  </v>
      </c>
    </row>
    <row r="714" spans="1:4" x14ac:dyDescent="0.55000000000000004">
      <c r="A714" s="1">
        <v>2442700254</v>
      </c>
      <c r="B714" s="1" t="s">
        <v>2235</v>
      </c>
      <c r="C714" s="1" t="str">
        <f>"多気郡大台町新田200-6"</f>
        <v>多気郡大台町新田200-6</v>
      </c>
      <c r="D714" s="1" t="str">
        <f>"0598-85-7007  "</f>
        <v xml:space="preserve">0598-85-7007  </v>
      </c>
    </row>
    <row r="715" spans="1:4" x14ac:dyDescent="0.55000000000000004">
      <c r="A715" s="1">
        <v>2442700270</v>
      </c>
      <c r="B715" s="1" t="s">
        <v>2236</v>
      </c>
      <c r="C715" s="1" t="str">
        <f>"多気郡大台町栃原1242-11"</f>
        <v>多気郡大台町栃原1242-11</v>
      </c>
      <c r="D715" s="1" t="str">
        <f>"0598-85-7700  "</f>
        <v xml:space="preserve">0598-85-7700  </v>
      </c>
    </row>
    <row r="716" spans="1:4" x14ac:dyDescent="0.55000000000000004">
      <c r="A716" s="1">
        <v>2442700312</v>
      </c>
      <c r="B716" s="1" t="s">
        <v>2239</v>
      </c>
      <c r="C716" s="1" t="str">
        <f>"多気郡大台町栃原1150-2"</f>
        <v>多気郡大台町栃原1150-2</v>
      </c>
      <c r="D716" s="1" t="str">
        <f>"0598-84-6100  "</f>
        <v xml:space="preserve">0598-84-6100  </v>
      </c>
    </row>
    <row r="717" spans="1:4" x14ac:dyDescent="0.55000000000000004">
      <c r="A717" s="1">
        <v>2442700338</v>
      </c>
      <c r="B717" s="1" t="s">
        <v>2242</v>
      </c>
      <c r="C717" s="1" t="str">
        <f>"多気郡大台町佐原457-21"</f>
        <v>多気郡大台町佐原457-21</v>
      </c>
      <c r="D717" s="1" t="str">
        <f>"0598-82-2818  "</f>
        <v xml:space="preserve">0598-82-2818  </v>
      </c>
    </row>
    <row r="718" spans="1:4" x14ac:dyDescent="0.55000000000000004">
      <c r="A718" s="1">
        <v>2440800528</v>
      </c>
      <c r="B718" s="1" t="s">
        <v>1955</v>
      </c>
      <c r="C718" s="1" t="str">
        <f>"伊勢市岩渕2丁目7-8"</f>
        <v>伊勢市岩渕2丁目7-8</v>
      </c>
      <c r="D718" s="1" t="str">
        <f>"0596-23-2020  "</f>
        <v xml:space="preserve">0596-23-2020  </v>
      </c>
    </row>
    <row r="719" spans="1:4" x14ac:dyDescent="0.55000000000000004">
      <c r="A719" s="1">
        <v>2440800619</v>
      </c>
      <c r="B719" s="1" t="s">
        <v>1956</v>
      </c>
      <c r="C719" s="1" t="str">
        <f>"伊勢市岩渕2丁目2-18"</f>
        <v>伊勢市岩渕2丁目2-18</v>
      </c>
      <c r="D719" s="1" t="str">
        <f>"0596-24-5584  "</f>
        <v xml:space="preserve">0596-24-5584  </v>
      </c>
    </row>
    <row r="720" spans="1:4" x14ac:dyDescent="0.55000000000000004">
      <c r="A720" s="1">
        <v>2440800759</v>
      </c>
      <c r="B720" s="1" t="s">
        <v>1957</v>
      </c>
      <c r="C720" s="1" t="str">
        <f>"伊勢市曽祢2-10-17"</f>
        <v>伊勢市曽祢2-10-17</v>
      </c>
      <c r="D720" s="1" t="str">
        <f>"0596-28-7836  "</f>
        <v xml:space="preserve">0596-28-7836  </v>
      </c>
    </row>
    <row r="721" spans="1:4" x14ac:dyDescent="0.55000000000000004">
      <c r="A721" s="1">
        <v>2440800916</v>
      </c>
      <c r="B721" s="1" t="s">
        <v>1958</v>
      </c>
      <c r="C721" s="1" t="s">
        <v>3087</v>
      </c>
      <c r="D721" s="1" t="str">
        <f>"0596-20-3456  "</f>
        <v xml:space="preserve">0596-20-3456  </v>
      </c>
    </row>
    <row r="722" spans="1:4" x14ac:dyDescent="0.55000000000000004">
      <c r="A722" s="1">
        <v>2440800932</v>
      </c>
      <c r="B722" s="1" t="s">
        <v>1959</v>
      </c>
      <c r="C722" s="1" t="str">
        <f>"伊勢市吹上1丁目10-16"</f>
        <v>伊勢市吹上1丁目10-16</v>
      </c>
      <c r="D722" s="1" t="str">
        <f>"0596-20-4411  "</f>
        <v xml:space="preserve">0596-20-4411  </v>
      </c>
    </row>
    <row r="723" spans="1:4" x14ac:dyDescent="0.55000000000000004">
      <c r="A723" s="1">
        <v>2440800981</v>
      </c>
      <c r="B723" s="1" t="s">
        <v>1960</v>
      </c>
      <c r="C723" s="1" t="str">
        <f>"伊勢市小木町260-1"</f>
        <v>伊勢市小木町260-1</v>
      </c>
      <c r="D723" s="1" t="str">
        <f>"0596-31-3993  "</f>
        <v xml:space="preserve">0596-31-3993  </v>
      </c>
    </row>
    <row r="724" spans="1:4" x14ac:dyDescent="0.55000000000000004">
      <c r="A724" s="1">
        <v>2440800999</v>
      </c>
      <c r="B724" s="1" t="s">
        <v>1961</v>
      </c>
      <c r="C724" s="1" t="s">
        <v>3088</v>
      </c>
      <c r="D724" s="1" t="str">
        <f>"0596-31-1717  "</f>
        <v xml:space="preserve">0596-31-1717  </v>
      </c>
    </row>
    <row r="725" spans="1:4" x14ac:dyDescent="0.55000000000000004">
      <c r="A725" s="1">
        <v>2440801005</v>
      </c>
      <c r="B725" s="1" t="s">
        <v>1962</v>
      </c>
      <c r="C725" s="1" t="s">
        <v>1963</v>
      </c>
      <c r="D725" s="1" t="str">
        <f>"0596-28-3252  "</f>
        <v xml:space="preserve">0596-28-3252  </v>
      </c>
    </row>
    <row r="726" spans="1:4" x14ac:dyDescent="0.55000000000000004">
      <c r="A726" s="1">
        <v>2440801047</v>
      </c>
      <c r="B726" s="1" t="s">
        <v>1964</v>
      </c>
      <c r="C726" s="1" t="str">
        <f>"伊勢市小木町183-1"</f>
        <v>伊勢市小木町183-1</v>
      </c>
      <c r="D726" s="1" t="str">
        <f>"0596-31-0707  "</f>
        <v xml:space="preserve">0596-31-0707  </v>
      </c>
    </row>
    <row r="727" spans="1:4" x14ac:dyDescent="0.55000000000000004">
      <c r="A727" s="1">
        <v>2440801062</v>
      </c>
      <c r="B727" s="1" t="s">
        <v>1965</v>
      </c>
      <c r="C727" s="1" t="str">
        <f>"伊勢市黒瀬町1478-5"</f>
        <v>伊勢市黒瀬町1478-5</v>
      </c>
      <c r="D727" s="1" t="str">
        <f>"0596-20-1551  "</f>
        <v xml:space="preserve">0596-20-1551  </v>
      </c>
    </row>
    <row r="728" spans="1:4" x14ac:dyDescent="0.55000000000000004">
      <c r="A728" s="1">
        <v>2440801229</v>
      </c>
      <c r="B728" s="1" t="s">
        <v>1967</v>
      </c>
      <c r="C728" s="1" t="str">
        <f>"伊勢市小俣町元町1157-2"</f>
        <v>伊勢市小俣町元町1157-2</v>
      </c>
      <c r="D728" s="1" t="str">
        <f>"0596-27-6800  "</f>
        <v xml:space="preserve">0596-27-6800  </v>
      </c>
    </row>
    <row r="729" spans="1:4" x14ac:dyDescent="0.55000000000000004">
      <c r="A729" s="1">
        <v>2440801260</v>
      </c>
      <c r="B729" s="1" t="s">
        <v>1968</v>
      </c>
      <c r="C729" s="1" t="s">
        <v>3089</v>
      </c>
      <c r="D729" s="1" t="str">
        <f>"0596-21-5188  "</f>
        <v xml:space="preserve">0596-21-5188  </v>
      </c>
    </row>
    <row r="730" spans="1:4" x14ac:dyDescent="0.55000000000000004">
      <c r="A730" s="1">
        <v>2440801278</v>
      </c>
      <c r="B730" s="1" t="s">
        <v>1969</v>
      </c>
      <c r="C730" s="1" t="s">
        <v>3090</v>
      </c>
      <c r="D730" s="1" t="str">
        <f>"0596-20-8777  "</f>
        <v xml:space="preserve">0596-20-8777  </v>
      </c>
    </row>
    <row r="731" spans="1:4" x14ac:dyDescent="0.55000000000000004">
      <c r="A731" s="1">
        <v>2440801302</v>
      </c>
      <c r="B731" s="1" t="s">
        <v>1970</v>
      </c>
      <c r="C731" s="1" t="str">
        <f>"伊勢市船江1丁目2-35"</f>
        <v>伊勢市船江1丁目2-35</v>
      </c>
      <c r="D731" s="1" t="str">
        <f>"0596-21-0220  "</f>
        <v xml:space="preserve">0596-21-0220  </v>
      </c>
    </row>
    <row r="732" spans="1:4" x14ac:dyDescent="0.55000000000000004">
      <c r="A732" s="1">
        <v>2440801310</v>
      </c>
      <c r="B732" s="1" t="s">
        <v>1971</v>
      </c>
      <c r="C732" s="1" t="str">
        <f>"伊勢市浦口2丁目2-16"</f>
        <v>伊勢市浦口2丁目2-16</v>
      </c>
      <c r="D732" s="1" t="str">
        <f>"0596-20-5580  "</f>
        <v xml:space="preserve">0596-20-5580  </v>
      </c>
    </row>
    <row r="733" spans="1:4" x14ac:dyDescent="0.55000000000000004">
      <c r="A733" s="1">
        <v>2440801369</v>
      </c>
      <c r="B733" s="1" t="s">
        <v>1972</v>
      </c>
      <c r="C733" s="1" t="str">
        <f>"伊勢市小木町曽祢561-1"</f>
        <v>伊勢市小木町曽祢561-1</v>
      </c>
      <c r="D733" s="1" t="str">
        <f>"0596-31-3377  "</f>
        <v xml:space="preserve">0596-31-3377  </v>
      </c>
    </row>
    <row r="734" spans="1:4" x14ac:dyDescent="0.55000000000000004">
      <c r="A734" s="1">
        <v>2440801435</v>
      </c>
      <c r="B734" s="1" t="s">
        <v>1973</v>
      </c>
      <c r="C734" s="1" t="str">
        <f>"伊勢市常磐2丁目1-23"</f>
        <v>伊勢市常磐2丁目1-23</v>
      </c>
      <c r="D734" s="1" t="str">
        <f>"0596-26-0681  "</f>
        <v xml:space="preserve">0596-26-0681  </v>
      </c>
    </row>
    <row r="735" spans="1:4" x14ac:dyDescent="0.55000000000000004">
      <c r="A735" s="1">
        <v>2440801443</v>
      </c>
      <c r="B735" s="1" t="s">
        <v>1974</v>
      </c>
      <c r="C735" s="1" t="str">
        <f>"伊勢市御薗町高向小橋686-10"</f>
        <v>伊勢市御薗町高向小橋686-10</v>
      </c>
      <c r="D735" s="1" t="str">
        <f>"0596-20-5400  "</f>
        <v xml:space="preserve">0596-20-5400  </v>
      </c>
    </row>
    <row r="736" spans="1:4" x14ac:dyDescent="0.55000000000000004">
      <c r="A736" s="1">
        <v>2440801476</v>
      </c>
      <c r="B736" s="1" t="s">
        <v>1975</v>
      </c>
      <c r="C736" s="1" t="str">
        <f>"伊勢市一之木4丁目5-37"</f>
        <v>伊勢市一之木4丁目5-37</v>
      </c>
      <c r="D736" s="1" t="str">
        <f>"0596-63-5151  "</f>
        <v xml:space="preserve">0596-63-5151  </v>
      </c>
    </row>
    <row r="737" spans="1:4" x14ac:dyDescent="0.55000000000000004">
      <c r="A737" s="1">
        <v>2440801492</v>
      </c>
      <c r="B737" s="1" t="s">
        <v>1976</v>
      </c>
      <c r="C737" s="1" t="s">
        <v>1977</v>
      </c>
      <c r="D737" s="1" t="str">
        <f>"0596-31-1400  "</f>
        <v xml:space="preserve">0596-31-1400  </v>
      </c>
    </row>
    <row r="738" spans="1:4" x14ac:dyDescent="0.55000000000000004">
      <c r="A738" s="1">
        <v>2440801500</v>
      </c>
      <c r="B738" s="1" t="s">
        <v>1978</v>
      </c>
      <c r="C738" s="1" t="s">
        <v>1979</v>
      </c>
      <c r="D738" s="1" t="str">
        <f>"0596-20-8571  "</f>
        <v xml:space="preserve">0596-20-8571  </v>
      </c>
    </row>
    <row r="739" spans="1:4" x14ac:dyDescent="0.55000000000000004">
      <c r="A739" s="1">
        <v>2440801518</v>
      </c>
      <c r="B739" s="1" t="s">
        <v>1980</v>
      </c>
      <c r="C739" s="1" t="s">
        <v>1981</v>
      </c>
      <c r="D739" s="1" t="str">
        <f>"0596-20-7171  "</f>
        <v xml:space="preserve">0596-20-7171  </v>
      </c>
    </row>
    <row r="740" spans="1:4" x14ac:dyDescent="0.55000000000000004">
      <c r="A740" s="1">
        <v>2440801567</v>
      </c>
      <c r="B740" s="1" t="s">
        <v>1982</v>
      </c>
      <c r="C740" s="1" t="str">
        <f>"伊勢市神社港南小路20-25"</f>
        <v>伊勢市神社港南小路20-25</v>
      </c>
      <c r="D740" s="1" t="str">
        <f>"0596-64-8370  "</f>
        <v xml:space="preserve">0596-64-8370  </v>
      </c>
    </row>
    <row r="741" spans="1:4" x14ac:dyDescent="0.55000000000000004">
      <c r="A741" s="1">
        <v>2440801591</v>
      </c>
      <c r="B741" s="1" t="s">
        <v>1983</v>
      </c>
      <c r="C741" s="1" t="str">
        <f>"伊勢市小俣町相合478-9"</f>
        <v>伊勢市小俣町相合478-9</v>
      </c>
      <c r="D741" s="1" t="str">
        <f>"0596-25-1127  "</f>
        <v xml:space="preserve">0596-25-1127  </v>
      </c>
    </row>
    <row r="742" spans="1:4" x14ac:dyDescent="0.55000000000000004">
      <c r="A742" s="1">
        <v>2440801617</v>
      </c>
      <c r="B742" s="1" t="s">
        <v>1984</v>
      </c>
      <c r="C742" s="1" t="str">
        <f>"伊勢市河崎1丁目9-36"</f>
        <v>伊勢市河崎1丁目9-36</v>
      </c>
      <c r="D742" s="1" t="str">
        <f>"0596-27-0770  "</f>
        <v xml:space="preserve">0596-27-0770  </v>
      </c>
    </row>
    <row r="743" spans="1:4" x14ac:dyDescent="0.55000000000000004">
      <c r="A743" s="1">
        <v>2440801633</v>
      </c>
      <c r="B743" s="1" t="s">
        <v>1985</v>
      </c>
      <c r="C743" s="1" t="s">
        <v>1986</v>
      </c>
      <c r="D743" s="1" t="str">
        <f>"0596-65-7760  "</f>
        <v xml:space="preserve">0596-65-7760  </v>
      </c>
    </row>
    <row r="744" spans="1:4" x14ac:dyDescent="0.55000000000000004">
      <c r="A744" s="1">
        <v>2440801641</v>
      </c>
      <c r="B744" s="1" t="s">
        <v>1987</v>
      </c>
      <c r="C744" s="1" t="str">
        <f>"伊勢市神田久志本町1485-2"</f>
        <v>伊勢市神田久志本町1485-2</v>
      </c>
      <c r="D744" s="1" t="str">
        <f>"0596-20-2288  "</f>
        <v xml:space="preserve">0596-20-2288  </v>
      </c>
    </row>
    <row r="745" spans="1:4" x14ac:dyDescent="0.55000000000000004">
      <c r="A745" s="1">
        <v>2440801690</v>
      </c>
      <c r="B745" s="1" t="s">
        <v>1988</v>
      </c>
      <c r="C745" s="1" t="str">
        <f>"伊勢市船江1丁目10-21"</f>
        <v>伊勢市船江1丁目10-21</v>
      </c>
      <c r="D745" s="1" t="str">
        <f>"0596-65-7555  "</f>
        <v xml:space="preserve">0596-65-7555  </v>
      </c>
    </row>
    <row r="746" spans="1:4" x14ac:dyDescent="0.55000000000000004">
      <c r="A746" s="1">
        <v>2440801708</v>
      </c>
      <c r="B746" s="1" t="s">
        <v>1989</v>
      </c>
      <c r="C746" s="1" t="str">
        <f>"伊勢市船江1丁目10-21"</f>
        <v>伊勢市船江1丁目10-21</v>
      </c>
      <c r="D746" s="1" t="str">
        <f>"0596-20-8586  "</f>
        <v xml:space="preserve">0596-20-8586  </v>
      </c>
    </row>
    <row r="747" spans="1:4" x14ac:dyDescent="0.55000000000000004">
      <c r="A747" s="1">
        <v>2440801732</v>
      </c>
      <c r="B747" s="1" t="s">
        <v>1990</v>
      </c>
      <c r="C747" s="1" t="str">
        <f>"伊勢市二見町溝口401-4"</f>
        <v>伊勢市二見町溝口401-4</v>
      </c>
      <c r="D747" s="1" t="str">
        <f>"0596-44-2111  "</f>
        <v xml:space="preserve">0596-44-2111  </v>
      </c>
    </row>
    <row r="748" spans="1:4" x14ac:dyDescent="0.55000000000000004">
      <c r="A748" s="1">
        <v>2440801740</v>
      </c>
      <c r="B748" s="1" t="s">
        <v>1991</v>
      </c>
      <c r="C748" s="1" t="str">
        <f>"伊勢市小俣町本町341-107"</f>
        <v>伊勢市小俣町本町341-107</v>
      </c>
      <c r="D748" s="1" t="str">
        <f>"0596-64-8791  "</f>
        <v xml:space="preserve">0596-64-8791  </v>
      </c>
    </row>
    <row r="749" spans="1:4" x14ac:dyDescent="0.55000000000000004">
      <c r="A749" s="1">
        <v>2440801781</v>
      </c>
      <c r="B749" s="1" t="s">
        <v>1992</v>
      </c>
      <c r="C749" s="1" t="s">
        <v>1993</v>
      </c>
      <c r="D749" s="1" t="str">
        <f>"0596-21-5015  "</f>
        <v xml:space="preserve">0596-21-5015  </v>
      </c>
    </row>
    <row r="750" spans="1:4" x14ac:dyDescent="0.55000000000000004">
      <c r="A750" s="1">
        <v>2440801799</v>
      </c>
      <c r="B750" s="1" t="s">
        <v>1994</v>
      </c>
      <c r="C750" s="1" t="str">
        <f>"伊勢市船江1丁目10-21"</f>
        <v>伊勢市船江1丁目10-21</v>
      </c>
      <c r="D750" s="1" t="str">
        <f>"0596-21-2061  "</f>
        <v xml:space="preserve">0596-21-2061  </v>
      </c>
    </row>
    <row r="751" spans="1:4" x14ac:dyDescent="0.55000000000000004">
      <c r="A751" s="1">
        <v>2440801807</v>
      </c>
      <c r="B751" s="1" t="s">
        <v>1995</v>
      </c>
      <c r="C751" s="1" t="s">
        <v>1996</v>
      </c>
      <c r="D751" s="1" t="str">
        <f>"0596-26-0658  "</f>
        <v xml:space="preserve">0596-26-0658  </v>
      </c>
    </row>
    <row r="752" spans="1:4" x14ac:dyDescent="0.55000000000000004">
      <c r="A752" s="1">
        <v>2440801815</v>
      </c>
      <c r="B752" s="1" t="s">
        <v>1997</v>
      </c>
      <c r="C752" s="1" t="str">
        <f>"伊勢市勢田町車沖569-16"</f>
        <v>伊勢市勢田町車沖569-16</v>
      </c>
      <c r="D752" s="1" t="str">
        <f>"0596-65-6451  "</f>
        <v xml:space="preserve">0596-65-6451  </v>
      </c>
    </row>
    <row r="753" spans="1:4" x14ac:dyDescent="0.55000000000000004">
      <c r="A753" s="1">
        <v>2440801823</v>
      </c>
      <c r="B753" s="1" t="s">
        <v>1998</v>
      </c>
      <c r="C753" s="1" t="str">
        <f>"伊勢市岩渕2丁目8-34"</f>
        <v>伊勢市岩渕2丁目8-34</v>
      </c>
      <c r="D753" s="1" t="str">
        <f>"0596-20-5072  "</f>
        <v xml:space="preserve">0596-20-5072  </v>
      </c>
    </row>
    <row r="754" spans="1:4" x14ac:dyDescent="0.55000000000000004">
      <c r="A754" s="1">
        <v>2440801831</v>
      </c>
      <c r="B754" s="1" t="s">
        <v>1999</v>
      </c>
      <c r="C754" s="1" t="str">
        <f>"伊勢市神田久志本町1754-3"</f>
        <v>伊勢市神田久志本町1754-3</v>
      </c>
      <c r="D754" s="1" t="str">
        <f>"0596-20-0007  "</f>
        <v xml:space="preserve">0596-20-0007  </v>
      </c>
    </row>
    <row r="755" spans="1:4" x14ac:dyDescent="0.55000000000000004">
      <c r="A755" s="1">
        <v>2440801856</v>
      </c>
      <c r="B755" s="1" t="s">
        <v>2000</v>
      </c>
      <c r="C755" s="1" t="str">
        <f>"伊勢市宮後3丁目779-6"</f>
        <v>伊勢市宮後3丁目779-6</v>
      </c>
      <c r="D755" s="1" t="str">
        <f>"0596-63-6441  "</f>
        <v xml:space="preserve">0596-63-6441  </v>
      </c>
    </row>
    <row r="756" spans="1:4" x14ac:dyDescent="0.55000000000000004">
      <c r="A756" s="1">
        <v>2440801872</v>
      </c>
      <c r="B756" s="1" t="s">
        <v>2001</v>
      </c>
      <c r="C756" s="1" t="str">
        <f>"伊勢市岡本1丁目17-16"</f>
        <v>伊勢市岡本1丁目17-16</v>
      </c>
      <c r="D756" s="1" t="str">
        <f>"0596-63-6965  "</f>
        <v xml:space="preserve">0596-63-6965  </v>
      </c>
    </row>
    <row r="757" spans="1:4" x14ac:dyDescent="0.55000000000000004">
      <c r="A757" s="1">
        <v>2440801880</v>
      </c>
      <c r="B757" s="1" t="s">
        <v>2002</v>
      </c>
      <c r="C757" s="1" t="s">
        <v>2003</v>
      </c>
      <c r="D757" s="1" t="str">
        <f>"0596-20-8877  "</f>
        <v xml:space="preserve">0596-20-8877  </v>
      </c>
    </row>
    <row r="758" spans="1:4" x14ac:dyDescent="0.55000000000000004">
      <c r="A758" s="1">
        <v>2440801898</v>
      </c>
      <c r="B758" s="1" t="s">
        <v>2004</v>
      </c>
      <c r="C758" s="1" t="str">
        <f>"伊勢市河崎1-3-20"</f>
        <v>伊勢市河崎1-3-20</v>
      </c>
      <c r="D758" s="1" t="str">
        <f>"0596-21-5313  "</f>
        <v xml:space="preserve">0596-21-5313  </v>
      </c>
    </row>
    <row r="759" spans="1:4" x14ac:dyDescent="0.55000000000000004">
      <c r="A759" s="1">
        <v>2440801963</v>
      </c>
      <c r="B759" s="1" t="s">
        <v>1966</v>
      </c>
      <c r="C759" s="1" t="str">
        <f>"伊勢市楠部町202-12"</f>
        <v>伊勢市楠部町202-12</v>
      </c>
      <c r="D759" s="1" t="str">
        <f>"0596-20-2510  "</f>
        <v xml:space="preserve">0596-20-2510  </v>
      </c>
    </row>
    <row r="760" spans="1:4" x14ac:dyDescent="0.55000000000000004">
      <c r="A760" s="1">
        <v>2440801971</v>
      </c>
      <c r="B760" s="1" t="s">
        <v>2005</v>
      </c>
      <c r="C760" s="1" t="str">
        <f>"伊勢市本町3-15"</f>
        <v>伊勢市本町3-15</v>
      </c>
      <c r="D760" s="1" t="str">
        <f>"0596-20-8110  "</f>
        <v xml:space="preserve">0596-20-8110  </v>
      </c>
    </row>
    <row r="761" spans="1:4" x14ac:dyDescent="0.55000000000000004">
      <c r="A761" s="1">
        <v>2440801989</v>
      </c>
      <c r="B761" s="1" t="s">
        <v>2006</v>
      </c>
      <c r="C761" s="1" t="str">
        <f>"伊勢市大世古2丁目5-15"</f>
        <v>伊勢市大世古2丁目5-15</v>
      </c>
      <c r="D761" s="1" t="str">
        <f>"0596-28-3658  "</f>
        <v xml:space="preserve">0596-28-3658  </v>
      </c>
    </row>
    <row r="762" spans="1:4" x14ac:dyDescent="0.55000000000000004">
      <c r="A762" s="1">
        <v>2440802003</v>
      </c>
      <c r="B762" s="1" t="s">
        <v>2007</v>
      </c>
      <c r="C762" s="1" t="s">
        <v>3091</v>
      </c>
      <c r="D762" s="1" t="str">
        <f>"0596-63-5085  "</f>
        <v xml:space="preserve">0596-63-5085  </v>
      </c>
    </row>
    <row r="763" spans="1:4" x14ac:dyDescent="0.55000000000000004">
      <c r="A763" s="1">
        <v>2440802011</v>
      </c>
      <c r="B763" s="1" t="s">
        <v>2008</v>
      </c>
      <c r="C763" s="1" t="str">
        <f>"伊勢市神田久志本町1542-7"</f>
        <v>伊勢市神田久志本町1542-7</v>
      </c>
      <c r="D763" s="1" t="str">
        <f>"0596-63-5188  "</f>
        <v xml:space="preserve">0596-63-5188  </v>
      </c>
    </row>
    <row r="764" spans="1:4" x14ac:dyDescent="0.55000000000000004">
      <c r="A764" s="1">
        <v>2440802037</v>
      </c>
      <c r="B764" s="1" t="s">
        <v>2009</v>
      </c>
      <c r="C764" s="1" t="s">
        <v>3092</v>
      </c>
      <c r="D764" s="1" t="str">
        <f>"0596-72-8200  "</f>
        <v xml:space="preserve">0596-72-8200  </v>
      </c>
    </row>
    <row r="765" spans="1:4" x14ac:dyDescent="0.55000000000000004">
      <c r="A765" s="1">
        <v>2440802045</v>
      </c>
      <c r="B765" s="1" t="s">
        <v>2010</v>
      </c>
      <c r="C765" s="1" t="str">
        <f>"伊勢市一之木4丁目2-47"</f>
        <v>伊勢市一之木4丁目2-47</v>
      </c>
      <c r="D765" s="1" t="str">
        <f>"0596-72-8821  "</f>
        <v xml:space="preserve">0596-72-8821  </v>
      </c>
    </row>
    <row r="766" spans="1:4" x14ac:dyDescent="0.55000000000000004">
      <c r="A766" s="1">
        <v>2440802052</v>
      </c>
      <c r="B766" s="1" t="s">
        <v>2011</v>
      </c>
      <c r="C766" s="1" t="str">
        <f>"伊勢市宮町15-21"</f>
        <v>伊勢市宮町15-21</v>
      </c>
      <c r="D766" s="1" t="str">
        <f>"0596-20-5025  "</f>
        <v xml:space="preserve">0596-20-5025  </v>
      </c>
    </row>
    <row r="767" spans="1:4" x14ac:dyDescent="0.55000000000000004">
      <c r="A767" s="1">
        <v>2440802078</v>
      </c>
      <c r="B767" s="1" t="s">
        <v>2012</v>
      </c>
      <c r="C767" s="1" t="str">
        <f>"伊勢市御薗町高向字落合985-1"</f>
        <v>伊勢市御薗町高向字落合985-1</v>
      </c>
      <c r="D767" s="1" t="str">
        <f>"0596-20-2170  "</f>
        <v xml:space="preserve">0596-20-2170  </v>
      </c>
    </row>
    <row r="768" spans="1:4" x14ac:dyDescent="0.55000000000000004">
      <c r="A768" s="1">
        <v>2440802086</v>
      </c>
      <c r="B768" s="1" t="s">
        <v>2013</v>
      </c>
      <c r="C768" s="1" t="str">
        <f>"伊勢市楠部町乙160-2"</f>
        <v>伊勢市楠部町乙160-2</v>
      </c>
      <c r="D768" s="1" t="str">
        <f>"0596-28-7829  "</f>
        <v xml:space="preserve">0596-28-7829  </v>
      </c>
    </row>
    <row r="769" spans="1:4" x14ac:dyDescent="0.55000000000000004">
      <c r="A769" s="1">
        <v>2440802094</v>
      </c>
      <c r="B769" s="1" t="s">
        <v>2014</v>
      </c>
      <c r="C769" s="1" t="str">
        <f>"伊勢市一之木4丁目845-2"</f>
        <v>伊勢市一之木4丁目845-2</v>
      </c>
      <c r="D769" s="1" t="str">
        <f>"0596-28-1000  "</f>
        <v xml:space="preserve">0596-28-1000  </v>
      </c>
    </row>
    <row r="770" spans="1:4" x14ac:dyDescent="0.55000000000000004">
      <c r="A770" s="1">
        <v>2440802110</v>
      </c>
      <c r="B770" s="1" t="s">
        <v>2015</v>
      </c>
      <c r="C770" s="1" t="s">
        <v>3093</v>
      </c>
      <c r="D770" s="1" t="str">
        <f>"0596-20-1193  "</f>
        <v xml:space="preserve">0596-20-1193  </v>
      </c>
    </row>
    <row r="771" spans="1:4" x14ac:dyDescent="0.55000000000000004">
      <c r="A771" s="1">
        <v>2440802136</v>
      </c>
      <c r="B771" s="1" t="s">
        <v>2016</v>
      </c>
      <c r="C771" s="1" t="s">
        <v>3094</v>
      </c>
      <c r="D771" s="1" t="str">
        <f>"0596-63-5720  "</f>
        <v xml:space="preserve">0596-63-5720  </v>
      </c>
    </row>
    <row r="772" spans="1:4" x14ac:dyDescent="0.55000000000000004">
      <c r="A772" s="1">
        <v>2440802151</v>
      </c>
      <c r="B772" s="1" t="s">
        <v>2017</v>
      </c>
      <c r="C772" s="1" t="str">
        <f>"伊勢市小木町674-1"</f>
        <v>伊勢市小木町674-1</v>
      </c>
      <c r="D772" s="1" t="str">
        <f>"0596-31-3171  "</f>
        <v xml:space="preserve">0596-31-3171  </v>
      </c>
    </row>
    <row r="773" spans="1:4" x14ac:dyDescent="0.55000000000000004">
      <c r="A773" s="1">
        <v>2440802177</v>
      </c>
      <c r="B773" s="1" t="s">
        <v>2018</v>
      </c>
      <c r="C773" s="1" t="str">
        <f>"伊勢市常磐1丁目5-16"</f>
        <v>伊勢市常磐1丁目5-16</v>
      </c>
      <c r="D773" s="1" t="str">
        <f>"0596-20-8700  "</f>
        <v xml:space="preserve">0596-20-8700  </v>
      </c>
    </row>
    <row r="774" spans="1:4" x14ac:dyDescent="0.55000000000000004">
      <c r="A774" s="1">
        <v>2440802185</v>
      </c>
      <c r="B774" s="1" t="s">
        <v>2019</v>
      </c>
      <c r="C774" s="1" t="str">
        <f>"伊勢市御薗町長屋2004-3"</f>
        <v>伊勢市御薗町長屋2004-3</v>
      </c>
      <c r="D774" s="1" t="str">
        <f>"0596-72-8220  "</f>
        <v xml:space="preserve">0596-72-8220  </v>
      </c>
    </row>
    <row r="775" spans="1:4" x14ac:dyDescent="0.55000000000000004">
      <c r="A775" s="1">
        <v>2440802193</v>
      </c>
      <c r="B775" s="1" t="s">
        <v>2020</v>
      </c>
      <c r="C775" s="1" t="str">
        <f>"伊勢市大湊町812-3"</f>
        <v>伊勢市大湊町812-3</v>
      </c>
      <c r="D775" s="1" t="str">
        <f>"0596-63-8063  "</f>
        <v xml:space="preserve">0596-63-8063  </v>
      </c>
    </row>
    <row r="776" spans="1:4" x14ac:dyDescent="0.55000000000000004">
      <c r="A776" s="1">
        <v>2440802201</v>
      </c>
      <c r="B776" s="1" t="s">
        <v>2021</v>
      </c>
      <c r="C776" s="1" t="s">
        <v>2022</v>
      </c>
      <c r="D776" s="1" t="str">
        <f>"0596-63-6452  "</f>
        <v xml:space="preserve">0596-63-6452  </v>
      </c>
    </row>
    <row r="777" spans="1:4" x14ac:dyDescent="0.55000000000000004">
      <c r="A777" s="1">
        <v>2440802227</v>
      </c>
      <c r="B777" s="1" t="s">
        <v>2023</v>
      </c>
      <c r="C777" s="1" t="s">
        <v>2024</v>
      </c>
      <c r="D777" s="1" t="str">
        <f>"0596-21-1986  "</f>
        <v xml:space="preserve">0596-21-1986  </v>
      </c>
    </row>
    <row r="778" spans="1:4" x14ac:dyDescent="0.55000000000000004">
      <c r="A778" s="1">
        <v>2440802235</v>
      </c>
      <c r="B778" s="1" t="s">
        <v>2025</v>
      </c>
      <c r="C778" s="1" t="s">
        <v>2026</v>
      </c>
      <c r="D778" s="1" t="str">
        <f>"0596-67-5252  "</f>
        <v xml:space="preserve">0596-67-5252  </v>
      </c>
    </row>
    <row r="779" spans="1:4" x14ac:dyDescent="0.55000000000000004">
      <c r="A779" s="1">
        <v>2440802243</v>
      </c>
      <c r="B779" s="1" t="s">
        <v>2027</v>
      </c>
      <c r="C779" s="1" t="s">
        <v>2028</v>
      </c>
      <c r="D779" s="1" t="str">
        <f>"0596-35-0090  "</f>
        <v xml:space="preserve">0596-35-0090  </v>
      </c>
    </row>
    <row r="780" spans="1:4" x14ac:dyDescent="0.55000000000000004">
      <c r="A780" s="1">
        <v>2440802250</v>
      </c>
      <c r="B780" s="1" t="s">
        <v>2029</v>
      </c>
      <c r="C780" s="1" t="str">
        <f>"伊勢市岡本三丁目285-3"</f>
        <v>伊勢市岡本三丁目285-3</v>
      </c>
      <c r="D780" s="1" t="str">
        <f>"0596-65-7220  "</f>
        <v xml:space="preserve">0596-65-7220  </v>
      </c>
    </row>
    <row r="781" spans="1:4" x14ac:dyDescent="0.55000000000000004">
      <c r="A781" s="1">
        <v>2440802268</v>
      </c>
      <c r="B781" s="1" t="s">
        <v>2030</v>
      </c>
      <c r="C781" s="1" t="s">
        <v>2031</v>
      </c>
      <c r="D781" s="1" t="str">
        <f>"0596-63-5290  "</f>
        <v xml:space="preserve">0596-63-5290  </v>
      </c>
    </row>
    <row r="782" spans="1:4" x14ac:dyDescent="0.55000000000000004">
      <c r="A782" s="1">
        <v>2440802276</v>
      </c>
      <c r="B782" s="1" t="s">
        <v>2032</v>
      </c>
      <c r="C782" s="1" t="str">
        <f>"伊勢市小俣町明野1102-9"</f>
        <v>伊勢市小俣町明野1102-9</v>
      </c>
      <c r="D782" s="1" t="str">
        <f>"0596-65-7825  "</f>
        <v xml:space="preserve">0596-65-7825  </v>
      </c>
    </row>
    <row r="783" spans="1:4" x14ac:dyDescent="0.55000000000000004">
      <c r="A783" s="1">
        <v>2440802284</v>
      </c>
      <c r="B783" s="1" t="s">
        <v>2033</v>
      </c>
      <c r="C783" s="1" t="s">
        <v>2034</v>
      </c>
      <c r="D783" s="1" t="str">
        <f>"0596-44-2020  "</f>
        <v xml:space="preserve">0596-44-2020  </v>
      </c>
    </row>
    <row r="784" spans="1:4" x14ac:dyDescent="0.55000000000000004">
      <c r="A784" s="1">
        <v>2440802292</v>
      </c>
      <c r="B784" s="1" t="s">
        <v>2035</v>
      </c>
      <c r="C784" s="1" t="s">
        <v>2036</v>
      </c>
      <c r="D784" s="1" t="str">
        <f>"0596-72-8370  "</f>
        <v xml:space="preserve">0596-72-8370  </v>
      </c>
    </row>
    <row r="785" spans="1:4" x14ac:dyDescent="0.55000000000000004">
      <c r="A785" s="1">
        <v>2440802300</v>
      </c>
      <c r="B785" s="1" t="s">
        <v>2037</v>
      </c>
      <c r="C785" s="1" t="s">
        <v>2038</v>
      </c>
      <c r="D785" s="1" t="str">
        <f>"0596-72-8230  "</f>
        <v xml:space="preserve">0596-72-8230  </v>
      </c>
    </row>
    <row r="786" spans="1:4" x14ac:dyDescent="0.55000000000000004">
      <c r="A786" s="1">
        <v>2440802318</v>
      </c>
      <c r="B786" s="1" t="s">
        <v>2039</v>
      </c>
      <c r="C786" s="1" t="str">
        <f>"伊勢市藤里町671-7"</f>
        <v>伊勢市藤里町671-7</v>
      </c>
      <c r="D786" s="1" t="str">
        <f>"0596-25-0505  "</f>
        <v xml:space="preserve">0596-25-0505  </v>
      </c>
    </row>
    <row r="787" spans="1:4" x14ac:dyDescent="0.55000000000000004">
      <c r="A787" s="1">
        <v>2440802326</v>
      </c>
      <c r="B787" s="1" t="s">
        <v>2040</v>
      </c>
      <c r="C787" s="1" t="s">
        <v>2041</v>
      </c>
      <c r="D787" s="1" t="str">
        <f>"0596-63-6142  "</f>
        <v xml:space="preserve">0596-63-6142  </v>
      </c>
    </row>
    <row r="788" spans="1:4" x14ac:dyDescent="0.55000000000000004">
      <c r="A788" s="1">
        <v>2440802334</v>
      </c>
      <c r="B788" s="1" t="s">
        <v>2042</v>
      </c>
      <c r="C788" s="1" t="s">
        <v>2043</v>
      </c>
      <c r="D788" s="1" t="str">
        <f>"0596-63-8170  "</f>
        <v xml:space="preserve">0596-63-8170  </v>
      </c>
    </row>
    <row r="789" spans="1:4" x14ac:dyDescent="0.55000000000000004">
      <c r="A789" s="1">
        <v>2440802342</v>
      </c>
      <c r="B789" s="1" t="s">
        <v>2044</v>
      </c>
      <c r="C789" s="1" t="s">
        <v>2045</v>
      </c>
      <c r="D789" s="1" t="str">
        <f>"0596-65-5270  "</f>
        <v xml:space="preserve">0596-65-5270  </v>
      </c>
    </row>
    <row r="790" spans="1:4" x14ac:dyDescent="0.55000000000000004">
      <c r="A790" s="1">
        <v>2440802359</v>
      </c>
      <c r="B790" s="1" t="s">
        <v>2046</v>
      </c>
      <c r="C790" s="1" t="str">
        <f>"伊勢市西豊浜町110-2"</f>
        <v>伊勢市西豊浜町110-2</v>
      </c>
      <c r="D790" s="1" t="str">
        <f>"0596-38-2700  "</f>
        <v xml:space="preserve">0596-38-2700  </v>
      </c>
    </row>
    <row r="791" spans="1:4" x14ac:dyDescent="0.55000000000000004">
      <c r="A791" s="1">
        <v>2440802367</v>
      </c>
      <c r="B791" s="1" t="s">
        <v>2047</v>
      </c>
      <c r="C791" s="1" t="str">
        <f>"伊勢市御薗町長屋2002-1"</f>
        <v>伊勢市御薗町長屋2002-1</v>
      </c>
      <c r="D791" s="1" t="str">
        <f>"0596-20-6711  "</f>
        <v xml:space="preserve">0596-20-6711  </v>
      </c>
    </row>
    <row r="792" spans="1:4" x14ac:dyDescent="0.55000000000000004">
      <c r="A792" s="1">
        <v>2440802375</v>
      </c>
      <c r="B792" s="1" t="s">
        <v>2048</v>
      </c>
      <c r="C792" s="1" t="str">
        <f>"伊勢市宮後3丁目2-11"</f>
        <v>伊勢市宮後3丁目2-11</v>
      </c>
      <c r="D792" s="1" t="str">
        <f>"0596-24-4424  "</f>
        <v xml:space="preserve">0596-24-4424  </v>
      </c>
    </row>
    <row r="793" spans="1:4" x14ac:dyDescent="0.55000000000000004">
      <c r="A793" s="1">
        <v>2440802383</v>
      </c>
      <c r="B793" s="1" t="s">
        <v>2049</v>
      </c>
      <c r="C793" s="1" t="str">
        <f>"伊勢市常磐2丁目6-27"</f>
        <v>伊勢市常磐2丁目6-27</v>
      </c>
      <c r="D793" s="1" t="str">
        <f>"0596-20-1000  "</f>
        <v xml:space="preserve">0596-20-1000  </v>
      </c>
    </row>
    <row r="794" spans="1:4" x14ac:dyDescent="0.55000000000000004">
      <c r="A794" s="1">
        <v>2440802391</v>
      </c>
      <c r="B794" s="1" t="s">
        <v>2050</v>
      </c>
      <c r="C794" s="1" t="s">
        <v>2051</v>
      </c>
      <c r="D794" s="1" t="str">
        <f>"0596-25-7600  "</f>
        <v xml:space="preserve">0596-25-7600  </v>
      </c>
    </row>
    <row r="795" spans="1:4" x14ac:dyDescent="0.55000000000000004">
      <c r="A795" s="1">
        <v>2440802409</v>
      </c>
      <c r="B795" s="1" t="s">
        <v>2052</v>
      </c>
      <c r="C795" s="1" t="str">
        <f>"伊勢市八日市場町5-19"</f>
        <v>伊勢市八日市場町5-19</v>
      </c>
      <c r="D795" s="1" t="str">
        <f>"0596-29-2100  "</f>
        <v xml:space="preserve">0596-29-2100  </v>
      </c>
    </row>
    <row r="796" spans="1:4" x14ac:dyDescent="0.55000000000000004">
      <c r="A796" s="1">
        <v>2440802417</v>
      </c>
      <c r="B796" s="1" t="s">
        <v>1349</v>
      </c>
      <c r="C796" s="1" t="s">
        <v>2053</v>
      </c>
      <c r="D796" s="1" t="str">
        <f>"0596-20-0002  "</f>
        <v xml:space="preserve">0596-20-0002  </v>
      </c>
    </row>
    <row r="797" spans="1:4" x14ac:dyDescent="0.55000000000000004">
      <c r="A797" s="1">
        <v>2442800294</v>
      </c>
      <c r="B797" s="1" t="s">
        <v>2243</v>
      </c>
      <c r="C797" s="1" t="s">
        <v>3127</v>
      </c>
      <c r="D797" s="1" t="str">
        <f>"0596-58-4328  "</f>
        <v xml:space="preserve">0596-58-4328  </v>
      </c>
    </row>
    <row r="798" spans="1:4" x14ac:dyDescent="0.55000000000000004">
      <c r="A798" s="1">
        <v>2442800534</v>
      </c>
      <c r="B798" s="1" t="s">
        <v>2247</v>
      </c>
      <c r="C798" s="1" t="str">
        <f>"度会郡玉城町佐田881-5"</f>
        <v>度会郡玉城町佐田881-5</v>
      </c>
      <c r="D798" s="1" t="str">
        <f>"0596-58-3484  "</f>
        <v xml:space="preserve">0596-58-3484  </v>
      </c>
    </row>
    <row r="799" spans="1:4" x14ac:dyDescent="0.55000000000000004">
      <c r="A799" s="1">
        <v>2442800575</v>
      </c>
      <c r="B799" s="1" t="s">
        <v>2248</v>
      </c>
      <c r="C799" s="1" t="s">
        <v>3130</v>
      </c>
      <c r="D799" s="1" t="str">
        <f>"0596-58-0022  "</f>
        <v xml:space="preserve">0596-58-0022  </v>
      </c>
    </row>
    <row r="800" spans="1:4" x14ac:dyDescent="0.55000000000000004">
      <c r="A800" s="1">
        <v>2442800609</v>
      </c>
      <c r="B800" s="1" t="s">
        <v>2249</v>
      </c>
      <c r="C800" s="1" t="s">
        <v>2250</v>
      </c>
      <c r="D800" s="1" t="str">
        <f>"0596-58-8272  "</f>
        <v xml:space="preserve">0596-58-8272  </v>
      </c>
    </row>
    <row r="801" spans="1:4" x14ac:dyDescent="0.55000000000000004">
      <c r="A801" s="1">
        <v>2442800625</v>
      </c>
      <c r="B801" s="1" t="s">
        <v>2251</v>
      </c>
      <c r="C801" s="1" t="str">
        <f>"度会郡玉城町蚊野2148-3"</f>
        <v>度会郡玉城町蚊野2148-3</v>
      </c>
      <c r="D801" s="1" t="str">
        <f>"0596-58-9968  "</f>
        <v xml:space="preserve">0596-58-9968  </v>
      </c>
    </row>
    <row r="802" spans="1:4" x14ac:dyDescent="0.55000000000000004">
      <c r="A802" s="1">
        <v>2442800641</v>
      </c>
      <c r="B802" s="1" t="s">
        <v>2254</v>
      </c>
      <c r="C802" s="1" t="s">
        <v>2255</v>
      </c>
      <c r="D802" s="1" t="str">
        <f>"0596-58-8931  "</f>
        <v xml:space="preserve">0596-58-8931  </v>
      </c>
    </row>
    <row r="803" spans="1:4" x14ac:dyDescent="0.55000000000000004">
      <c r="A803" s="1">
        <v>2442800716</v>
      </c>
      <c r="B803" s="1" t="s">
        <v>2258</v>
      </c>
      <c r="C803" s="1" t="str">
        <f>"度会郡玉城町下田辺725-16"</f>
        <v>度会郡玉城町下田辺725-16</v>
      </c>
      <c r="D803" s="1" t="str">
        <f>"0596-58-0055  "</f>
        <v xml:space="preserve">0596-58-0055  </v>
      </c>
    </row>
    <row r="804" spans="1:4" x14ac:dyDescent="0.55000000000000004">
      <c r="A804" s="1">
        <v>2442800633</v>
      </c>
      <c r="B804" s="1" t="s">
        <v>2252</v>
      </c>
      <c r="C804" s="1" t="s">
        <v>2253</v>
      </c>
      <c r="D804" s="1" t="str">
        <f>"0596-63-0107  "</f>
        <v xml:space="preserve">0596-63-0107  </v>
      </c>
    </row>
    <row r="805" spans="1:4" x14ac:dyDescent="0.55000000000000004">
      <c r="A805" s="1">
        <v>2442800740</v>
      </c>
      <c r="B805" s="1" t="s">
        <v>2260</v>
      </c>
      <c r="C805" s="1" t="s">
        <v>2261</v>
      </c>
      <c r="D805" s="1" t="str">
        <f>"0596-63-9820  "</f>
        <v xml:space="preserve">0596-63-9820  </v>
      </c>
    </row>
    <row r="806" spans="1:4" x14ac:dyDescent="0.55000000000000004">
      <c r="A806" s="1">
        <v>2442800674</v>
      </c>
      <c r="B806" s="1" t="s">
        <v>2256</v>
      </c>
      <c r="C806" s="1" t="str">
        <f>"度会郡大紀町錦915-66"</f>
        <v>度会郡大紀町錦915-66</v>
      </c>
      <c r="D806" s="1" t="str">
        <f>"0598-73-3710  "</f>
        <v xml:space="preserve">0598-73-3710  </v>
      </c>
    </row>
    <row r="807" spans="1:4" x14ac:dyDescent="0.55000000000000004">
      <c r="A807" s="1">
        <v>2442800427</v>
      </c>
      <c r="B807" s="1" t="s">
        <v>2244</v>
      </c>
      <c r="C807" s="1" t="s">
        <v>3128</v>
      </c>
      <c r="D807" s="1" t="str">
        <f>"0599-67-1000  "</f>
        <v xml:space="preserve">0599-67-1000  </v>
      </c>
    </row>
    <row r="808" spans="1:4" x14ac:dyDescent="0.55000000000000004">
      <c r="A808" s="1">
        <v>2442800443</v>
      </c>
      <c r="B808" s="1" t="s">
        <v>2245</v>
      </c>
      <c r="C808" s="1" t="s">
        <v>3129</v>
      </c>
      <c r="D808" s="1" t="str">
        <f>"0599-66-1228  "</f>
        <v xml:space="preserve">0599-66-1228  </v>
      </c>
    </row>
    <row r="809" spans="1:4" x14ac:dyDescent="0.55000000000000004">
      <c r="A809" s="1">
        <v>2442800518</v>
      </c>
      <c r="B809" s="1" t="s">
        <v>2246</v>
      </c>
      <c r="C809" s="1" t="str">
        <f>"度会郡南伊勢町田曽浦3845-1"</f>
        <v>度会郡南伊勢町田曽浦3845-1</v>
      </c>
      <c r="D809" s="1" t="str">
        <f>"0599-69-8020  "</f>
        <v xml:space="preserve">0599-69-8020  </v>
      </c>
    </row>
    <row r="810" spans="1:4" x14ac:dyDescent="0.55000000000000004">
      <c r="A810" s="1">
        <v>2442800690</v>
      </c>
      <c r="B810" s="1" t="s">
        <v>2257</v>
      </c>
      <c r="C810" s="1" t="s">
        <v>3131</v>
      </c>
      <c r="D810" s="1" t="str">
        <f>"0599-66-2255  "</f>
        <v xml:space="preserve">0599-66-2255  </v>
      </c>
    </row>
    <row r="811" spans="1:4" x14ac:dyDescent="0.55000000000000004">
      <c r="A811" s="1">
        <v>2442800732</v>
      </c>
      <c r="B811" s="1" t="s">
        <v>2259</v>
      </c>
      <c r="C811" s="1" t="str">
        <f>"度会郡南伊勢町船越2552-2"</f>
        <v>度会郡南伊勢町船越2552-2</v>
      </c>
      <c r="D811" s="1" t="str">
        <f>"0599-77-4688  "</f>
        <v xml:space="preserve">0599-77-4688  </v>
      </c>
    </row>
    <row r="812" spans="1:4" x14ac:dyDescent="0.55000000000000004">
      <c r="A812" s="1">
        <v>2440900112</v>
      </c>
      <c r="B812" s="1" t="s">
        <v>2055</v>
      </c>
      <c r="C812" s="1" t="str">
        <f>"鳥羽市鳥羽4丁目13-2"</f>
        <v>鳥羽市鳥羽4丁目13-2</v>
      </c>
      <c r="D812" s="1" t="str">
        <f>"0599-21-1193  "</f>
        <v xml:space="preserve">0599-21-1193  </v>
      </c>
    </row>
    <row r="813" spans="1:4" x14ac:dyDescent="0.55000000000000004">
      <c r="A813" s="1">
        <v>2440900120</v>
      </c>
      <c r="B813" s="1" t="s">
        <v>2056</v>
      </c>
      <c r="C813" s="1" t="str">
        <f>"鳥羽市大明西町1-1"</f>
        <v>鳥羽市大明西町1-1</v>
      </c>
      <c r="D813" s="1" t="str">
        <f>"0599-26-4312  "</f>
        <v xml:space="preserve">0599-26-4312  </v>
      </c>
    </row>
    <row r="814" spans="1:4" x14ac:dyDescent="0.55000000000000004">
      <c r="A814" s="1">
        <v>2442900177</v>
      </c>
      <c r="B814" s="1" t="s">
        <v>2054</v>
      </c>
      <c r="C814" s="1" t="s">
        <v>3132</v>
      </c>
      <c r="D814" s="1" t="str">
        <f>"0599-55-0015  "</f>
        <v xml:space="preserve">0599-55-0015  </v>
      </c>
    </row>
    <row r="815" spans="1:4" x14ac:dyDescent="0.55000000000000004">
      <c r="A815" s="1">
        <v>2442900284</v>
      </c>
      <c r="B815" s="1" t="s">
        <v>2265</v>
      </c>
      <c r="C815" s="1" t="str">
        <f>"志摩市志摩町布施田1700-1"</f>
        <v>志摩市志摩町布施田1700-1</v>
      </c>
      <c r="D815" s="1" t="str">
        <f>"0599-85-7001  "</f>
        <v xml:space="preserve">0599-85-7001  </v>
      </c>
    </row>
    <row r="816" spans="1:4" x14ac:dyDescent="0.55000000000000004">
      <c r="A816" s="1">
        <v>2442900300</v>
      </c>
      <c r="B816" s="1" t="s">
        <v>2266</v>
      </c>
      <c r="C816" s="1" t="str">
        <f>"志摩市磯部町迫間367-3"</f>
        <v>志摩市磯部町迫間367-3</v>
      </c>
      <c r="D816" s="1" t="str">
        <f>"0599-56-0030  "</f>
        <v xml:space="preserve">0599-56-0030  </v>
      </c>
    </row>
    <row r="817" spans="1:4" x14ac:dyDescent="0.55000000000000004">
      <c r="A817" s="1">
        <v>2442900482</v>
      </c>
      <c r="B817" s="1" t="s">
        <v>2267</v>
      </c>
      <c r="C817" s="1" t="str">
        <f>"志摩市志摩町和具1962-7"</f>
        <v>志摩市志摩町和具1962-7</v>
      </c>
      <c r="D817" s="1" t="str">
        <f>"0599-85-0088  "</f>
        <v xml:space="preserve">0599-85-0088  </v>
      </c>
    </row>
    <row r="818" spans="1:4" x14ac:dyDescent="0.55000000000000004">
      <c r="A818" s="1">
        <v>2442900516</v>
      </c>
      <c r="B818" s="1" t="s">
        <v>2268</v>
      </c>
      <c r="C818" s="1" t="s">
        <v>3133</v>
      </c>
      <c r="D818" s="1" t="str">
        <f>"0599-55-0181  "</f>
        <v xml:space="preserve">0599-55-0181  </v>
      </c>
    </row>
    <row r="819" spans="1:4" x14ac:dyDescent="0.55000000000000004">
      <c r="A819" s="1">
        <v>2442900524</v>
      </c>
      <c r="B819" s="1" t="s">
        <v>2269</v>
      </c>
      <c r="C819" s="1" t="s">
        <v>3134</v>
      </c>
      <c r="D819" s="1" t="str">
        <f>"0599-44-1911  "</f>
        <v xml:space="preserve">0599-44-1911  </v>
      </c>
    </row>
    <row r="820" spans="1:4" x14ac:dyDescent="0.55000000000000004">
      <c r="A820" s="1">
        <v>2442900540</v>
      </c>
      <c r="B820" s="1" t="s">
        <v>2270</v>
      </c>
      <c r="C820" s="1" t="str">
        <f>"志摩市阿児町鵜方1207-2"</f>
        <v>志摩市阿児町鵜方1207-2</v>
      </c>
      <c r="D820" s="1" t="str">
        <f>"0599-43-1032  "</f>
        <v xml:space="preserve">0599-43-1032  </v>
      </c>
    </row>
    <row r="821" spans="1:4" x14ac:dyDescent="0.55000000000000004">
      <c r="A821" s="1">
        <v>2442900565</v>
      </c>
      <c r="B821" s="1" t="s">
        <v>2271</v>
      </c>
      <c r="C821" s="1" t="str">
        <f>"志摩市阿児町鵜方3155-4"</f>
        <v>志摩市阿児町鵜方3155-4</v>
      </c>
      <c r="D821" s="1" t="str">
        <f>"0599-43-1696  "</f>
        <v xml:space="preserve">0599-43-1696  </v>
      </c>
    </row>
    <row r="822" spans="1:4" x14ac:dyDescent="0.55000000000000004">
      <c r="A822" s="1">
        <v>2442900573</v>
      </c>
      <c r="B822" s="1" t="s">
        <v>2263</v>
      </c>
      <c r="C822" s="1" t="s">
        <v>3135</v>
      </c>
      <c r="D822" s="1" t="str">
        <f>"0599-85-2012  "</f>
        <v xml:space="preserve">0599-85-2012  </v>
      </c>
    </row>
    <row r="823" spans="1:4" x14ac:dyDescent="0.55000000000000004">
      <c r="A823" s="1">
        <v>2442900599</v>
      </c>
      <c r="B823" s="1" t="s">
        <v>2272</v>
      </c>
      <c r="C823" s="1" t="str">
        <f>"志摩市志摩町和具1073-1"</f>
        <v>志摩市志摩町和具1073-1</v>
      </c>
      <c r="D823" s="1" t="str">
        <f>"0599-84-2000  "</f>
        <v xml:space="preserve">0599-84-2000  </v>
      </c>
    </row>
    <row r="824" spans="1:4" x14ac:dyDescent="0.55000000000000004">
      <c r="A824" s="1">
        <v>2442900607</v>
      </c>
      <c r="B824" s="1" t="s">
        <v>2264</v>
      </c>
      <c r="C824" s="1" t="str">
        <f>"志摩市大王町波切1992-3"</f>
        <v>志摩市大王町波切1992-3</v>
      </c>
      <c r="D824" s="1" t="str">
        <f>"0599-72-3001  "</f>
        <v xml:space="preserve">0599-72-3001  </v>
      </c>
    </row>
    <row r="825" spans="1:4" x14ac:dyDescent="0.55000000000000004">
      <c r="A825" s="1">
        <v>2442900649</v>
      </c>
      <c r="B825" s="1" t="s">
        <v>2273</v>
      </c>
      <c r="C825" s="1" t="s">
        <v>2274</v>
      </c>
      <c r="D825" s="1" t="str">
        <f>"0599-44-5800  "</f>
        <v xml:space="preserve">0599-44-5800  </v>
      </c>
    </row>
    <row r="826" spans="1:4" x14ac:dyDescent="0.55000000000000004">
      <c r="A826" s="1">
        <v>2442900664</v>
      </c>
      <c r="B826" s="1" t="s">
        <v>2262</v>
      </c>
      <c r="C826" s="1" t="str">
        <f>"志摩市阿児町鵜方4049-6"</f>
        <v>志摩市阿児町鵜方4049-6</v>
      </c>
      <c r="D826" s="1" t="str">
        <f>"0599-43-5211  "</f>
        <v xml:space="preserve">0599-43-5211  </v>
      </c>
    </row>
    <row r="827" spans="1:4" x14ac:dyDescent="0.55000000000000004">
      <c r="A827" s="1">
        <v>2442900672</v>
      </c>
      <c r="B827" s="1" t="s">
        <v>2275</v>
      </c>
      <c r="C827" s="1" t="str">
        <f>"志摩市浜島町南張6-6"</f>
        <v>志摩市浜島町南張6-6</v>
      </c>
      <c r="D827" s="1" t="str">
        <f>"0599-54-0077  "</f>
        <v xml:space="preserve">0599-54-0077  </v>
      </c>
    </row>
    <row r="828" spans="1:4" x14ac:dyDescent="0.55000000000000004">
      <c r="A828" s="1">
        <v>2442900680</v>
      </c>
      <c r="B828" s="1" t="s">
        <v>2276</v>
      </c>
      <c r="C828" s="1" t="s">
        <v>3136</v>
      </c>
      <c r="D828" s="1" t="str">
        <f>"0599-45-0005  "</f>
        <v xml:space="preserve">0599-45-0005  </v>
      </c>
    </row>
    <row r="829" spans="1:4" x14ac:dyDescent="0.55000000000000004">
      <c r="A829" s="1">
        <v>2442900706</v>
      </c>
      <c r="B829" s="1" t="s">
        <v>2277</v>
      </c>
      <c r="C829" s="1" t="str">
        <f>"志摩市阿児町鵜方748-1"</f>
        <v>志摩市阿児町鵜方748-1</v>
      </c>
      <c r="D829" s="1" t="str">
        <f>"0599-44-5100  "</f>
        <v xml:space="preserve">0599-44-5100  </v>
      </c>
    </row>
    <row r="830" spans="1:4" x14ac:dyDescent="0.55000000000000004">
      <c r="A830" s="1">
        <v>2442900730</v>
      </c>
      <c r="B830" s="1" t="s">
        <v>2278</v>
      </c>
      <c r="C830" s="1" t="str">
        <f>"志摩市志摩町越賀1691-7"</f>
        <v>志摩市志摩町越賀1691-7</v>
      </c>
      <c r="D830" s="1" t="str">
        <f>"0599-84-0082  "</f>
        <v xml:space="preserve">0599-84-0082  </v>
      </c>
    </row>
    <row r="831" spans="1:4" x14ac:dyDescent="0.55000000000000004">
      <c r="A831" s="1">
        <v>2442900755</v>
      </c>
      <c r="B831" s="1" t="s">
        <v>2279</v>
      </c>
      <c r="C831" s="1" t="s">
        <v>3137</v>
      </c>
      <c r="D831" s="1" t="str">
        <f>"0599-56-0101  "</f>
        <v xml:space="preserve">0599-56-0101  </v>
      </c>
    </row>
    <row r="832" spans="1:4" x14ac:dyDescent="0.55000000000000004">
      <c r="A832" s="1">
        <v>2442900763</v>
      </c>
      <c r="B832" s="1" t="s">
        <v>2280</v>
      </c>
      <c r="C832" s="1" t="str">
        <f>"志摩市磯部町迫間49-15"</f>
        <v>志摩市磯部町迫間49-15</v>
      </c>
      <c r="D832" s="1" t="str">
        <f>"0599-56-2007  "</f>
        <v xml:space="preserve">0599-56-2007  </v>
      </c>
    </row>
    <row r="833" spans="1:4" x14ac:dyDescent="0.55000000000000004">
      <c r="A833" s="1">
        <v>2442900771</v>
      </c>
      <c r="B833" s="1" t="s">
        <v>2281</v>
      </c>
      <c r="C833" s="1" t="str">
        <f>"志摩市浜島町浜島1780－7"</f>
        <v>志摩市浜島町浜島1780－7</v>
      </c>
      <c r="D833" s="1" t="str">
        <f>"0599-65-7441  "</f>
        <v xml:space="preserve">0599-65-7441  </v>
      </c>
    </row>
    <row r="834" spans="1:4" x14ac:dyDescent="0.55000000000000004">
      <c r="A834" s="1">
        <v>2442900789</v>
      </c>
      <c r="B834" s="1" t="s">
        <v>2282</v>
      </c>
      <c r="C834" s="1" t="s">
        <v>2283</v>
      </c>
      <c r="D834" s="1" t="str">
        <f>"0599-44-1957  "</f>
        <v xml:space="preserve">0599-44-1957  </v>
      </c>
    </row>
    <row r="835" spans="1:4" x14ac:dyDescent="0.55000000000000004">
      <c r="A835" s="1">
        <v>2442900797</v>
      </c>
      <c r="B835" s="1" t="s">
        <v>2284</v>
      </c>
      <c r="C835" s="1" t="str">
        <f>"志摩市阿児町鵜方1262-16"</f>
        <v>志摩市阿児町鵜方1262-16</v>
      </c>
      <c r="D835" s="1" t="str">
        <f>"0599-46-0777  "</f>
        <v xml:space="preserve">0599-46-0777  </v>
      </c>
    </row>
    <row r="836" spans="1:4" x14ac:dyDescent="0.55000000000000004">
      <c r="A836" s="1">
        <v>2442900805</v>
      </c>
      <c r="B836" s="1" t="s">
        <v>2285</v>
      </c>
      <c r="C836" s="1" t="str">
        <f>"志摩市阿児町鵜方3016-24"</f>
        <v>志摩市阿児町鵜方3016-24</v>
      </c>
      <c r="D836" s="1" t="str">
        <f>"0599-44-3725  "</f>
        <v xml:space="preserve">0599-44-3725  </v>
      </c>
    </row>
    <row r="837" spans="1:4" x14ac:dyDescent="0.55000000000000004">
      <c r="A837" s="1">
        <v>2442900813</v>
      </c>
      <c r="B837" s="1" t="s">
        <v>2286</v>
      </c>
      <c r="C837" s="1" t="s">
        <v>2287</v>
      </c>
      <c r="D837" s="1" t="str">
        <f>"0599-53-0215  "</f>
        <v xml:space="preserve">0599-53-0215  </v>
      </c>
    </row>
    <row r="838" spans="1:4" x14ac:dyDescent="0.55000000000000004">
      <c r="A838" s="1">
        <v>2442900821</v>
      </c>
      <c r="B838" s="1" t="s">
        <v>2288</v>
      </c>
      <c r="C838" s="1" t="str">
        <f>"志摩市阿児町鵜方3009-34"</f>
        <v>志摩市阿児町鵜方3009-34</v>
      </c>
      <c r="D838" s="1" t="str">
        <f>"0599-44-1500  "</f>
        <v xml:space="preserve">0599-44-1500  </v>
      </c>
    </row>
    <row r="839" spans="1:4" x14ac:dyDescent="0.55000000000000004">
      <c r="A839" s="1">
        <v>2442900839</v>
      </c>
      <c r="B839" s="1" t="s">
        <v>2270</v>
      </c>
      <c r="C839" s="1" t="str">
        <f>"志摩市阿児町鵜方1207-2"</f>
        <v>志摩市阿児町鵜方1207-2</v>
      </c>
      <c r="D839" s="1" t="str">
        <f>"0599-43-1032  "</f>
        <v xml:space="preserve">0599-43-1032  </v>
      </c>
    </row>
    <row r="840" spans="1:4" x14ac:dyDescent="0.55000000000000004">
      <c r="A840" s="1">
        <v>2441000060</v>
      </c>
      <c r="B840" s="1" t="s">
        <v>2057</v>
      </c>
      <c r="C840" s="1" t="str">
        <f>"尾鷲市朝日町9-25"</f>
        <v>尾鷲市朝日町9-25</v>
      </c>
      <c r="D840" s="1" t="str">
        <f>"0597-22-2321  "</f>
        <v xml:space="preserve">0597-22-2321  </v>
      </c>
    </row>
    <row r="841" spans="1:4" x14ac:dyDescent="0.55000000000000004">
      <c r="A841" s="1">
        <v>2441000136</v>
      </c>
      <c r="B841" s="1" t="s">
        <v>2058</v>
      </c>
      <c r="C841" s="1" t="str">
        <f>"尾鷲市上野町5-39"</f>
        <v>尾鷲市上野町5-39</v>
      </c>
      <c r="D841" s="1" t="str">
        <f>"0597-23-1010  "</f>
        <v xml:space="preserve">0597-23-1010  </v>
      </c>
    </row>
    <row r="842" spans="1:4" x14ac:dyDescent="0.55000000000000004">
      <c r="A842" s="1">
        <v>2441000185</v>
      </c>
      <c r="B842" s="1" t="s">
        <v>2059</v>
      </c>
      <c r="C842" s="1" t="str">
        <f>"尾鷲市栄町5-6"</f>
        <v>尾鷲市栄町5-6</v>
      </c>
      <c r="D842" s="1" t="str">
        <f>"0597-22-1711  "</f>
        <v xml:space="preserve">0597-22-1711  </v>
      </c>
    </row>
    <row r="843" spans="1:4" x14ac:dyDescent="0.55000000000000004">
      <c r="A843" s="1">
        <v>2441000219</v>
      </c>
      <c r="B843" s="1" t="s">
        <v>2060</v>
      </c>
      <c r="C843" s="1" t="s">
        <v>3095</v>
      </c>
      <c r="D843" s="1" t="str">
        <f>"0597-23-2525  "</f>
        <v xml:space="preserve">0597-23-2525  </v>
      </c>
    </row>
    <row r="844" spans="1:4" x14ac:dyDescent="0.55000000000000004">
      <c r="A844" s="1">
        <v>2441000268</v>
      </c>
      <c r="B844" s="1" t="s">
        <v>2061</v>
      </c>
      <c r="C844" s="1" t="str">
        <f>"尾鷲市大滝町10-4"</f>
        <v>尾鷲市大滝町10-4</v>
      </c>
      <c r="D844" s="1" t="str">
        <f>"0597-23-3636  "</f>
        <v xml:space="preserve">0597-23-3636  </v>
      </c>
    </row>
    <row r="845" spans="1:4" x14ac:dyDescent="0.55000000000000004">
      <c r="A845" s="1">
        <v>2441000292</v>
      </c>
      <c r="B845" s="1" t="s">
        <v>2062</v>
      </c>
      <c r="C845" s="1" t="s">
        <v>3096</v>
      </c>
      <c r="D845" s="1" t="str">
        <f>"0597-25-0188  "</f>
        <v xml:space="preserve">0597-25-0188  </v>
      </c>
    </row>
    <row r="846" spans="1:4" x14ac:dyDescent="0.55000000000000004">
      <c r="A846" s="1">
        <v>2441000318</v>
      </c>
      <c r="B846" s="1" t="s">
        <v>2063</v>
      </c>
      <c r="C846" s="1" t="str">
        <f>"尾鷲市林町13-18"</f>
        <v>尾鷲市林町13-18</v>
      </c>
      <c r="D846" s="1" t="str">
        <f>"0597-22-1801  "</f>
        <v xml:space="preserve">0597-22-1801  </v>
      </c>
    </row>
    <row r="847" spans="1:4" x14ac:dyDescent="0.55000000000000004">
      <c r="A847" s="1">
        <v>2441000334</v>
      </c>
      <c r="B847" s="1" t="s">
        <v>2064</v>
      </c>
      <c r="C847" s="1" t="str">
        <f>"尾鷲市中川18-8"</f>
        <v>尾鷲市中川18-8</v>
      </c>
      <c r="D847" s="1" t="str">
        <f>"0597-25-0077  "</f>
        <v xml:space="preserve">0597-25-0077  </v>
      </c>
    </row>
    <row r="848" spans="1:4" x14ac:dyDescent="0.55000000000000004">
      <c r="A848" s="1">
        <v>2441000342</v>
      </c>
      <c r="B848" s="1" t="s">
        <v>2065</v>
      </c>
      <c r="C848" s="1" t="s">
        <v>3097</v>
      </c>
      <c r="D848" s="1" t="str">
        <f>"0597-22-4549  "</f>
        <v xml:space="preserve">0597-22-4549  </v>
      </c>
    </row>
    <row r="849" spans="1:4" x14ac:dyDescent="0.55000000000000004">
      <c r="A849" s="1">
        <v>2441000367</v>
      </c>
      <c r="B849" s="1" t="s">
        <v>2066</v>
      </c>
      <c r="C849" s="1" t="str">
        <f>"尾鷲市古戸町954-1"</f>
        <v>尾鷲市古戸町954-1</v>
      </c>
      <c r="D849" s="1" t="str">
        <f>"0597-89-6620  "</f>
        <v xml:space="preserve">0597-89-6620  </v>
      </c>
    </row>
    <row r="850" spans="1:4" x14ac:dyDescent="0.55000000000000004">
      <c r="A850" s="1">
        <v>2441000375</v>
      </c>
      <c r="B850" s="1" t="s">
        <v>2067</v>
      </c>
      <c r="C850" s="1" t="str">
        <f>"尾鷲市上野町753－35"</f>
        <v>尾鷲市上野町753－35</v>
      </c>
      <c r="D850" s="1" t="str">
        <f>"0597-22-9818  "</f>
        <v xml:space="preserve">0597-22-9818  </v>
      </c>
    </row>
    <row r="851" spans="1:4" x14ac:dyDescent="0.55000000000000004">
      <c r="A851" s="1">
        <v>2441000383</v>
      </c>
      <c r="B851" s="1" t="s">
        <v>2068</v>
      </c>
      <c r="C851" s="1" t="str">
        <f>"尾鷲市九鬼町1080-1"</f>
        <v>尾鷲市九鬼町1080-1</v>
      </c>
      <c r="D851" s="1" t="str">
        <f>"0597-29-2023  "</f>
        <v xml:space="preserve">0597-29-2023  </v>
      </c>
    </row>
    <row r="852" spans="1:4" x14ac:dyDescent="0.55000000000000004">
      <c r="A852" s="1">
        <v>2443000142</v>
      </c>
      <c r="B852" s="1" t="s">
        <v>2289</v>
      </c>
      <c r="C852" s="1" t="s">
        <v>3138</v>
      </c>
      <c r="D852" s="1" t="str">
        <f>"0597-47-5959  "</f>
        <v xml:space="preserve">0597-47-5959  </v>
      </c>
    </row>
    <row r="853" spans="1:4" x14ac:dyDescent="0.55000000000000004">
      <c r="A853" s="1">
        <v>2443000159</v>
      </c>
      <c r="B853" s="1" t="s">
        <v>2290</v>
      </c>
      <c r="C853" s="1" t="str">
        <f>"北牟婁郡紀北町東長島200-3"</f>
        <v>北牟婁郡紀北町東長島200-3</v>
      </c>
      <c r="D853" s="1" t="str">
        <f>"0597-47-3943  "</f>
        <v xml:space="preserve">0597-47-3943  </v>
      </c>
    </row>
    <row r="854" spans="1:4" x14ac:dyDescent="0.55000000000000004">
      <c r="A854" s="1">
        <v>2443000167</v>
      </c>
      <c r="B854" s="1" t="s">
        <v>2257</v>
      </c>
      <c r="C854" s="1" t="str">
        <f>"北牟婁郡紀北町相賀480-274"</f>
        <v>北牟婁郡紀北町相賀480-274</v>
      </c>
      <c r="D854" s="1" t="str">
        <f>"0597-33-0052  "</f>
        <v xml:space="preserve">0597-33-0052  </v>
      </c>
    </row>
    <row r="855" spans="1:4" x14ac:dyDescent="0.55000000000000004">
      <c r="A855" s="1">
        <v>2443000175</v>
      </c>
      <c r="B855" s="1" t="s">
        <v>2291</v>
      </c>
      <c r="C855" s="1" t="str">
        <f>"北牟婁郡紀北町引本浦883-1"</f>
        <v>北牟婁郡紀北町引本浦883-1</v>
      </c>
      <c r="D855" s="1" t="str">
        <f>"0597-32-3636  "</f>
        <v xml:space="preserve">0597-32-3636  </v>
      </c>
    </row>
    <row r="856" spans="1:4" x14ac:dyDescent="0.55000000000000004">
      <c r="A856" s="1">
        <v>2443000217</v>
      </c>
      <c r="B856" s="1" t="s">
        <v>2292</v>
      </c>
      <c r="C856" s="1" t="s">
        <v>2293</v>
      </c>
      <c r="D856" s="1" t="str">
        <f>"0597-46-2062  "</f>
        <v xml:space="preserve">0597-46-2062  </v>
      </c>
    </row>
    <row r="857" spans="1:4" x14ac:dyDescent="0.55000000000000004">
      <c r="A857" s="1">
        <v>2443000225</v>
      </c>
      <c r="B857" s="1" t="s">
        <v>1349</v>
      </c>
      <c r="C857" s="1" t="s">
        <v>2294</v>
      </c>
      <c r="D857" s="1" t="str">
        <f>"0597-32-4055  "</f>
        <v xml:space="preserve">0597-32-4055  </v>
      </c>
    </row>
    <row r="858" spans="1:4" x14ac:dyDescent="0.55000000000000004">
      <c r="A858" s="1">
        <v>2441100126</v>
      </c>
      <c r="B858" s="1" t="s">
        <v>2069</v>
      </c>
      <c r="C858" s="1" t="str">
        <f>"熊野市井戸町375-11"</f>
        <v>熊野市井戸町375-11</v>
      </c>
      <c r="D858" s="1" t="str">
        <f>"0597-89-5517  "</f>
        <v xml:space="preserve">0597-89-5517  </v>
      </c>
    </row>
    <row r="859" spans="1:4" x14ac:dyDescent="0.55000000000000004">
      <c r="A859" s="1">
        <v>2441100142</v>
      </c>
      <c r="B859" s="1" t="s">
        <v>2070</v>
      </c>
      <c r="C859" s="1" t="str">
        <f>"熊野市井戸町738-2"</f>
        <v>熊野市井戸町738-2</v>
      </c>
      <c r="D859" s="1" t="str">
        <f>"0597-85-3919  "</f>
        <v xml:space="preserve">0597-85-3919  </v>
      </c>
    </row>
    <row r="860" spans="1:4" x14ac:dyDescent="0.55000000000000004">
      <c r="A860" s="1">
        <v>2441100159</v>
      </c>
      <c r="B860" s="1" t="s">
        <v>2071</v>
      </c>
      <c r="C860" s="1" t="str">
        <f>"熊野市久生屋町882-12"</f>
        <v>熊野市久生屋町882-12</v>
      </c>
      <c r="D860" s="1" t="str">
        <f>"0597-88-2233  "</f>
        <v xml:space="preserve">0597-88-2233  </v>
      </c>
    </row>
    <row r="861" spans="1:4" x14ac:dyDescent="0.55000000000000004">
      <c r="A861" s="1">
        <v>2441100167</v>
      </c>
      <c r="B861" s="1" t="s">
        <v>2072</v>
      </c>
      <c r="C861" s="1" t="str">
        <f>"熊野市井戸町907-1"</f>
        <v>熊野市井戸町907-1</v>
      </c>
      <c r="D861" s="1" t="str">
        <f>"0597-88-1050  "</f>
        <v xml:space="preserve">0597-88-1050  </v>
      </c>
    </row>
    <row r="862" spans="1:4" x14ac:dyDescent="0.55000000000000004">
      <c r="A862" s="1">
        <v>2441100175</v>
      </c>
      <c r="B862" s="1" t="s">
        <v>2073</v>
      </c>
      <c r="C862" s="1" t="str">
        <f>"熊野市井戸町4972-1"</f>
        <v>熊野市井戸町4972-1</v>
      </c>
      <c r="D862" s="1" t="str">
        <f>"0597-88-2002  "</f>
        <v xml:space="preserve">0597-88-2002  </v>
      </c>
    </row>
    <row r="863" spans="1:4" x14ac:dyDescent="0.55000000000000004">
      <c r="A863" s="1">
        <v>2441100183</v>
      </c>
      <c r="B863" s="1" t="s">
        <v>2074</v>
      </c>
      <c r="C863" s="1" t="str">
        <f>"熊野市新鹿町676-4"</f>
        <v>熊野市新鹿町676-4</v>
      </c>
      <c r="D863" s="1" t="str">
        <f>"0597-86-0006  "</f>
        <v xml:space="preserve">0597-86-0006  </v>
      </c>
    </row>
    <row r="864" spans="1:4" x14ac:dyDescent="0.55000000000000004">
      <c r="A864" s="1">
        <v>2441100191</v>
      </c>
      <c r="B864" s="1" t="s">
        <v>2075</v>
      </c>
      <c r="C864" s="1" t="str">
        <f>"熊野市井戸町614-6"</f>
        <v>熊野市井戸町614-6</v>
      </c>
      <c r="D864" s="1" t="str">
        <f>"0597-88-0680  "</f>
        <v xml:space="preserve">0597-88-0680  </v>
      </c>
    </row>
    <row r="865" spans="1:4" x14ac:dyDescent="0.55000000000000004">
      <c r="A865" s="1">
        <v>2441100209</v>
      </c>
      <c r="B865" s="1" t="s">
        <v>2076</v>
      </c>
      <c r="C865" s="1" t="s">
        <v>2077</v>
      </c>
      <c r="D865" s="1" t="str">
        <f>"0597-89-6620  "</f>
        <v xml:space="preserve">0597-89-6620  </v>
      </c>
    </row>
    <row r="866" spans="1:4" x14ac:dyDescent="0.55000000000000004">
      <c r="A866" s="1">
        <v>2443100041</v>
      </c>
      <c r="B866" s="1" t="s">
        <v>2295</v>
      </c>
      <c r="C866" s="1" t="str">
        <f>"南牟婁郡御浜町大字志原1845-27"</f>
        <v>南牟婁郡御浜町大字志原1845-27</v>
      </c>
      <c r="D866" s="1" t="str">
        <f>"05979-2-1708  "</f>
        <v xml:space="preserve">05979-2-1708  </v>
      </c>
    </row>
    <row r="867" spans="1:4" x14ac:dyDescent="0.55000000000000004">
      <c r="A867" s="1">
        <v>2443100074</v>
      </c>
      <c r="B867" s="1" t="s">
        <v>2296</v>
      </c>
      <c r="C867" s="1" t="str">
        <f>"南牟婁郡御浜町阿田和4681-3"</f>
        <v>南牟婁郡御浜町阿田和4681-3</v>
      </c>
      <c r="D867" s="1" t="str">
        <f>"05979-3-0222  "</f>
        <v xml:space="preserve">05979-3-0222  </v>
      </c>
    </row>
    <row r="868" spans="1:4" x14ac:dyDescent="0.55000000000000004">
      <c r="A868" s="1">
        <v>2443100124</v>
      </c>
      <c r="B868" s="1" t="s">
        <v>2297</v>
      </c>
      <c r="C868" s="1" t="s">
        <v>3139</v>
      </c>
      <c r="D868" s="1" t="str">
        <f>"05979-3-6500  "</f>
        <v xml:space="preserve">05979-3-6500  </v>
      </c>
    </row>
    <row r="869" spans="1:4" x14ac:dyDescent="0.55000000000000004">
      <c r="A869" s="1">
        <v>2443100157</v>
      </c>
      <c r="B869" s="1" t="s">
        <v>2299</v>
      </c>
      <c r="C869" s="1" t="s">
        <v>3140</v>
      </c>
      <c r="D869" s="1" t="str">
        <f>"05979-3-0710  "</f>
        <v xml:space="preserve">05979-3-0710  </v>
      </c>
    </row>
    <row r="870" spans="1:4" x14ac:dyDescent="0.55000000000000004">
      <c r="A870" s="1">
        <v>2443100199</v>
      </c>
      <c r="B870" s="1" t="s">
        <v>2301</v>
      </c>
      <c r="C870" s="1" t="s">
        <v>1941</v>
      </c>
      <c r="D870" s="1" t="str">
        <f>"0597-93-1550  "</f>
        <v xml:space="preserve">0597-93-1550  </v>
      </c>
    </row>
    <row r="871" spans="1:4" x14ac:dyDescent="0.55000000000000004">
      <c r="A871" s="1">
        <v>2443100207</v>
      </c>
      <c r="B871" s="1" t="s">
        <v>2302</v>
      </c>
      <c r="C871" s="1" t="str">
        <f>"南牟婁郡御浜町阿田和6066-2"</f>
        <v>南牟婁郡御浜町阿田和6066-2</v>
      </c>
      <c r="D871" s="1" t="str">
        <f>"05979-3-1510  "</f>
        <v xml:space="preserve">05979-3-1510  </v>
      </c>
    </row>
    <row r="872" spans="1:4" x14ac:dyDescent="0.55000000000000004">
      <c r="A872" s="1">
        <v>2443100132</v>
      </c>
      <c r="B872" s="1" t="s">
        <v>2298</v>
      </c>
      <c r="C872" s="1" t="str">
        <f>"南牟婁郡御浜町下市木字櫨山4649-88"</f>
        <v>南牟婁郡御浜町下市木字櫨山4649-88</v>
      </c>
      <c r="D872" s="1" t="str">
        <f>"05979-3-0230  "</f>
        <v xml:space="preserve">05979-3-0230  </v>
      </c>
    </row>
    <row r="873" spans="1:4" x14ac:dyDescent="0.55000000000000004">
      <c r="A873" s="1">
        <v>2443100173</v>
      </c>
      <c r="B873" s="1" t="s">
        <v>2300</v>
      </c>
      <c r="C873" s="1" t="str">
        <f>"南牟婁郡紀宝町鵜殿781-1"</f>
        <v>南牟婁郡紀宝町鵜殿781-1</v>
      </c>
      <c r="D873" s="1" t="str">
        <f>"0735-29-7912  "</f>
        <v xml:space="preserve">0735-29-7912  </v>
      </c>
    </row>
    <row r="874" spans="1:4" x14ac:dyDescent="0.55000000000000004">
      <c r="A874" s="1">
        <v>2443100215</v>
      </c>
      <c r="B874" s="1" t="s">
        <v>2303</v>
      </c>
      <c r="C874" s="1" t="str">
        <f>"南牟婁郡紀宝町成川44-1"</f>
        <v>南牟婁郡紀宝町成川44-1</v>
      </c>
      <c r="D874" s="1" t="str">
        <f>"0735-28-0996  "</f>
        <v xml:space="preserve">0735-28-0996  </v>
      </c>
    </row>
  </sheetData>
  <autoFilter ref="A2:D2" xr:uid="{64C933FE-3823-4FAC-9401-629EDEA98506}"/>
  <phoneticPr fontId="18"/>
  <pageMargins left="0.7" right="0.7" top="0.75" bottom="0.75" header="0.3" footer="0.3"/>
  <pageSetup paperSize="8"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5C93B-452B-4F3B-8D30-AD892C8D5E10}">
  <sheetPr>
    <pageSetUpPr fitToPage="1"/>
  </sheetPr>
  <dimension ref="A1:D260"/>
  <sheetViews>
    <sheetView tabSelected="1" zoomScale="71" zoomScaleNormal="71" workbookViewId="0">
      <selection activeCell="I16" sqref="I16"/>
    </sheetView>
  </sheetViews>
  <sheetFormatPr defaultRowHeight="18" x14ac:dyDescent="0.55000000000000004"/>
  <cols>
    <col min="1" max="1" width="14.6640625" customWidth="1"/>
    <col min="2" max="2" width="74.9140625" customWidth="1"/>
    <col min="3" max="3" width="55.08203125" customWidth="1"/>
    <col min="4" max="4" width="17.33203125" customWidth="1"/>
  </cols>
  <sheetData>
    <row r="1" spans="1:4" ht="29" x14ac:dyDescent="0.55000000000000004">
      <c r="A1" s="3" t="s">
        <v>3200</v>
      </c>
    </row>
    <row r="2" spans="1:4" x14ac:dyDescent="0.55000000000000004">
      <c r="A2" s="2" t="s">
        <v>0</v>
      </c>
      <c r="B2" s="2" t="s">
        <v>1</v>
      </c>
      <c r="C2" s="2" t="s">
        <v>2</v>
      </c>
      <c r="D2" s="2" t="s">
        <v>3</v>
      </c>
    </row>
    <row r="3" spans="1:4" x14ac:dyDescent="0.55000000000000004">
      <c r="A3" s="1">
        <v>2460190016</v>
      </c>
      <c r="B3" s="1" t="s">
        <v>2304</v>
      </c>
      <c r="C3" s="1" t="s">
        <v>39</v>
      </c>
      <c r="D3" s="1" t="str">
        <f>"0594-41-2460  "</f>
        <v xml:space="preserve">0594-41-2460  </v>
      </c>
    </row>
    <row r="4" spans="1:4" x14ac:dyDescent="0.55000000000000004">
      <c r="A4" s="1">
        <v>2460190024</v>
      </c>
      <c r="B4" s="1" t="s">
        <v>2305</v>
      </c>
      <c r="C4" s="1" t="s">
        <v>2642</v>
      </c>
      <c r="D4" s="1" t="str">
        <f>"0594-22-1621  "</f>
        <v xml:space="preserve">0594-22-1621  </v>
      </c>
    </row>
    <row r="5" spans="1:4" x14ac:dyDescent="0.55000000000000004">
      <c r="A5" s="1">
        <v>2460190040</v>
      </c>
      <c r="B5" s="1" t="s">
        <v>2306</v>
      </c>
      <c r="C5" s="1" t="s">
        <v>3141</v>
      </c>
      <c r="D5" s="1" t="str">
        <f>"0594-25-0658  "</f>
        <v xml:space="preserve">0594-25-0658  </v>
      </c>
    </row>
    <row r="6" spans="1:4" x14ac:dyDescent="0.55000000000000004">
      <c r="A6" s="1">
        <v>2460190099</v>
      </c>
      <c r="B6" s="1" t="s">
        <v>2307</v>
      </c>
      <c r="C6" s="1" t="s">
        <v>3142</v>
      </c>
      <c r="D6" s="1" t="str">
        <f>"0594-33-0302  "</f>
        <v xml:space="preserve">0594-33-0302  </v>
      </c>
    </row>
    <row r="7" spans="1:4" x14ac:dyDescent="0.55000000000000004">
      <c r="A7" s="1">
        <v>2460190115</v>
      </c>
      <c r="B7" s="1" t="s">
        <v>2308</v>
      </c>
      <c r="C7" s="1" t="str">
        <f>"桑名市江場718－1"</f>
        <v>桑名市江場718－1</v>
      </c>
      <c r="D7" s="1" t="str">
        <f>"0594-25-3739  "</f>
        <v xml:space="preserve">0594-25-3739  </v>
      </c>
    </row>
    <row r="8" spans="1:4" x14ac:dyDescent="0.55000000000000004">
      <c r="A8" s="1">
        <v>2460190123</v>
      </c>
      <c r="B8" s="1" t="s">
        <v>2309</v>
      </c>
      <c r="C8" s="1" t="str">
        <f>"桑名市大字繁松新田61-1"</f>
        <v>桑名市大字繁松新田61-1</v>
      </c>
      <c r="D8" s="1" t="str">
        <f>"0594-27-5030  "</f>
        <v xml:space="preserve">0594-27-5030  </v>
      </c>
    </row>
    <row r="9" spans="1:4" x14ac:dyDescent="0.55000000000000004">
      <c r="A9" s="1">
        <v>2460190164</v>
      </c>
      <c r="B9" s="1" t="s">
        <v>2310</v>
      </c>
      <c r="C9" s="1" t="s">
        <v>3143</v>
      </c>
      <c r="D9" s="1" t="str">
        <f>"0594-32-0876  "</f>
        <v xml:space="preserve">0594-32-0876  </v>
      </c>
    </row>
    <row r="10" spans="1:4" x14ac:dyDescent="0.55000000000000004">
      <c r="A10" s="1">
        <v>2460190180</v>
      </c>
      <c r="B10" s="1" t="s">
        <v>2311</v>
      </c>
      <c r="C10" s="1" t="s">
        <v>2312</v>
      </c>
      <c r="D10" s="1" t="str">
        <f>"0594-84-5222  "</f>
        <v xml:space="preserve">0594-84-5222  </v>
      </c>
    </row>
    <row r="11" spans="1:4" x14ac:dyDescent="0.55000000000000004">
      <c r="A11" s="1">
        <v>2460190206</v>
      </c>
      <c r="B11" s="1" t="s">
        <v>2313</v>
      </c>
      <c r="C11" s="1" t="str">
        <f>"桑名市大央町21-15"</f>
        <v>桑名市大央町21-15</v>
      </c>
      <c r="D11" s="1" t="str">
        <f>"0594-23-3547  "</f>
        <v xml:space="preserve">0594-23-3547  </v>
      </c>
    </row>
    <row r="12" spans="1:4" x14ac:dyDescent="0.55000000000000004">
      <c r="A12" s="1">
        <v>2460190263</v>
      </c>
      <c r="B12" s="1" t="s">
        <v>2314</v>
      </c>
      <c r="C12" s="1" t="s">
        <v>2315</v>
      </c>
      <c r="D12" s="1" t="str">
        <f>"0594-41-5310  "</f>
        <v xml:space="preserve">0594-41-5310  </v>
      </c>
    </row>
    <row r="13" spans="1:4" x14ac:dyDescent="0.55000000000000004">
      <c r="A13" s="1">
        <v>2460190271</v>
      </c>
      <c r="B13" s="1" t="s">
        <v>2316</v>
      </c>
      <c r="C13" s="1" t="s">
        <v>3144</v>
      </c>
      <c r="D13" s="1" t="str">
        <f>"0594-84-5035  "</f>
        <v xml:space="preserve">0594-84-5035  </v>
      </c>
    </row>
    <row r="14" spans="1:4" x14ac:dyDescent="0.55000000000000004">
      <c r="A14" s="1">
        <v>2460190297</v>
      </c>
      <c r="B14" s="1" t="s">
        <v>2317</v>
      </c>
      <c r="C14" s="1" t="s">
        <v>2318</v>
      </c>
      <c r="D14" s="1" t="str">
        <f>"0594-82-5565  "</f>
        <v xml:space="preserve">0594-82-5565  </v>
      </c>
    </row>
    <row r="15" spans="1:4" x14ac:dyDescent="0.55000000000000004">
      <c r="A15" s="1">
        <v>2460190305</v>
      </c>
      <c r="B15" s="1" t="s">
        <v>2319</v>
      </c>
      <c r="C15" s="1" t="s">
        <v>3145</v>
      </c>
      <c r="D15" s="1" t="str">
        <f>"0594-41-2681  "</f>
        <v xml:space="preserve">0594-41-2681  </v>
      </c>
    </row>
    <row r="16" spans="1:4" x14ac:dyDescent="0.55000000000000004">
      <c r="A16" s="1">
        <v>2460190321</v>
      </c>
      <c r="B16" s="1" t="s">
        <v>2320</v>
      </c>
      <c r="C16" s="1" t="str">
        <f>"桑名市星川十二842-1星川貸店舗201"</f>
        <v>桑名市星川十二842-1星川貸店舗201</v>
      </c>
      <c r="D16" s="1" t="str">
        <f>"0594-41-4611  "</f>
        <v xml:space="preserve">0594-41-4611  </v>
      </c>
    </row>
    <row r="17" spans="1:4" x14ac:dyDescent="0.55000000000000004">
      <c r="A17" s="1">
        <v>2460190339</v>
      </c>
      <c r="B17" s="1" t="s">
        <v>2321</v>
      </c>
      <c r="C17" s="1" t="s">
        <v>2322</v>
      </c>
      <c r="D17" s="1" t="str">
        <f>"0594-87-7987  "</f>
        <v xml:space="preserve">0594-87-7987  </v>
      </c>
    </row>
    <row r="18" spans="1:4" x14ac:dyDescent="0.55000000000000004">
      <c r="A18" s="1">
        <v>2460190347</v>
      </c>
      <c r="B18" s="1" t="s">
        <v>2323</v>
      </c>
      <c r="C18" s="1" t="str">
        <f>"桑名市大字芳ケ崎字屋敷田753-2"</f>
        <v>桑名市大字芳ケ崎字屋敷田753-2</v>
      </c>
      <c r="D18" s="1" t="str">
        <f>"0594-84-5905  "</f>
        <v xml:space="preserve">0594-84-5905  </v>
      </c>
    </row>
    <row r="19" spans="1:4" x14ac:dyDescent="0.55000000000000004">
      <c r="A19" s="1">
        <v>2460190362</v>
      </c>
      <c r="B19" s="1" t="s">
        <v>2324</v>
      </c>
      <c r="C19" s="1" t="s">
        <v>2325</v>
      </c>
      <c r="D19" s="1" t="str">
        <f>"070-6460-2766 "</f>
        <v xml:space="preserve">070-6460-2766 </v>
      </c>
    </row>
    <row r="20" spans="1:4" x14ac:dyDescent="0.55000000000000004">
      <c r="A20" s="1">
        <v>2460190370</v>
      </c>
      <c r="B20" s="1" t="s">
        <v>2326</v>
      </c>
      <c r="C20" s="1" t="s">
        <v>2327</v>
      </c>
      <c r="D20" s="1" t="str">
        <f>"090-8878-6847 "</f>
        <v xml:space="preserve">090-8878-6847 </v>
      </c>
    </row>
    <row r="21" spans="1:4" x14ac:dyDescent="0.55000000000000004">
      <c r="A21" s="1">
        <v>2460190388</v>
      </c>
      <c r="B21" s="1" t="s">
        <v>2328</v>
      </c>
      <c r="C21" s="1" t="s">
        <v>2329</v>
      </c>
      <c r="D21" s="1" t="str">
        <f>"080-4533-8616 "</f>
        <v xml:space="preserve">080-4533-8616 </v>
      </c>
    </row>
    <row r="22" spans="1:4" x14ac:dyDescent="0.55000000000000004">
      <c r="A22" s="1">
        <v>2460190404</v>
      </c>
      <c r="B22" s="1" t="s">
        <v>2330</v>
      </c>
      <c r="C22" s="1" t="s">
        <v>2331</v>
      </c>
      <c r="D22" s="1" t="str">
        <f>"0594-41-3007  "</f>
        <v xml:space="preserve">0594-41-3007  </v>
      </c>
    </row>
    <row r="23" spans="1:4" x14ac:dyDescent="0.55000000000000004">
      <c r="A23" s="1">
        <v>2460190420</v>
      </c>
      <c r="B23" s="1" t="s">
        <v>2332</v>
      </c>
      <c r="C23" s="1" t="s">
        <v>2333</v>
      </c>
      <c r="D23" s="1" t="str">
        <f>"0594-86-7325  "</f>
        <v xml:space="preserve">0594-86-7325  </v>
      </c>
    </row>
    <row r="24" spans="1:4" x14ac:dyDescent="0.55000000000000004">
      <c r="A24" s="1">
        <v>2461490019</v>
      </c>
      <c r="B24" s="1" t="s">
        <v>2574</v>
      </c>
      <c r="C24" s="1" t="s">
        <v>3190</v>
      </c>
      <c r="D24" s="1" t="str">
        <f>"0594-72-3530  "</f>
        <v xml:space="preserve">0594-72-3530  </v>
      </c>
    </row>
    <row r="25" spans="1:4" x14ac:dyDescent="0.55000000000000004">
      <c r="A25" s="1">
        <v>2462190022</v>
      </c>
      <c r="B25" s="1" t="s">
        <v>2575</v>
      </c>
      <c r="C25" s="1" t="s">
        <v>994</v>
      </c>
      <c r="D25" s="1" t="str">
        <f>"0594-72-7784  "</f>
        <v xml:space="preserve">0594-72-7784  </v>
      </c>
    </row>
    <row r="26" spans="1:4" x14ac:dyDescent="0.55000000000000004">
      <c r="A26" s="1">
        <v>2462190063</v>
      </c>
      <c r="B26" s="1" t="s">
        <v>2576</v>
      </c>
      <c r="C26" s="1" t="s">
        <v>2577</v>
      </c>
      <c r="D26" s="1" t="str">
        <f>"0594-88-5700  "</f>
        <v xml:space="preserve">0594-88-5700  </v>
      </c>
    </row>
    <row r="27" spans="1:4" x14ac:dyDescent="0.55000000000000004">
      <c r="A27" s="1">
        <v>2462190071</v>
      </c>
      <c r="B27" s="1" t="s">
        <v>2578</v>
      </c>
      <c r="C27" s="1" t="str">
        <f>"員弁郡東員町鳥取917-2"</f>
        <v>員弁郡東員町鳥取917-2</v>
      </c>
      <c r="D27" s="1" t="str">
        <f>"0594-86-1110  "</f>
        <v xml:space="preserve">0594-86-1110  </v>
      </c>
    </row>
    <row r="28" spans="1:4" x14ac:dyDescent="0.55000000000000004">
      <c r="A28" s="1">
        <v>2462190089</v>
      </c>
      <c r="B28" s="1" t="s">
        <v>2579</v>
      </c>
      <c r="C28" s="1" t="str">
        <f>"員弁郡東員町大字大木1306-2　木村邸事務所1-2F(東側)"</f>
        <v>員弁郡東員町大字大木1306-2　木村邸事務所1-2F(東側)</v>
      </c>
      <c r="D28" s="1" t="str">
        <f>"0594-88-5410  "</f>
        <v xml:space="preserve">0594-88-5410  </v>
      </c>
    </row>
    <row r="29" spans="1:4" x14ac:dyDescent="0.55000000000000004">
      <c r="A29" s="1">
        <v>2462290012</v>
      </c>
      <c r="B29" s="1" t="s">
        <v>2580</v>
      </c>
      <c r="C29" s="1" t="s">
        <v>2581</v>
      </c>
      <c r="D29" s="1" t="str">
        <f>"059-393-5566  "</f>
        <v xml:space="preserve">059-393-5566  </v>
      </c>
    </row>
    <row r="30" spans="1:4" x14ac:dyDescent="0.55000000000000004">
      <c r="A30" s="1">
        <v>2462290020</v>
      </c>
      <c r="B30" s="1" t="s">
        <v>2582</v>
      </c>
      <c r="C30" s="1" t="s">
        <v>3191</v>
      </c>
      <c r="D30" s="1" t="str">
        <f>"059-391-2221  "</f>
        <v xml:space="preserve">059-391-2221  </v>
      </c>
    </row>
    <row r="31" spans="1:4" x14ac:dyDescent="0.55000000000000004">
      <c r="A31" s="1">
        <v>2462290053</v>
      </c>
      <c r="B31" s="1" t="s">
        <v>2583</v>
      </c>
      <c r="C31" s="1" t="s">
        <v>2584</v>
      </c>
      <c r="D31" s="1" t="str">
        <f>"059-325-7722  "</f>
        <v xml:space="preserve">059-325-7722  </v>
      </c>
    </row>
    <row r="32" spans="1:4" x14ac:dyDescent="0.55000000000000004">
      <c r="A32" s="1">
        <v>2462290061</v>
      </c>
      <c r="B32" s="1" t="s">
        <v>2585</v>
      </c>
      <c r="C32" s="1" t="s">
        <v>2586</v>
      </c>
      <c r="D32" s="1" t="str">
        <f>"059-340-6555  "</f>
        <v xml:space="preserve">059-340-6555  </v>
      </c>
    </row>
    <row r="33" spans="1:4" x14ac:dyDescent="0.55000000000000004">
      <c r="A33" s="1">
        <v>2460290014</v>
      </c>
      <c r="B33" s="1" t="s">
        <v>2334</v>
      </c>
      <c r="C33" s="1" t="s">
        <v>3146</v>
      </c>
      <c r="D33" s="1" t="str">
        <f>"059-355-0099  "</f>
        <v xml:space="preserve">059-355-0099  </v>
      </c>
    </row>
    <row r="34" spans="1:4" x14ac:dyDescent="0.55000000000000004">
      <c r="A34" s="1">
        <v>2460290022</v>
      </c>
      <c r="B34" s="1" t="s">
        <v>2335</v>
      </c>
      <c r="C34" s="1" t="s">
        <v>2681</v>
      </c>
      <c r="D34" s="1" t="str">
        <f>"059-355-4393  "</f>
        <v xml:space="preserve">059-355-4393  </v>
      </c>
    </row>
    <row r="35" spans="1:4" x14ac:dyDescent="0.55000000000000004">
      <c r="A35" s="1">
        <v>2460290048</v>
      </c>
      <c r="B35" s="1" t="s">
        <v>2336</v>
      </c>
      <c r="C35" s="1" t="s">
        <v>3147</v>
      </c>
      <c r="D35" s="1" t="str">
        <f>"059-365-5110  "</f>
        <v xml:space="preserve">059-365-5110  </v>
      </c>
    </row>
    <row r="36" spans="1:4" x14ac:dyDescent="0.55000000000000004">
      <c r="A36" s="1">
        <v>2460290089</v>
      </c>
      <c r="B36" s="1" t="s">
        <v>2337</v>
      </c>
      <c r="C36" s="1" t="str">
        <f>"四日市市生桑町菰池458-1"</f>
        <v>四日市市生桑町菰池458-1</v>
      </c>
      <c r="D36" s="1" t="str">
        <f>"059-330-6536  "</f>
        <v xml:space="preserve">059-330-6536  </v>
      </c>
    </row>
    <row r="37" spans="1:4" x14ac:dyDescent="0.55000000000000004">
      <c r="A37" s="1">
        <v>2460290105</v>
      </c>
      <c r="B37" s="1" t="s">
        <v>2338</v>
      </c>
      <c r="C37" s="1" t="s">
        <v>3148</v>
      </c>
      <c r="D37" s="1" t="str">
        <f>"059-340-5937  "</f>
        <v xml:space="preserve">059-340-5937  </v>
      </c>
    </row>
    <row r="38" spans="1:4" x14ac:dyDescent="0.55000000000000004">
      <c r="A38" s="1">
        <v>2460290113</v>
      </c>
      <c r="B38" s="1" t="s">
        <v>2339</v>
      </c>
      <c r="C38" s="1" t="str">
        <f>"四日市市赤堀南町6-7"</f>
        <v>四日市市赤堀南町6-7</v>
      </c>
      <c r="D38" s="1" t="str">
        <f>"059-373-7200  "</f>
        <v xml:space="preserve">059-373-7200  </v>
      </c>
    </row>
    <row r="39" spans="1:4" x14ac:dyDescent="0.55000000000000004">
      <c r="A39" s="1">
        <v>2460290121</v>
      </c>
      <c r="B39" s="1" t="s">
        <v>2340</v>
      </c>
      <c r="C39" s="1" t="str">
        <f>"四日市市あかつき台2丁目1-15"</f>
        <v>四日市市あかつき台2丁目1-15</v>
      </c>
      <c r="D39" s="1" t="str">
        <f>"059-336-2166  "</f>
        <v xml:space="preserve">059-336-2166  </v>
      </c>
    </row>
    <row r="40" spans="1:4" x14ac:dyDescent="0.55000000000000004">
      <c r="A40" s="1">
        <v>2460290139</v>
      </c>
      <c r="B40" s="1" t="s">
        <v>2341</v>
      </c>
      <c r="C40" s="1" t="str">
        <f>"四日市市朝明町441-1"</f>
        <v>四日市市朝明町441-1</v>
      </c>
      <c r="D40" s="1" t="str">
        <f>"059-336-3330  "</f>
        <v xml:space="preserve">059-336-3330  </v>
      </c>
    </row>
    <row r="41" spans="1:4" x14ac:dyDescent="0.55000000000000004">
      <c r="A41" s="1">
        <v>2460290147</v>
      </c>
      <c r="B41" s="1" t="s">
        <v>2342</v>
      </c>
      <c r="C41" s="1" t="str">
        <f>"四日市市城西町6-13"</f>
        <v>四日市市城西町6-13</v>
      </c>
      <c r="D41" s="1" t="str">
        <f>"059-342-6622  "</f>
        <v xml:space="preserve">059-342-6622  </v>
      </c>
    </row>
    <row r="42" spans="1:4" x14ac:dyDescent="0.55000000000000004">
      <c r="A42" s="1">
        <v>2460290154</v>
      </c>
      <c r="B42" s="1" t="s">
        <v>2343</v>
      </c>
      <c r="C42" s="1" t="s">
        <v>3149</v>
      </c>
      <c r="D42" s="1" t="str">
        <f>"059-398-0300  "</f>
        <v xml:space="preserve">059-398-0300  </v>
      </c>
    </row>
    <row r="43" spans="1:4" x14ac:dyDescent="0.55000000000000004">
      <c r="A43" s="1">
        <v>2460290170</v>
      </c>
      <c r="B43" s="1" t="s">
        <v>2344</v>
      </c>
      <c r="C43" s="1" t="s">
        <v>2704</v>
      </c>
      <c r="D43" s="1" t="str">
        <f>"059-333-6472  "</f>
        <v xml:space="preserve">059-333-6472  </v>
      </c>
    </row>
    <row r="44" spans="1:4" x14ac:dyDescent="0.55000000000000004">
      <c r="A44" s="1">
        <v>2460290188</v>
      </c>
      <c r="B44" s="1" t="s">
        <v>2345</v>
      </c>
      <c r="C44" s="1" t="s">
        <v>3150</v>
      </c>
      <c r="D44" s="1" t="str">
        <f>"059-340-8177  "</f>
        <v xml:space="preserve">059-340-8177  </v>
      </c>
    </row>
    <row r="45" spans="1:4" x14ac:dyDescent="0.55000000000000004">
      <c r="A45" s="1">
        <v>2460290196</v>
      </c>
      <c r="B45" s="1" t="s">
        <v>2346</v>
      </c>
      <c r="C45" s="1" t="s">
        <v>2679</v>
      </c>
      <c r="D45" s="1" t="str">
        <f>"059-331-6044  "</f>
        <v xml:space="preserve">059-331-6044  </v>
      </c>
    </row>
    <row r="46" spans="1:4" x14ac:dyDescent="0.55000000000000004">
      <c r="A46" s="1">
        <v>2460290212</v>
      </c>
      <c r="B46" s="1" t="s">
        <v>2347</v>
      </c>
      <c r="C46" s="1" t="str">
        <f>"四日市市小林町字小林新田3018-23"</f>
        <v>四日市市小林町字小林新田3018-23</v>
      </c>
      <c r="D46" s="1" t="str">
        <f>"059-340-5001  "</f>
        <v xml:space="preserve">059-340-5001  </v>
      </c>
    </row>
    <row r="47" spans="1:4" x14ac:dyDescent="0.55000000000000004">
      <c r="A47" s="1">
        <v>2460290238</v>
      </c>
      <c r="B47" s="1" t="s">
        <v>2348</v>
      </c>
      <c r="C47" s="1" t="str">
        <f>"四日市市新正2丁目4-28"</f>
        <v>四日市市新正2丁目4-28</v>
      </c>
      <c r="D47" s="1" t="str">
        <f>"059-350-2810  "</f>
        <v xml:space="preserve">059-350-2810  </v>
      </c>
    </row>
    <row r="48" spans="1:4" x14ac:dyDescent="0.55000000000000004">
      <c r="A48" s="1">
        <v>2460290246</v>
      </c>
      <c r="B48" s="1" t="s">
        <v>2349</v>
      </c>
      <c r="C48" s="1" t="str">
        <f>"四日市市ときわ５丁目４－５０"</f>
        <v>四日市市ときわ５丁目４－５０</v>
      </c>
      <c r="D48" s="1" t="str">
        <f>"059-340-7788  "</f>
        <v xml:space="preserve">059-340-7788  </v>
      </c>
    </row>
    <row r="49" spans="1:4" x14ac:dyDescent="0.55000000000000004">
      <c r="A49" s="1">
        <v>2460290287</v>
      </c>
      <c r="B49" s="1" t="s">
        <v>2350</v>
      </c>
      <c r="C49" s="1" t="str">
        <f>"四日市市日永西2丁目9-11"</f>
        <v>四日市市日永西2丁目9-11</v>
      </c>
      <c r="D49" s="1" t="str">
        <f>"059-347-5081  "</f>
        <v xml:space="preserve">059-347-5081  </v>
      </c>
    </row>
    <row r="50" spans="1:4" x14ac:dyDescent="0.55000000000000004">
      <c r="A50" s="1">
        <v>2460290303</v>
      </c>
      <c r="B50" s="1" t="s">
        <v>2351</v>
      </c>
      <c r="C50" s="1" t="str">
        <f>"四日市市新正2丁目8-7-101"</f>
        <v>四日市市新正2丁目8-7-101</v>
      </c>
      <c r="D50" s="1" t="str">
        <f>"059-337-9992  "</f>
        <v xml:space="preserve">059-337-9992  </v>
      </c>
    </row>
    <row r="51" spans="1:4" x14ac:dyDescent="0.55000000000000004">
      <c r="A51" s="1">
        <v>2460290337</v>
      </c>
      <c r="B51" s="1" t="s">
        <v>2352</v>
      </c>
      <c r="C51" s="1" t="str">
        <f>"四日市市西浦一丁目10－25　マインドビル5階"</f>
        <v>四日市市西浦一丁目10－25　マインドビル5階</v>
      </c>
      <c r="D51" s="1" t="str">
        <f>"059-356-1500  "</f>
        <v xml:space="preserve">059-356-1500  </v>
      </c>
    </row>
    <row r="52" spans="1:4" x14ac:dyDescent="0.55000000000000004">
      <c r="A52" s="1">
        <v>2460290352</v>
      </c>
      <c r="B52" s="1" t="s">
        <v>2353</v>
      </c>
      <c r="C52" s="1" t="str">
        <f>"四日市市楠町北五味塚2173-1"</f>
        <v>四日市市楠町北五味塚2173-1</v>
      </c>
      <c r="D52" s="1" t="str">
        <f>"059-324-7456  "</f>
        <v xml:space="preserve">059-324-7456  </v>
      </c>
    </row>
    <row r="53" spans="1:4" x14ac:dyDescent="0.55000000000000004">
      <c r="A53" s="1">
        <v>2460290394</v>
      </c>
      <c r="B53" s="1" t="s">
        <v>2354</v>
      </c>
      <c r="C53" s="1" t="str">
        <f>"四日市市松寺2丁目5-18"</f>
        <v>四日市市松寺2丁目5-18</v>
      </c>
      <c r="D53" s="1" t="str">
        <f>"059-340-6375  "</f>
        <v xml:space="preserve">059-340-6375  </v>
      </c>
    </row>
    <row r="54" spans="1:4" x14ac:dyDescent="0.55000000000000004">
      <c r="A54" s="1">
        <v>2460290410</v>
      </c>
      <c r="B54" s="1" t="s">
        <v>2355</v>
      </c>
      <c r="C54" s="1" t="s">
        <v>3151</v>
      </c>
      <c r="D54" s="1" t="str">
        <f>"059-365-2660  "</f>
        <v xml:space="preserve">059-365-2660  </v>
      </c>
    </row>
    <row r="55" spans="1:4" x14ac:dyDescent="0.55000000000000004">
      <c r="A55" s="1">
        <v>2460290428</v>
      </c>
      <c r="B55" s="1" t="s">
        <v>2356</v>
      </c>
      <c r="C55" s="1" t="str">
        <f>"四日市市小杉町30番地　サンヴィレッジ小杉B-102"</f>
        <v>四日市市小杉町30番地　サンヴィレッジ小杉B-102</v>
      </c>
      <c r="D55" s="1" t="str">
        <f>"059-333-0564  "</f>
        <v xml:space="preserve">059-333-0564  </v>
      </c>
    </row>
    <row r="56" spans="1:4" x14ac:dyDescent="0.55000000000000004">
      <c r="A56" s="1">
        <v>2460290451</v>
      </c>
      <c r="B56" s="1" t="s">
        <v>2357</v>
      </c>
      <c r="C56" s="1" t="str">
        <f>"四日市市安島二丁目11-8"</f>
        <v>四日市市安島二丁目11-8</v>
      </c>
      <c r="D56" s="1" t="str">
        <f>"059-327-6170  "</f>
        <v xml:space="preserve">059-327-6170  </v>
      </c>
    </row>
    <row r="57" spans="1:4" x14ac:dyDescent="0.55000000000000004">
      <c r="A57" s="1">
        <v>2460290469</v>
      </c>
      <c r="B57" s="1" t="s">
        <v>2358</v>
      </c>
      <c r="C57" s="1" t="s">
        <v>2359</v>
      </c>
      <c r="D57" s="1" t="str">
        <f>"059-356-8080  "</f>
        <v xml:space="preserve">059-356-8080  </v>
      </c>
    </row>
    <row r="58" spans="1:4" x14ac:dyDescent="0.55000000000000004">
      <c r="A58" s="1">
        <v>2460290477</v>
      </c>
      <c r="B58" s="1" t="s">
        <v>2360</v>
      </c>
      <c r="C58" s="1" t="str">
        <f>"四日市市赤堀南町2-23　グレースマンション藤　305"</f>
        <v>四日市市赤堀南町2-23　グレースマンション藤　305</v>
      </c>
      <c r="D58" s="1" t="str">
        <f>"059-359-2560  "</f>
        <v xml:space="preserve">059-359-2560  </v>
      </c>
    </row>
    <row r="59" spans="1:4" x14ac:dyDescent="0.55000000000000004">
      <c r="A59" s="1">
        <v>2460290493</v>
      </c>
      <c r="B59" s="1" t="s">
        <v>2361</v>
      </c>
      <c r="C59" s="1" t="str">
        <f>"四日市市南松本町2-1"</f>
        <v>四日市市南松本町2-1</v>
      </c>
      <c r="D59" s="1" t="str">
        <f>"059-327-7730  "</f>
        <v xml:space="preserve">059-327-7730  </v>
      </c>
    </row>
    <row r="60" spans="1:4" x14ac:dyDescent="0.55000000000000004">
      <c r="A60" s="1">
        <v>2460290501</v>
      </c>
      <c r="B60" s="1" t="s">
        <v>2362</v>
      </c>
      <c r="C60" s="1" t="str">
        <f>"四日市市尾平町1580-1　ロイヤルコート21　1F"</f>
        <v>四日市市尾平町1580-1　ロイヤルコート21　1F</v>
      </c>
      <c r="D60" s="1" t="str">
        <f>"059-327-5275  "</f>
        <v xml:space="preserve">059-327-5275  </v>
      </c>
    </row>
    <row r="61" spans="1:4" x14ac:dyDescent="0.55000000000000004">
      <c r="A61" s="1">
        <v>2460290519</v>
      </c>
      <c r="B61" s="1" t="s">
        <v>2363</v>
      </c>
      <c r="C61" s="1" t="s">
        <v>3152</v>
      </c>
      <c r="D61" s="1" t="str">
        <f>"059-350-4330  "</f>
        <v xml:space="preserve">059-350-4330  </v>
      </c>
    </row>
    <row r="62" spans="1:4" x14ac:dyDescent="0.55000000000000004">
      <c r="A62" s="1">
        <v>2460290527</v>
      </c>
      <c r="B62" s="1" t="s">
        <v>2364</v>
      </c>
      <c r="C62" s="1" t="str">
        <f>"四日市市笹川三丁目141-3"</f>
        <v>四日市市笹川三丁目141-3</v>
      </c>
      <c r="D62" s="1" t="str">
        <f>"059-321-5200  "</f>
        <v xml:space="preserve">059-321-5200  </v>
      </c>
    </row>
    <row r="63" spans="1:4" x14ac:dyDescent="0.55000000000000004">
      <c r="A63" s="1">
        <v>2460290535</v>
      </c>
      <c r="B63" s="1" t="s">
        <v>2365</v>
      </c>
      <c r="C63" s="1" t="s">
        <v>3153</v>
      </c>
      <c r="D63" s="1" t="str">
        <f>"059-344-3434  "</f>
        <v xml:space="preserve">059-344-3434  </v>
      </c>
    </row>
    <row r="64" spans="1:4" x14ac:dyDescent="0.55000000000000004">
      <c r="A64" s="1">
        <v>2460290543</v>
      </c>
      <c r="B64" s="1" t="s">
        <v>2366</v>
      </c>
      <c r="C64" s="1" t="s">
        <v>3154</v>
      </c>
      <c r="D64" s="1" t="str">
        <f>"070-1687-0401 "</f>
        <v xml:space="preserve">070-1687-0401 </v>
      </c>
    </row>
    <row r="65" spans="1:4" x14ac:dyDescent="0.55000000000000004">
      <c r="A65" s="1">
        <v>2460290550</v>
      </c>
      <c r="B65" s="1" t="s">
        <v>2367</v>
      </c>
      <c r="C65" s="1" t="str">
        <f>"四日市市芝田一丁目5-8シバタコーポラス303"</f>
        <v>四日市市芝田一丁目5-8シバタコーポラス303</v>
      </c>
      <c r="D65" s="1" t="str">
        <f>"059-328-5915  "</f>
        <v xml:space="preserve">059-328-5915  </v>
      </c>
    </row>
    <row r="66" spans="1:4" x14ac:dyDescent="0.55000000000000004">
      <c r="A66" s="1">
        <v>2460290568</v>
      </c>
      <c r="B66" s="1" t="s">
        <v>2368</v>
      </c>
      <c r="C66" s="1" t="s">
        <v>3155</v>
      </c>
      <c r="D66" s="1" t="str">
        <f>"059-324-4331  "</f>
        <v xml:space="preserve">059-324-4331  </v>
      </c>
    </row>
    <row r="67" spans="1:4" x14ac:dyDescent="0.55000000000000004">
      <c r="A67" s="1">
        <v>2460290576</v>
      </c>
      <c r="B67" s="1" t="s">
        <v>2369</v>
      </c>
      <c r="C67" s="1" t="s">
        <v>2370</v>
      </c>
      <c r="D67" s="1" t="str">
        <f>"090-9911-9855 "</f>
        <v xml:space="preserve">090-9911-9855 </v>
      </c>
    </row>
    <row r="68" spans="1:4" x14ac:dyDescent="0.55000000000000004">
      <c r="A68" s="1">
        <v>2460290584</v>
      </c>
      <c r="B68" s="1" t="s">
        <v>2371</v>
      </c>
      <c r="C68" s="1" t="str">
        <f>"四日市市釆女町2997－122"</f>
        <v>四日市市釆女町2997－122</v>
      </c>
      <c r="D68" s="1" t="str">
        <f>"059-348-0039  "</f>
        <v xml:space="preserve">059-348-0039  </v>
      </c>
    </row>
    <row r="69" spans="1:4" x14ac:dyDescent="0.55000000000000004">
      <c r="A69" s="1">
        <v>2460290592</v>
      </c>
      <c r="B69" s="1" t="s">
        <v>2372</v>
      </c>
      <c r="C69" s="1" t="str">
        <f>"四日市市楠町南五味塚160-4"</f>
        <v>四日市市楠町南五味塚160-4</v>
      </c>
      <c r="D69" s="1" t="str">
        <f>"059-327-5719  "</f>
        <v xml:space="preserve">059-327-5719  </v>
      </c>
    </row>
    <row r="70" spans="1:4" x14ac:dyDescent="0.55000000000000004">
      <c r="A70" s="1">
        <v>2460290600</v>
      </c>
      <c r="B70" s="1" t="s">
        <v>2373</v>
      </c>
      <c r="C70" s="1" t="str">
        <f>"四日市市あかつき台３丁目１－１９７"</f>
        <v>四日市市あかつき台３丁目１－１９７</v>
      </c>
      <c r="D70" s="1" t="str">
        <f>"059-340-0135  "</f>
        <v xml:space="preserve">059-340-0135  </v>
      </c>
    </row>
    <row r="71" spans="1:4" x14ac:dyDescent="0.55000000000000004">
      <c r="A71" s="1">
        <v>2460290626</v>
      </c>
      <c r="B71" s="1" t="s">
        <v>2374</v>
      </c>
      <c r="C71" s="1" t="s">
        <v>2375</v>
      </c>
      <c r="D71" s="1" t="str">
        <f>"059-337-2525  "</f>
        <v xml:space="preserve">059-337-2525  </v>
      </c>
    </row>
    <row r="72" spans="1:4" x14ac:dyDescent="0.55000000000000004">
      <c r="A72" s="1">
        <v>2460290634</v>
      </c>
      <c r="B72" s="1" t="s">
        <v>2376</v>
      </c>
      <c r="C72" s="1" t="str">
        <f>"四日市市滝川町13-3"</f>
        <v>四日市市滝川町13-3</v>
      </c>
      <c r="D72" s="1" t="str">
        <f>"059-332-1156  "</f>
        <v xml:space="preserve">059-332-1156  </v>
      </c>
    </row>
    <row r="73" spans="1:4" x14ac:dyDescent="0.55000000000000004">
      <c r="A73" s="1">
        <v>2460290642</v>
      </c>
      <c r="B73" s="1" t="s">
        <v>2377</v>
      </c>
      <c r="C73" s="1" t="str">
        <f>"四日市市泊山崎町10-1"</f>
        <v>四日市市泊山崎町10-1</v>
      </c>
      <c r="D73" s="1" t="str">
        <f>"059-327-6603  "</f>
        <v xml:space="preserve">059-327-6603  </v>
      </c>
    </row>
    <row r="74" spans="1:4" x14ac:dyDescent="0.55000000000000004">
      <c r="A74" s="1">
        <v>2460290667</v>
      </c>
      <c r="B74" s="1" t="s">
        <v>2378</v>
      </c>
      <c r="C74" s="1" t="str">
        <f>"四日市市天カ須賀4-7-28-2階"</f>
        <v>四日市市天カ須賀4-7-28-2階</v>
      </c>
      <c r="D74" s="1" t="str">
        <f>"059-327-6553  "</f>
        <v xml:space="preserve">059-327-6553  </v>
      </c>
    </row>
    <row r="75" spans="1:4" x14ac:dyDescent="0.55000000000000004">
      <c r="A75" s="1">
        <v>2460290675</v>
      </c>
      <c r="B75" s="1" t="s">
        <v>2379</v>
      </c>
      <c r="C75" s="1" t="s">
        <v>2380</v>
      </c>
      <c r="D75" s="1" t="str">
        <f>"059-329-6877  "</f>
        <v xml:space="preserve">059-329-6877  </v>
      </c>
    </row>
    <row r="76" spans="1:4" x14ac:dyDescent="0.55000000000000004">
      <c r="A76" s="1">
        <v>2460290683</v>
      </c>
      <c r="B76" s="1" t="s">
        <v>2381</v>
      </c>
      <c r="C76" s="1" t="str">
        <f>"四日市市ときわ3丁目6-1　ときわ事務所103号"</f>
        <v>四日市市ときわ3丁目6-1　ときわ事務所103号</v>
      </c>
      <c r="D76" s="1" t="str">
        <f>"059-355-3739  "</f>
        <v xml:space="preserve">059-355-3739  </v>
      </c>
    </row>
    <row r="77" spans="1:4" x14ac:dyDescent="0.55000000000000004">
      <c r="A77" s="1">
        <v>2460290709</v>
      </c>
      <c r="B77" s="1" t="s">
        <v>2376</v>
      </c>
      <c r="C77" s="1" t="str">
        <f>"四日市市滝川町13-3"</f>
        <v>四日市市滝川町13-3</v>
      </c>
      <c r="D77" s="1" t="str">
        <f>"059-332-1156  "</f>
        <v xml:space="preserve">059-332-1156  </v>
      </c>
    </row>
    <row r="78" spans="1:4" x14ac:dyDescent="0.55000000000000004">
      <c r="A78" s="1">
        <v>2460290717</v>
      </c>
      <c r="B78" s="1" t="s">
        <v>2382</v>
      </c>
      <c r="C78" s="1" t="s">
        <v>2383</v>
      </c>
      <c r="D78" s="1" t="str">
        <f>"059-337-8126  "</f>
        <v xml:space="preserve">059-337-8126  </v>
      </c>
    </row>
    <row r="79" spans="1:4" x14ac:dyDescent="0.55000000000000004">
      <c r="A79" s="1">
        <v>2460290725</v>
      </c>
      <c r="B79" s="1" t="s">
        <v>2384</v>
      </c>
      <c r="C79" s="1" t="str">
        <f>"四日市市九の城町4-23-2F"</f>
        <v>四日市市九の城町4-23-2F</v>
      </c>
      <c r="D79" s="1" t="str">
        <f>"059-327-6207  "</f>
        <v xml:space="preserve">059-327-6207  </v>
      </c>
    </row>
    <row r="80" spans="1:4" x14ac:dyDescent="0.55000000000000004">
      <c r="A80" s="1">
        <v>2460290733</v>
      </c>
      <c r="B80" s="1" t="s">
        <v>2385</v>
      </c>
      <c r="C80" s="1" t="str">
        <f>"四日市市日永西3丁目3-20"</f>
        <v>四日市市日永西3丁目3-20</v>
      </c>
      <c r="D80" s="1" t="str">
        <f>"059-327-6777  "</f>
        <v xml:space="preserve">059-327-6777  </v>
      </c>
    </row>
    <row r="81" spans="1:4" x14ac:dyDescent="0.55000000000000004">
      <c r="A81" s="1">
        <v>2460290758</v>
      </c>
      <c r="B81" s="1" t="s">
        <v>2386</v>
      </c>
      <c r="C81" s="1" t="str">
        <f>"四日市市赤堀南町2-25"</f>
        <v>四日市市赤堀南町2-25</v>
      </c>
      <c r="D81" s="1" t="str">
        <f>"059-329-5270  "</f>
        <v xml:space="preserve">059-329-5270  </v>
      </c>
    </row>
    <row r="82" spans="1:4" x14ac:dyDescent="0.55000000000000004">
      <c r="A82" s="1">
        <v>2460290766</v>
      </c>
      <c r="B82" s="1" t="s">
        <v>2387</v>
      </c>
      <c r="C82" s="1" t="str">
        <f>"四日市市下さざらい町11-8"</f>
        <v>四日市市下さざらい町11-8</v>
      </c>
      <c r="D82" s="1" t="str">
        <f>"059-325-7556  "</f>
        <v xml:space="preserve">059-325-7556  </v>
      </c>
    </row>
    <row r="83" spans="1:4" x14ac:dyDescent="0.55000000000000004">
      <c r="A83" s="1">
        <v>2460390012</v>
      </c>
      <c r="B83" s="1" t="s">
        <v>2388</v>
      </c>
      <c r="C83" s="1" t="s">
        <v>3156</v>
      </c>
      <c r="D83" s="1" t="str">
        <f>"059-370-6725  "</f>
        <v xml:space="preserve">059-370-6725  </v>
      </c>
    </row>
    <row r="84" spans="1:4" x14ac:dyDescent="0.55000000000000004">
      <c r="A84" s="1">
        <v>2460390020</v>
      </c>
      <c r="B84" s="1" t="s">
        <v>2389</v>
      </c>
      <c r="C84" s="1" t="s">
        <v>3157</v>
      </c>
      <c r="D84" s="1" t="str">
        <f>"059-384-3553  "</f>
        <v xml:space="preserve">059-384-3553  </v>
      </c>
    </row>
    <row r="85" spans="1:4" x14ac:dyDescent="0.55000000000000004">
      <c r="A85" s="1">
        <v>2460390046</v>
      </c>
      <c r="B85" s="1" t="s">
        <v>2390</v>
      </c>
      <c r="C85" s="1" t="s">
        <v>2391</v>
      </c>
      <c r="D85" s="1" t="str">
        <f>"059-384-3690  "</f>
        <v xml:space="preserve">059-384-3690  </v>
      </c>
    </row>
    <row r="86" spans="1:4" x14ac:dyDescent="0.55000000000000004">
      <c r="A86" s="1">
        <v>2460390061</v>
      </c>
      <c r="B86" s="1" t="s">
        <v>2392</v>
      </c>
      <c r="C86" s="1" t="str">
        <f>"鈴鹿市岸岡町589-2"</f>
        <v>鈴鹿市岸岡町589-2</v>
      </c>
      <c r="D86" s="1" t="str">
        <f>"059-382-1401  "</f>
        <v xml:space="preserve">059-382-1401  </v>
      </c>
    </row>
    <row r="87" spans="1:4" x14ac:dyDescent="0.55000000000000004">
      <c r="A87" s="1">
        <v>2460390079</v>
      </c>
      <c r="B87" s="1" t="s">
        <v>2393</v>
      </c>
      <c r="C87" s="1" t="str">
        <f>"鈴鹿市道伯町2147-23"</f>
        <v>鈴鹿市道伯町2147-23</v>
      </c>
      <c r="D87" s="1" t="str">
        <f>"059-375-7500  "</f>
        <v xml:space="preserve">059-375-7500  </v>
      </c>
    </row>
    <row r="88" spans="1:4" x14ac:dyDescent="0.55000000000000004">
      <c r="A88" s="1">
        <v>2460390145</v>
      </c>
      <c r="B88" s="1" t="s">
        <v>2394</v>
      </c>
      <c r="C88" s="1" t="s">
        <v>3158</v>
      </c>
      <c r="D88" s="1" t="str">
        <f>"059-395-6171  "</f>
        <v xml:space="preserve">059-395-6171  </v>
      </c>
    </row>
    <row r="89" spans="1:4" x14ac:dyDescent="0.55000000000000004">
      <c r="A89" s="1">
        <v>2460390160</v>
      </c>
      <c r="B89" s="1" t="s">
        <v>2395</v>
      </c>
      <c r="C89" s="1" t="s">
        <v>2736</v>
      </c>
      <c r="D89" s="1" t="str">
        <f>"059-378-7107  "</f>
        <v xml:space="preserve">059-378-7107  </v>
      </c>
    </row>
    <row r="90" spans="1:4" x14ac:dyDescent="0.55000000000000004">
      <c r="A90" s="1">
        <v>2460390178</v>
      </c>
      <c r="B90" s="1" t="s">
        <v>2396</v>
      </c>
      <c r="C90" s="1" t="str">
        <f>"鈴鹿市野町西1丁目4-12"</f>
        <v>鈴鹿市野町西1丁目4-12</v>
      </c>
      <c r="D90" s="1" t="str">
        <f>"059-389-6825  "</f>
        <v xml:space="preserve">059-389-6825  </v>
      </c>
    </row>
    <row r="91" spans="1:4" x14ac:dyDescent="0.55000000000000004">
      <c r="A91" s="1">
        <v>2460390236</v>
      </c>
      <c r="B91" s="1" t="s">
        <v>2397</v>
      </c>
      <c r="C91" s="1" t="str">
        <f>"鈴鹿市江島台2丁目1-8　2F"</f>
        <v>鈴鹿市江島台2丁目1-8　2F</v>
      </c>
      <c r="D91" s="1" t="str">
        <f>"059-373-7168  "</f>
        <v xml:space="preserve">059-373-7168  </v>
      </c>
    </row>
    <row r="92" spans="1:4" x14ac:dyDescent="0.55000000000000004">
      <c r="A92" s="1">
        <v>2460390244</v>
      </c>
      <c r="B92" s="1" t="s">
        <v>2398</v>
      </c>
      <c r="C92" s="1" t="str">
        <f>"鈴鹿市平田1丁目9-1　アバンハウスⅠ-C 402号室"</f>
        <v>鈴鹿市平田1丁目9-1　アバンハウスⅠ-C 402号室</v>
      </c>
      <c r="D92" s="1" t="str">
        <f>"059-375-2242  "</f>
        <v xml:space="preserve">059-375-2242  </v>
      </c>
    </row>
    <row r="93" spans="1:4" x14ac:dyDescent="0.55000000000000004">
      <c r="A93" s="1">
        <v>2460390251</v>
      </c>
      <c r="B93" s="1" t="s">
        <v>2399</v>
      </c>
      <c r="C93" s="1" t="s">
        <v>2741</v>
      </c>
      <c r="D93" s="1" t="str">
        <f>"059-340-7420  "</f>
        <v xml:space="preserve">059-340-7420  </v>
      </c>
    </row>
    <row r="94" spans="1:4" x14ac:dyDescent="0.55000000000000004">
      <c r="A94" s="1">
        <v>2460390269</v>
      </c>
      <c r="B94" s="1" t="s">
        <v>2400</v>
      </c>
      <c r="C94" s="1" t="s">
        <v>2401</v>
      </c>
      <c r="D94" s="1" t="str">
        <f>"059-389-6400  "</f>
        <v xml:space="preserve">059-389-6400  </v>
      </c>
    </row>
    <row r="95" spans="1:4" x14ac:dyDescent="0.55000000000000004">
      <c r="A95" s="1">
        <v>2460390285</v>
      </c>
      <c r="B95" s="1" t="s">
        <v>2402</v>
      </c>
      <c r="C95" s="1" t="str">
        <f>"鈴鹿市大池3丁目11－9ベーシック中日1401"</f>
        <v>鈴鹿市大池3丁目11－9ベーシック中日1401</v>
      </c>
      <c r="D95" s="1" t="str">
        <f>"059-389-6672  "</f>
        <v xml:space="preserve">059-389-6672  </v>
      </c>
    </row>
    <row r="96" spans="1:4" x14ac:dyDescent="0.55000000000000004">
      <c r="A96" s="1">
        <v>2460390293</v>
      </c>
      <c r="B96" s="1" t="s">
        <v>2403</v>
      </c>
      <c r="C96" s="1" t="str">
        <f>"鈴鹿市稲生4丁目4878-2"</f>
        <v>鈴鹿市稲生4丁目4878-2</v>
      </c>
      <c r="D96" s="1" t="str">
        <f>"059-389-6661  "</f>
        <v xml:space="preserve">059-389-6661  </v>
      </c>
    </row>
    <row r="97" spans="1:4" x14ac:dyDescent="0.55000000000000004">
      <c r="A97" s="1">
        <v>2460390319</v>
      </c>
      <c r="B97" s="1" t="str">
        <f>"訪問看護ステーション Alley-oop SUZUKA"</f>
        <v>訪問看護ステーション Alley-oop SUZUKA</v>
      </c>
      <c r="C97" s="1" t="str">
        <f>"鈴鹿市平田1-9-1 アバンハウスⅠ B棟403号室"</f>
        <v>鈴鹿市平田1-9-1 アバンハウスⅠ B棟403号室</v>
      </c>
      <c r="D97" s="1" t="str">
        <f>"059-375-0301  "</f>
        <v xml:space="preserve">059-375-0301  </v>
      </c>
    </row>
    <row r="98" spans="1:4" x14ac:dyDescent="0.55000000000000004">
      <c r="A98" s="1">
        <v>2460390327</v>
      </c>
      <c r="B98" s="1" t="s">
        <v>2404</v>
      </c>
      <c r="C98" s="1" t="str">
        <f>"鈴鹿市南玉垣町6507-1"</f>
        <v>鈴鹿市南玉垣町6507-1</v>
      </c>
      <c r="D98" s="1" t="str">
        <f>"059-381-5111  "</f>
        <v xml:space="preserve">059-381-5111  </v>
      </c>
    </row>
    <row r="99" spans="1:4" x14ac:dyDescent="0.55000000000000004">
      <c r="A99" s="1">
        <v>2460390335</v>
      </c>
      <c r="B99" s="1" t="s">
        <v>2405</v>
      </c>
      <c r="C99" s="1" t="s">
        <v>2406</v>
      </c>
      <c r="D99" s="1" t="str">
        <f>"059-358-8100  "</f>
        <v xml:space="preserve">059-358-8100  </v>
      </c>
    </row>
    <row r="100" spans="1:4" x14ac:dyDescent="0.55000000000000004">
      <c r="A100" s="1">
        <v>2460390368</v>
      </c>
      <c r="B100" s="1" t="s">
        <v>2407</v>
      </c>
      <c r="C100" s="1" t="s">
        <v>2408</v>
      </c>
      <c r="D100" s="1" t="str">
        <f>"059-389-7533  "</f>
        <v xml:space="preserve">059-389-7533  </v>
      </c>
    </row>
    <row r="101" spans="1:4" x14ac:dyDescent="0.55000000000000004">
      <c r="A101" s="1">
        <v>2460390376</v>
      </c>
      <c r="B101" s="1" t="s">
        <v>2409</v>
      </c>
      <c r="C101" s="1" t="s">
        <v>2410</v>
      </c>
      <c r="D101" s="1" t="str">
        <f>"059-399-7999  "</f>
        <v xml:space="preserve">059-399-7999  </v>
      </c>
    </row>
    <row r="102" spans="1:4" x14ac:dyDescent="0.55000000000000004">
      <c r="A102" s="1">
        <v>2460390384</v>
      </c>
      <c r="B102" s="1" t="s">
        <v>2404</v>
      </c>
      <c r="C102" s="1" t="str">
        <f>"鈴鹿市南玉垣町6507-1"</f>
        <v>鈴鹿市南玉垣町6507-1</v>
      </c>
      <c r="D102" s="1" t="str">
        <f>"059-381-5111  "</f>
        <v xml:space="preserve">059-381-5111  </v>
      </c>
    </row>
    <row r="103" spans="1:4" x14ac:dyDescent="0.55000000000000004">
      <c r="A103" s="1">
        <v>2460390392</v>
      </c>
      <c r="B103" s="1" t="s">
        <v>2411</v>
      </c>
      <c r="C103" s="1" t="s">
        <v>2412</v>
      </c>
      <c r="D103" s="1" t="str">
        <f>"059-395-6067  "</f>
        <v xml:space="preserve">059-395-6067  </v>
      </c>
    </row>
    <row r="104" spans="1:4" x14ac:dyDescent="0.55000000000000004">
      <c r="A104" s="1">
        <v>2460390400</v>
      </c>
      <c r="B104" s="1" t="s">
        <v>2413</v>
      </c>
      <c r="C104" s="1" t="str">
        <f>"鈴鹿市庄野東１丁目7-21　リンデン小林105号室"</f>
        <v>鈴鹿市庄野東１丁目7-21　リンデン小林105号室</v>
      </c>
      <c r="D104" s="1" t="str">
        <f>"059-373-7101  "</f>
        <v xml:space="preserve">059-373-7101  </v>
      </c>
    </row>
    <row r="105" spans="1:4" x14ac:dyDescent="0.55000000000000004">
      <c r="A105" s="1">
        <v>2460390418</v>
      </c>
      <c r="B105" s="1" t="s">
        <v>2414</v>
      </c>
      <c r="C105" s="1" t="str">
        <f>"鈴鹿市西条１丁目18-3　第一コーポ優珈里102"</f>
        <v>鈴鹿市西条１丁目18-3　第一コーポ優珈里102</v>
      </c>
      <c r="D105" s="1" t="str">
        <f>"059-373-4848  "</f>
        <v xml:space="preserve">059-373-4848  </v>
      </c>
    </row>
    <row r="106" spans="1:4" x14ac:dyDescent="0.55000000000000004">
      <c r="A106" s="1">
        <v>2460390426</v>
      </c>
      <c r="B106" s="1" t="s">
        <v>2415</v>
      </c>
      <c r="C106" s="1" t="s">
        <v>2416</v>
      </c>
      <c r="D106" s="1" t="str">
        <f>"080-1623-0323 "</f>
        <v xml:space="preserve">080-1623-0323 </v>
      </c>
    </row>
    <row r="107" spans="1:4" x14ac:dyDescent="0.55000000000000004">
      <c r="A107" s="1">
        <v>2460490036</v>
      </c>
      <c r="B107" s="1" t="s">
        <v>2417</v>
      </c>
      <c r="C107" s="1" t="s">
        <v>3159</v>
      </c>
      <c r="D107" s="1" t="str">
        <f>"0595-96-8909  "</f>
        <v xml:space="preserve">0595-96-8909  </v>
      </c>
    </row>
    <row r="108" spans="1:4" x14ac:dyDescent="0.55000000000000004">
      <c r="A108" s="1">
        <v>2460490044</v>
      </c>
      <c r="B108" s="1" t="s">
        <v>2418</v>
      </c>
      <c r="C108" s="1" t="s">
        <v>3160</v>
      </c>
      <c r="D108" s="1" t="str">
        <f>"0595-96-8014  "</f>
        <v xml:space="preserve">0595-96-8014  </v>
      </c>
    </row>
    <row r="109" spans="1:4" x14ac:dyDescent="0.55000000000000004">
      <c r="A109" s="1">
        <v>2460490077</v>
      </c>
      <c r="B109" s="1" t="s">
        <v>2419</v>
      </c>
      <c r="C109" s="1" t="s">
        <v>2420</v>
      </c>
      <c r="D109" s="1" t="str">
        <f>"0595-85-3911  "</f>
        <v xml:space="preserve">0595-85-3911  </v>
      </c>
    </row>
    <row r="110" spans="1:4" x14ac:dyDescent="0.55000000000000004">
      <c r="A110" s="1">
        <v>2460490085</v>
      </c>
      <c r="B110" s="1" t="s">
        <v>2421</v>
      </c>
      <c r="C110" s="1" t="s">
        <v>3161</v>
      </c>
      <c r="D110" s="1" t="str">
        <f>"0595-96-8501  "</f>
        <v xml:space="preserve">0595-96-8501  </v>
      </c>
    </row>
    <row r="111" spans="1:4" x14ac:dyDescent="0.55000000000000004">
      <c r="A111" s="1">
        <v>2460490093</v>
      </c>
      <c r="B111" s="1" t="s">
        <v>2422</v>
      </c>
      <c r="C111" s="1" t="s">
        <v>2423</v>
      </c>
      <c r="D111" s="1" t="str">
        <f>"0595-83-1966  "</f>
        <v xml:space="preserve">0595-83-1966  </v>
      </c>
    </row>
    <row r="112" spans="1:4" x14ac:dyDescent="0.55000000000000004">
      <c r="A112" s="1">
        <v>2460490127</v>
      </c>
      <c r="B112" s="1" t="s">
        <v>2425</v>
      </c>
      <c r="C112" s="1" t="s">
        <v>3162</v>
      </c>
      <c r="D112" s="1" t="str">
        <f>"0595-96-8133  "</f>
        <v xml:space="preserve">0595-96-8133  </v>
      </c>
    </row>
    <row r="113" spans="1:4" x14ac:dyDescent="0.55000000000000004">
      <c r="A113" s="1">
        <v>2460490135</v>
      </c>
      <c r="B113" s="1" t="s">
        <v>2426</v>
      </c>
      <c r="C113" s="1" t="s">
        <v>2427</v>
      </c>
      <c r="D113" s="1" t="str">
        <f>"0595-96-3312  "</f>
        <v xml:space="preserve">0595-96-3312  </v>
      </c>
    </row>
    <row r="114" spans="1:4" x14ac:dyDescent="0.55000000000000004">
      <c r="A114" s="1">
        <v>2460490143</v>
      </c>
      <c r="B114" s="1" t="s">
        <v>2428</v>
      </c>
      <c r="C114" s="1" t="s">
        <v>2429</v>
      </c>
      <c r="D114" s="1" t="str">
        <f>"050-5830-1285 "</f>
        <v xml:space="preserve">050-5830-1285 </v>
      </c>
    </row>
    <row r="115" spans="1:4" x14ac:dyDescent="0.55000000000000004">
      <c r="A115" s="1">
        <v>2461390029</v>
      </c>
      <c r="B115" s="1" t="s">
        <v>2558</v>
      </c>
      <c r="C115" s="1" t="s">
        <v>2903</v>
      </c>
      <c r="D115" s="1" t="str">
        <f>"0595-61-2300  "</f>
        <v xml:space="preserve">0595-61-2300  </v>
      </c>
    </row>
    <row r="116" spans="1:4" x14ac:dyDescent="0.55000000000000004">
      <c r="A116" s="1">
        <v>2461390045</v>
      </c>
      <c r="B116" s="1" t="s">
        <v>2559</v>
      </c>
      <c r="C116" s="1" t="s">
        <v>3187</v>
      </c>
      <c r="D116" s="1" t="str">
        <f>"0595-62-1000  "</f>
        <v xml:space="preserve">0595-62-1000  </v>
      </c>
    </row>
    <row r="117" spans="1:4" x14ac:dyDescent="0.55000000000000004">
      <c r="A117" s="1">
        <v>2461390078</v>
      </c>
      <c r="B117" s="1" t="s">
        <v>2560</v>
      </c>
      <c r="C117" s="1" t="str">
        <f>"名張市朝日町1247－1"</f>
        <v>名張市朝日町1247－1</v>
      </c>
      <c r="D117" s="1" t="str">
        <f>"0595-42-8090  "</f>
        <v xml:space="preserve">0595-42-8090  </v>
      </c>
    </row>
    <row r="118" spans="1:4" x14ac:dyDescent="0.55000000000000004">
      <c r="A118" s="1">
        <v>2461390086</v>
      </c>
      <c r="B118" s="1" t="s">
        <v>2561</v>
      </c>
      <c r="C118" s="1" t="s">
        <v>3188</v>
      </c>
      <c r="D118" s="1" t="str">
        <f>"0595-42-8930  "</f>
        <v xml:space="preserve">0595-42-8930  </v>
      </c>
    </row>
    <row r="119" spans="1:4" x14ac:dyDescent="0.55000000000000004">
      <c r="A119" s="1">
        <v>2461390094</v>
      </c>
      <c r="B119" s="1" t="s">
        <v>2562</v>
      </c>
      <c r="C119" s="1" t="str">
        <f>"名張市東町1901-1"</f>
        <v>名張市東町1901-1</v>
      </c>
      <c r="D119" s="1" t="str">
        <f>"0595-64-2146  "</f>
        <v xml:space="preserve">0595-64-2146  </v>
      </c>
    </row>
    <row r="120" spans="1:4" x14ac:dyDescent="0.55000000000000004">
      <c r="A120" s="1">
        <v>2461390102</v>
      </c>
      <c r="B120" s="1" t="s">
        <v>2563</v>
      </c>
      <c r="C120" s="1" t="s">
        <v>2564</v>
      </c>
      <c r="D120" s="1" t="str">
        <f>"0595-67-2080  "</f>
        <v xml:space="preserve">0595-67-2080  </v>
      </c>
    </row>
    <row r="121" spans="1:4" x14ac:dyDescent="0.55000000000000004">
      <c r="A121" s="1">
        <v>2461390110</v>
      </c>
      <c r="B121" s="1" t="s">
        <v>2565</v>
      </c>
      <c r="C121" s="1" t="s">
        <v>2566</v>
      </c>
      <c r="D121" s="1" t="str">
        <f>"0595-62-1820  "</f>
        <v xml:space="preserve">0595-62-1820  </v>
      </c>
    </row>
    <row r="122" spans="1:4" x14ac:dyDescent="0.55000000000000004">
      <c r="A122" s="1">
        <v>2461390128</v>
      </c>
      <c r="B122" s="1" t="s">
        <v>2567</v>
      </c>
      <c r="C122" s="1" t="s">
        <v>3189</v>
      </c>
      <c r="D122" s="1" t="str">
        <f>"0595-48-7832  "</f>
        <v xml:space="preserve">0595-48-7832  </v>
      </c>
    </row>
    <row r="123" spans="1:4" x14ac:dyDescent="0.55000000000000004">
      <c r="A123" s="1">
        <v>2461390136</v>
      </c>
      <c r="B123" s="1" t="s">
        <v>2568</v>
      </c>
      <c r="C123" s="1" t="s">
        <v>2569</v>
      </c>
      <c r="D123" s="1" t="str">
        <f>"0595-62-5155  "</f>
        <v xml:space="preserve">0595-62-5155  </v>
      </c>
    </row>
    <row r="124" spans="1:4" x14ac:dyDescent="0.55000000000000004">
      <c r="A124" s="1">
        <v>2461390144</v>
      </c>
      <c r="B124" s="1" t="s">
        <v>2369</v>
      </c>
      <c r="C124" s="1" t="s">
        <v>2570</v>
      </c>
      <c r="D124" s="1" t="str">
        <f>"059-48-5250   "</f>
        <v xml:space="preserve">059-48-5250   </v>
      </c>
    </row>
    <row r="125" spans="1:4" x14ac:dyDescent="0.55000000000000004">
      <c r="A125" s="1">
        <v>2461390151</v>
      </c>
      <c r="B125" s="1" t="s">
        <v>2571</v>
      </c>
      <c r="C125" s="1" t="str">
        <f>"名張市夏見4-1"</f>
        <v>名張市夏見4-1</v>
      </c>
      <c r="D125" s="1" t="str">
        <f>"0595-41-1015  "</f>
        <v xml:space="preserve">0595-41-1015  </v>
      </c>
    </row>
    <row r="126" spans="1:4" x14ac:dyDescent="0.55000000000000004">
      <c r="A126" s="1">
        <v>2461393007</v>
      </c>
      <c r="B126" s="1" t="s">
        <v>2572</v>
      </c>
      <c r="C126" s="1" t="s">
        <v>2573</v>
      </c>
      <c r="D126" s="1" t="str">
        <f>"0595-63-1082  "</f>
        <v xml:space="preserve">0595-63-1082  </v>
      </c>
    </row>
    <row r="127" spans="1:4" x14ac:dyDescent="0.55000000000000004">
      <c r="A127" s="1">
        <v>2461290021</v>
      </c>
      <c r="B127" s="1" t="s">
        <v>2540</v>
      </c>
      <c r="C127" s="1" t="s">
        <v>3183</v>
      </c>
      <c r="D127" s="1" t="str">
        <f>"0595-24-6355  "</f>
        <v xml:space="preserve">0595-24-6355  </v>
      </c>
    </row>
    <row r="128" spans="1:4" x14ac:dyDescent="0.55000000000000004">
      <c r="A128" s="1">
        <v>2461290070</v>
      </c>
      <c r="B128" s="1" t="s">
        <v>2541</v>
      </c>
      <c r="C128" s="1" t="s">
        <v>908</v>
      </c>
      <c r="D128" s="1" t="str">
        <f>"0595-24-1111  "</f>
        <v xml:space="preserve">0595-24-1111  </v>
      </c>
    </row>
    <row r="129" spans="1:4" x14ac:dyDescent="0.55000000000000004">
      <c r="A129" s="1">
        <v>2461290088</v>
      </c>
      <c r="B129" s="1" t="s">
        <v>2542</v>
      </c>
      <c r="C129" s="1" t="s">
        <v>3184</v>
      </c>
      <c r="D129" s="1" t="str">
        <f>"0595-22-0820  "</f>
        <v xml:space="preserve">0595-22-0820  </v>
      </c>
    </row>
    <row r="130" spans="1:4" x14ac:dyDescent="0.55000000000000004">
      <c r="A130" s="1">
        <v>2461290096</v>
      </c>
      <c r="B130" s="1" t="s">
        <v>2543</v>
      </c>
      <c r="C130" s="1" t="s">
        <v>3185</v>
      </c>
      <c r="D130" s="1" t="str">
        <f>"0595-23-5541  "</f>
        <v xml:space="preserve">0595-23-5541  </v>
      </c>
    </row>
    <row r="131" spans="1:4" x14ac:dyDescent="0.55000000000000004">
      <c r="A131" s="1">
        <v>2461290104</v>
      </c>
      <c r="B131" s="1" t="s">
        <v>2544</v>
      </c>
      <c r="C131" s="1" t="s">
        <v>2545</v>
      </c>
      <c r="D131" s="1" t="str">
        <f>"0595-21-5235  "</f>
        <v xml:space="preserve">0595-21-5235  </v>
      </c>
    </row>
    <row r="132" spans="1:4" x14ac:dyDescent="0.55000000000000004">
      <c r="A132" s="1">
        <v>2461290120</v>
      </c>
      <c r="B132" s="1" t="s">
        <v>2546</v>
      </c>
      <c r="C132" s="1" t="s">
        <v>3186</v>
      </c>
      <c r="D132" s="1" t="str">
        <f>"0595-41-0750  "</f>
        <v xml:space="preserve">0595-41-0750  </v>
      </c>
    </row>
    <row r="133" spans="1:4" x14ac:dyDescent="0.55000000000000004">
      <c r="A133" s="1">
        <v>2461290146</v>
      </c>
      <c r="B133" s="1" t="s">
        <v>2547</v>
      </c>
      <c r="C133" s="1" t="str">
        <f>"伊賀市桐ヶ丘3-324"</f>
        <v>伊賀市桐ヶ丘3-324</v>
      </c>
      <c r="D133" s="1" t="str">
        <f>"0595-52-5007  "</f>
        <v xml:space="preserve">0595-52-5007  </v>
      </c>
    </row>
    <row r="134" spans="1:4" x14ac:dyDescent="0.55000000000000004">
      <c r="A134" s="1">
        <v>2461290153</v>
      </c>
      <c r="B134" s="1" t="s">
        <v>2548</v>
      </c>
      <c r="C134" s="1" t="s">
        <v>2549</v>
      </c>
      <c r="D134" s="1" t="str">
        <f>"0595-21-7880  "</f>
        <v xml:space="preserve">0595-21-7880  </v>
      </c>
    </row>
    <row r="135" spans="1:4" x14ac:dyDescent="0.55000000000000004">
      <c r="A135" s="1">
        <v>2461290161</v>
      </c>
      <c r="B135" s="1" t="s">
        <v>2550</v>
      </c>
      <c r="C135" s="1" t="s">
        <v>2551</v>
      </c>
      <c r="D135" s="1" t="str">
        <f>"0595-51-9686  "</f>
        <v xml:space="preserve">0595-51-9686  </v>
      </c>
    </row>
    <row r="136" spans="1:4" x14ac:dyDescent="0.55000000000000004">
      <c r="A136" s="1">
        <v>2461290187</v>
      </c>
      <c r="B136" s="1" t="s">
        <v>2552</v>
      </c>
      <c r="C136" s="1" t="s">
        <v>2553</v>
      </c>
      <c r="D136" s="1" t="str">
        <f>"0595-51-6071  "</f>
        <v xml:space="preserve">0595-51-6071  </v>
      </c>
    </row>
    <row r="137" spans="1:4" x14ac:dyDescent="0.55000000000000004">
      <c r="A137" s="1">
        <v>2461290195</v>
      </c>
      <c r="B137" s="1" t="s">
        <v>2554</v>
      </c>
      <c r="C137" s="1" t="s">
        <v>2555</v>
      </c>
      <c r="D137" s="1" t="str">
        <f>"0595-51-6270  "</f>
        <v xml:space="preserve">0595-51-6270  </v>
      </c>
    </row>
    <row r="138" spans="1:4" x14ac:dyDescent="0.55000000000000004">
      <c r="A138" s="1">
        <v>2461290203</v>
      </c>
      <c r="B138" s="1" t="s">
        <v>2556</v>
      </c>
      <c r="C138" s="1" t="s">
        <v>2557</v>
      </c>
      <c r="D138" s="1" t="str">
        <f>"0595-54-6160  "</f>
        <v xml:space="preserve">0595-54-6160  </v>
      </c>
    </row>
    <row r="139" spans="1:4" x14ac:dyDescent="0.55000000000000004">
      <c r="A139" s="1">
        <v>2463290011</v>
      </c>
      <c r="B139" s="1" t="s">
        <v>2626</v>
      </c>
      <c r="C139" s="1" t="s">
        <v>921</v>
      </c>
      <c r="D139" s="1" t="str">
        <f>"0595-43-9200  "</f>
        <v xml:space="preserve">0595-43-9200  </v>
      </c>
    </row>
    <row r="140" spans="1:4" x14ac:dyDescent="0.55000000000000004">
      <c r="A140" s="1">
        <v>2460590017</v>
      </c>
      <c r="B140" s="1" t="s">
        <v>2430</v>
      </c>
      <c r="C140" s="1" t="s">
        <v>2431</v>
      </c>
      <c r="D140" s="1" t="str">
        <f>"059-223-0077  "</f>
        <v xml:space="preserve">059-223-0077  </v>
      </c>
    </row>
    <row r="141" spans="1:4" x14ac:dyDescent="0.55000000000000004">
      <c r="A141" s="1">
        <v>2460590033</v>
      </c>
      <c r="B141" s="1" t="s">
        <v>2432</v>
      </c>
      <c r="C141" s="1" t="s">
        <v>3163</v>
      </c>
      <c r="D141" s="1" t="str">
        <f>"059-254-6161  "</f>
        <v xml:space="preserve">059-254-6161  </v>
      </c>
    </row>
    <row r="142" spans="1:4" x14ac:dyDescent="0.55000000000000004">
      <c r="A142" s="1">
        <v>2460590074</v>
      </c>
      <c r="B142" s="1" t="s">
        <v>2433</v>
      </c>
      <c r="C142" s="1" t="str">
        <f>"津市乙部2112-1　メッセウ常2階"</f>
        <v>津市乙部2112-1　メッセウ常2階</v>
      </c>
      <c r="D142" s="1" t="str">
        <f>"059-291-6880  "</f>
        <v xml:space="preserve">059-291-6880  </v>
      </c>
    </row>
    <row r="143" spans="1:4" x14ac:dyDescent="0.55000000000000004">
      <c r="A143" s="1">
        <v>2460590082</v>
      </c>
      <c r="B143" s="1" t="s">
        <v>2434</v>
      </c>
      <c r="C143" s="1" t="s">
        <v>2435</v>
      </c>
      <c r="D143" s="1" t="str">
        <f>"059-221-0707  "</f>
        <v xml:space="preserve">059-221-0707  </v>
      </c>
    </row>
    <row r="144" spans="1:4" x14ac:dyDescent="0.55000000000000004">
      <c r="A144" s="1">
        <v>2460590090</v>
      </c>
      <c r="B144" s="1" t="s">
        <v>2343</v>
      </c>
      <c r="C144" s="1" t="s">
        <v>3164</v>
      </c>
      <c r="D144" s="1" t="str">
        <f>"059-269-5573  "</f>
        <v xml:space="preserve">059-269-5573  </v>
      </c>
    </row>
    <row r="145" spans="1:4" x14ac:dyDescent="0.55000000000000004">
      <c r="A145" s="1">
        <v>2460590116</v>
      </c>
      <c r="B145" s="1" t="s">
        <v>2436</v>
      </c>
      <c r="C145" s="1" t="s">
        <v>3165</v>
      </c>
      <c r="D145" s="1" t="str">
        <f>"059-236-2910  "</f>
        <v xml:space="preserve">059-236-2910  </v>
      </c>
    </row>
    <row r="146" spans="1:4" x14ac:dyDescent="0.55000000000000004">
      <c r="A146" s="1">
        <v>2460590140</v>
      </c>
      <c r="B146" s="1" t="s">
        <v>2437</v>
      </c>
      <c r="C146" s="1" t="str">
        <f>"津市高茶屋6丁目11-24-105"</f>
        <v>津市高茶屋6丁目11-24-105</v>
      </c>
      <c r="D146" s="1" t="str">
        <f>"059-253-3253  "</f>
        <v xml:space="preserve">059-253-3253  </v>
      </c>
    </row>
    <row r="147" spans="1:4" x14ac:dyDescent="0.55000000000000004">
      <c r="A147" s="1">
        <v>2460590165</v>
      </c>
      <c r="B147" s="1" t="s">
        <v>2438</v>
      </c>
      <c r="C147" s="1" t="s">
        <v>2439</v>
      </c>
      <c r="D147" s="1" t="str">
        <f>"059-225-6165  "</f>
        <v xml:space="preserve">059-225-6165  </v>
      </c>
    </row>
    <row r="148" spans="1:4" x14ac:dyDescent="0.55000000000000004">
      <c r="A148" s="1">
        <v>2460590181</v>
      </c>
      <c r="B148" s="1" t="s">
        <v>2440</v>
      </c>
      <c r="C148" s="1" t="s">
        <v>3166</v>
      </c>
      <c r="D148" s="1" t="str">
        <f>"059-213-4165  "</f>
        <v xml:space="preserve">059-213-4165  </v>
      </c>
    </row>
    <row r="149" spans="1:4" x14ac:dyDescent="0.55000000000000004">
      <c r="A149" s="1">
        <v>2460590207</v>
      </c>
      <c r="B149" s="1" t="s">
        <v>2441</v>
      </c>
      <c r="C149" s="1" t="str">
        <f>"津市白塚町2420-1"</f>
        <v>津市白塚町2420-1</v>
      </c>
      <c r="D149" s="1" t="str">
        <f>"059-236-5656  "</f>
        <v xml:space="preserve">059-236-5656  </v>
      </c>
    </row>
    <row r="150" spans="1:4" x14ac:dyDescent="0.55000000000000004">
      <c r="A150" s="1">
        <v>2460590215</v>
      </c>
      <c r="B150" s="1" t="s">
        <v>2442</v>
      </c>
      <c r="C150" s="1" t="s">
        <v>3167</v>
      </c>
      <c r="D150" s="1" t="str">
        <f>"059-295-0055  "</f>
        <v xml:space="preserve">059-295-0055  </v>
      </c>
    </row>
    <row r="151" spans="1:4" x14ac:dyDescent="0.55000000000000004">
      <c r="A151" s="1">
        <v>2460590256</v>
      </c>
      <c r="B151" s="1" t="s">
        <v>2443</v>
      </c>
      <c r="C151" s="1" t="s">
        <v>3168</v>
      </c>
      <c r="D151" s="1" t="str">
        <f>"059-246-5546  "</f>
        <v xml:space="preserve">059-246-5546  </v>
      </c>
    </row>
    <row r="152" spans="1:4" x14ac:dyDescent="0.55000000000000004">
      <c r="A152" s="1">
        <v>2460590272</v>
      </c>
      <c r="B152" s="1" t="s">
        <v>2444</v>
      </c>
      <c r="C152" s="1" t="s">
        <v>3169</v>
      </c>
      <c r="D152" s="1" t="str">
        <f>"059-271-5788  "</f>
        <v xml:space="preserve">059-271-5788  </v>
      </c>
    </row>
    <row r="153" spans="1:4" x14ac:dyDescent="0.55000000000000004">
      <c r="A153" s="1">
        <v>2460590280</v>
      </c>
      <c r="B153" s="1" t="s">
        <v>2445</v>
      </c>
      <c r="C153" s="1" t="s">
        <v>2446</v>
      </c>
      <c r="D153" s="1" t="str">
        <f>"059-253-2177  "</f>
        <v xml:space="preserve">059-253-2177  </v>
      </c>
    </row>
    <row r="154" spans="1:4" x14ac:dyDescent="0.55000000000000004">
      <c r="A154" s="1">
        <v>2460590322</v>
      </c>
      <c r="B154" s="1" t="s">
        <v>2447</v>
      </c>
      <c r="C154" s="1" t="str">
        <f>"津市久居中町41-2　コーポむつみ101号室"</f>
        <v>津市久居中町41-2　コーポむつみ101号室</v>
      </c>
      <c r="D154" s="1" t="str">
        <f>"059-202-8810  "</f>
        <v xml:space="preserve">059-202-8810  </v>
      </c>
    </row>
    <row r="155" spans="1:4" x14ac:dyDescent="0.55000000000000004">
      <c r="A155" s="1">
        <v>2460590330</v>
      </c>
      <c r="B155" s="1" t="s">
        <v>2448</v>
      </c>
      <c r="C155" s="1" t="str">
        <f>"津市高茶屋小森町字四ツ野1566-2"</f>
        <v>津市高茶屋小森町字四ツ野1566-2</v>
      </c>
      <c r="D155" s="1" t="str">
        <f>"059-269-5557  "</f>
        <v xml:space="preserve">059-269-5557  </v>
      </c>
    </row>
    <row r="156" spans="1:4" x14ac:dyDescent="0.55000000000000004">
      <c r="A156" s="1">
        <v>2460590348</v>
      </c>
      <c r="B156" s="1" t="s">
        <v>2449</v>
      </c>
      <c r="C156" s="1" t="s">
        <v>2450</v>
      </c>
      <c r="D156" s="1" t="str">
        <f>"059-253-1504  "</f>
        <v xml:space="preserve">059-253-1504  </v>
      </c>
    </row>
    <row r="157" spans="1:4" x14ac:dyDescent="0.55000000000000004">
      <c r="A157" s="1">
        <v>2460590355</v>
      </c>
      <c r="B157" s="1" t="s">
        <v>2451</v>
      </c>
      <c r="C157" s="1" t="str">
        <f>"津市大門6-5　大樹生命津ビル2階"</f>
        <v>津市大門6-5　大樹生命津ビル2階</v>
      </c>
      <c r="D157" s="1" t="str">
        <f>"059-253-5152  "</f>
        <v xml:space="preserve">059-253-5152  </v>
      </c>
    </row>
    <row r="158" spans="1:4" x14ac:dyDescent="0.55000000000000004">
      <c r="A158" s="1">
        <v>2460590371</v>
      </c>
      <c r="B158" s="1" t="s">
        <v>2452</v>
      </c>
      <c r="C158" s="1" t="s">
        <v>3170</v>
      </c>
      <c r="D158" s="1" t="str">
        <f>"059-224-1190  "</f>
        <v xml:space="preserve">059-224-1190  </v>
      </c>
    </row>
    <row r="159" spans="1:4" x14ac:dyDescent="0.55000000000000004">
      <c r="A159" s="1">
        <v>2460590389</v>
      </c>
      <c r="B159" s="1" t="s">
        <v>2453</v>
      </c>
      <c r="C159" s="1" t="str">
        <f>"津市柳山津興630-3"</f>
        <v>津市柳山津興630-3</v>
      </c>
      <c r="D159" s="1" t="str">
        <f>"059-253-6860  "</f>
        <v xml:space="preserve">059-253-6860  </v>
      </c>
    </row>
    <row r="160" spans="1:4" x14ac:dyDescent="0.55000000000000004">
      <c r="A160" s="1">
        <v>2460590397</v>
      </c>
      <c r="B160" s="1" t="s">
        <v>2454</v>
      </c>
      <c r="C160" s="1" t="str">
        <f>"津市大谷町276-5　ネクストビル4階"</f>
        <v>津市大谷町276-5　ネクストビル4階</v>
      </c>
      <c r="D160" s="1" t="str">
        <f>"059-253-7203  "</f>
        <v xml:space="preserve">059-253-7203  </v>
      </c>
    </row>
    <row r="161" spans="1:4" x14ac:dyDescent="0.55000000000000004">
      <c r="A161" s="1">
        <v>2460590405</v>
      </c>
      <c r="B161" s="1" t="s">
        <v>2455</v>
      </c>
      <c r="C161" s="1" t="s">
        <v>3171</v>
      </c>
      <c r="D161" s="1" t="str">
        <f>"059-222-2570  "</f>
        <v xml:space="preserve">059-222-2570  </v>
      </c>
    </row>
    <row r="162" spans="1:4" x14ac:dyDescent="0.55000000000000004">
      <c r="A162" s="1">
        <v>2460590439</v>
      </c>
      <c r="B162" s="1" t="s">
        <v>2456</v>
      </c>
      <c r="C162" s="1" t="s">
        <v>3172</v>
      </c>
      <c r="D162" s="1" t="str">
        <f>"059-269-7515  "</f>
        <v xml:space="preserve">059-269-7515  </v>
      </c>
    </row>
    <row r="163" spans="1:4" x14ac:dyDescent="0.55000000000000004">
      <c r="A163" s="1">
        <v>2460590447</v>
      </c>
      <c r="B163" s="1" t="s">
        <v>2457</v>
      </c>
      <c r="C163" s="1" t="str">
        <f>"津市高茶屋小森町95-19"</f>
        <v>津市高茶屋小森町95-19</v>
      </c>
      <c r="D163" s="1" t="str">
        <f>"059-261-1267  "</f>
        <v xml:space="preserve">059-261-1267  </v>
      </c>
    </row>
    <row r="164" spans="1:4" x14ac:dyDescent="0.55000000000000004">
      <c r="A164" s="1">
        <v>2460590454</v>
      </c>
      <c r="B164" s="1" t="s">
        <v>2458</v>
      </c>
      <c r="C164" s="1" t="str">
        <f>"津市殿村332-1"</f>
        <v>津市殿村332-1</v>
      </c>
      <c r="D164" s="1" t="str">
        <f>"059-271-8333  "</f>
        <v xml:space="preserve">059-271-8333  </v>
      </c>
    </row>
    <row r="165" spans="1:4" x14ac:dyDescent="0.55000000000000004">
      <c r="A165" s="1">
        <v>2460590462</v>
      </c>
      <c r="B165" s="1" t="s">
        <v>2459</v>
      </c>
      <c r="C165" s="1" t="str">
        <f>"津市上浜町1丁目92-19"</f>
        <v>津市上浜町1丁目92-19</v>
      </c>
      <c r="D165" s="1" t="str">
        <f>"0592-24-4884  "</f>
        <v xml:space="preserve">0592-24-4884  </v>
      </c>
    </row>
    <row r="166" spans="1:4" x14ac:dyDescent="0.55000000000000004">
      <c r="A166" s="1">
        <v>2460590470</v>
      </c>
      <c r="B166" s="1" t="s">
        <v>2460</v>
      </c>
      <c r="C166" s="1" t="s">
        <v>2461</v>
      </c>
      <c r="D166" s="1" t="str">
        <f>"059-271-9351  "</f>
        <v xml:space="preserve">059-271-9351  </v>
      </c>
    </row>
    <row r="167" spans="1:4" x14ac:dyDescent="0.55000000000000004">
      <c r="A167" s="1">
        <v>2460590488</v>
      </c>
      <c r="B167" s="1" t="s">
        <v>2462</v>
      </c>
      <c r="C167" s="1" t="s">
        <v>2463</v>
      </c>
      <c r="D167" s="1" t="str">
        <f>"059-271-9770  "</f>
        <v xml:space="preserve">059-271-9770  </v>
      </c>
    </row>
    <row r="168" spans="1:4" x14ac:dyDescent="0.55000000000000004">
      <c r="A168" s="1">
        <v>2460590561</v>
      </c>
      <c r="B168" s="1" t="s">
        <v>2465</v>
      </c>
      <c r="C168" s="1" t="s">
        <v>2466</v>
      </c>
      <c r="D168" s="1" t="str">
        <f>"059-269-5557  "</f>
        <v xml:space="preserve">059-269-5557  </v>
      </c>
    </row>
    <row r="169" spans="1:4" x14ac:dyDescent="0.55000000000000004">
      <c r="A169" s="1">
        <v>2460590579</v>
      </c>
      <c r="B169" s="1" t="s">
        <v>2467</v>
      </c>
      <c r="C169" s="1" t="s">
        <v>2468</v>
      </c>
      <c r="D169" s="1" t="str">
        <f>"059-271-5800  "</f>
        <v xml:space="preserve">059-271-5800  </v>
      </c>
    </row>
    <row r="170" spans="1:4" x14ac:dyDescent="0.55000000000000004">
      <c r="A170" s="1">
        <v>2460590587</v>
      </c>
      <c r="B170" s="1" t="s">
        <v>2469</v>
      </c>
      <c r="C170" s="1" t="s">
        <v>2470</v>
      </c>
      <c r="D170" s="1" t="str">
        <f>"059-253-7081  "</f>
        <v xml:space="preserve">059-253-7081  </v>
      </c>
    </row>
    <row r="171" spans="1:4" x14ac:dyDescent="0.55000000000000004">
      <c r="A171" s="1">
        <v>2460590603</v>
      </c>
      <c r="B171" s="1" t="s">
        <v>2471</v>
      </c>
      <c r="C171" s="1" t="str">
        <f>"津市寿町12-19"</f>
        <v>津市寿町12-19</v>
      </c>
      <c r="D171" s="1" t="str">
        <f>"059-253-6290  "</f>
        <v xml:space="preserve">059-253-6290  </v>
      </c>
    </row>
    <row r="172" spans="1:4" x14ac:dyDescent="0.55000000000000004">
      <c r="A172" s="1">
        <v>2460590611</v>
      </c>
      <c r="B172" s="1" t="s">
        <v>2472</v>
      </c>
      <c r="C172" s="1" t="s">
        <v>2473</v>
      </c>
      <c r="D172" s="1" t="str">
        <f>"059-269-5513  "</f>
        <v xml:space="preserve">059-269-5513  </v>
      </c>
    </row>
    <row r="173" spans="1:4" x14ac:dyDescent="0.55000000000000004">
      <c r="A173" s="1">
        <v>2460590629</v>
      </c>
      <c r="B173" s="1" t="s">
        <v>2474</v>
      </c>
      <c r="C173" s="1" t="s">
        <v>2475</v>
      </c>
      <c r="D173" s="1" t="str">
        <f>"059-273-0792  "</f>
        <v xml:space="preserve">059-273-0792  </v>
      </c>
    </row>
    <row r="174" spans="1:4" x14ac:dyDescent="0.55000000000000004">
      <c r="A174" s="1">
        <v>2460590637</v>
      </c>
      <c r="B174" s="1" t="s">
        <v>2476</v>
      </c>
      <c r="C174" s="1" t="s">
        <v>2477</v>
      </c>
      <c r="D174" s="1" t="str">
        <f>"059-272-4933  "</f>
        <v xml:space="preserve">059-272-4933  </v>
      </c>
    </row>
    <row r="175" spans="1:4" x14ac:dyDescent="0.55000000000000004">
      <c r="A175" s="1">
        <v>2460590645</v>
      </c>
      <c r="B175" s="1" t="s">
        <v>2478</v>
      </c>
      <c r="C175" s="1" t="str">
        <f>"津市柳山津興369-66"</f>
        <v>津市柳山津興369-66</v>
      </c>
      <c r="D175" s="1" t="str">
        <f>"059-229-5514  "</f>
        <v xml:space="preserve">059-229-5514  </v>
      </c>
    </row>
    <row r="176" spans="1:4" x14ac:dyDescent="0.55000000000000004">
      <c r="A176" s="1">
        <v>2460690031</v>
      </c>
      <c r="B176" s="1" t="s">
        <v>2479</v>
      </c>
      <c r="C176" s="1" t="s">
        <v>2480</v>
      </c>
      <c r="D176" s="1" t="str">
        <f>"059-254-4060  "</f>
        <v xml:space="preserve">059-254-4060  </v>
      </c>
    </row>
    <row r="177" spans="1:4" x14ac:dyDescent="0.55000000000000004">
      <c r="A177" s="1">
        <v>2460790310</v>
      </c>
      <c r="B177" s="1" t="s">
        <v>2502</v>
      </c>
      <c r="C177" s="1" t="s">
        <v>2503</v>
      </c>
      <c r="D177" s="1" t="str">
        <f>"059-293-0733  "</f>
        <v xml:space="preserve">059-293-0733  </v>
      </c>
    </row>
    <row r="178" spans="1:4" x14ac:dyDescent="0.55000000000000004">
      <c r="A178" s="1">
        <v>2460790013</v>
      </c>
      <c r="B178" s="1" t="s">
        <v>2481</v>
      </c>
      <c r="C178" s="1" t="s">
        <v>3173</v>
      </c>
      <c r="D178" s="1" t="str">
        <f>"0598-23-6260  "</f>
        <v xml:space="preserve">0598-23-6260  </v>
      </c>
    </row>
    <row r="179" spans="1:4" x14ac:dyDescent="0.55000000000000004">
      <c r="A179" s="1">
        <v>2460790021</v>
      </c>
      <c r="B179" s="1" t="s">
        <v>2482</v>
      </c>
      <c r="C179" s="1" t="str">
        <f>"松阪市南町443-4"</f>
        <v>松阪市南町443-4</v>
      </c>
      <c r="D179" s="1" t="str">
        <f>"0598-21-7755  "</f>
        <v xml:space="preserve">0598-21-7755  </v>
      </c>
    </row>
    <row r="180" spans="1:4" x14ac:dyDescent="0.55000000000000004">
      <c r="A180" s="1">
        <v>2460790039</v>
      </c>
      <c r="B180" s="1" t="s">
        <v>2483</v>
      </c>
      <c r="C180" s="1" t="str">
        <f>"松阪市山室町690-2"</f>
        <v>松阪市山室町690-2</v>
      </c>
      <c r="D180" s="1" t="str">
        <f>"0598-60-2900  "</f>
        <v xml:space="preserve">0598-60-2900  </v>
      </c>
    </row>
    <row r="181" spans="1:4" x14ac:dyDescent="0.55000000000000004">
      <c r="A181" s="1">
        <v>2460790054</v>
      </c>
      <c r="B181" s="1" t="s">
        <v>2484</v>
      </c>
      <c r="C181" s="1" t="str">
        <f>"松阪市鎌田町234-10"</f>
        <v>松阪市鎌田町234-10</v>
      </c>
      <c r="D181" s="1" t="str">
        <f>"0598-53-1661  "</f>
        <v xml:space="preserve">0598-53-1661  </v>
      </c>
    </row>
    <row r="182" spans="1:4" x14ac:dyDescent="0.55000000000000004">
      <c r="A182" s="1">
        <v>2460790088</v>
      </c>
      <c r="B182" s="1" t="s">
        <v>2485</v>
      </c>
      <c r="C182" s="1" t="s">
        <v>2819</v>
      </c>
      <c r="D182" s="1" t="str">
        <f>"0598-21-8758  "</f>
        <v xml:space="preserve">0598-21-8758  </v>
      </c>
    </row>
    <row r="183" spans="1:4" x14ac:dyDescent="0.55000000000000004">
      <c r="A183" s="1">
        <v>2460790104</v>
      </c>
      <c r="B183" s="1" t="s">
        <v>2486</v>
      </c>
      <c r="C183" s="1" t="s">
        <v>3174</v>
      </c>
      <c r="D183" s="1" t="str">
        <f>"0598-31-2018  "</f>
        <v xml:space="preserve">0598-31-2018  </v>
      </c>
    </row>
    <row r="184" spans="1:4" x14ac:dyDescent="0.55000000000000004">
      <c r="A184" s="1">
        <v>2460790120</v>
      </c>
      <c r="B184" s="1" t="s">
        <v>2487</v>
      </c>
      <c r="C184" s="1" t="s">
        <v>3175</v>
      </c>
      <c r="D184" s="1" t="str">
        <f>"0598-21-3465  "</f>
        <v xml:space="preserve">0598-21-3465  </v>
      </c>
    </row>
    <row r="185" spans="1:4" x14ac:dyDescent="0.55000000000000004">
      <c r="A185" s="1">
        <v>2460790146</v>
      </c>
      <c r="B185" s="1" t="s">
        <v>2488</v>
      </c>
      <c r="C185" s="1" t="str">
        <f>"松阪市嬉野中川町832-1ベルリード嬉野105号"</f>
        <v>松阪市嬉野中川町832-1ベルリード嬉野105号</v>
      </c>
      <c r="D185" s="1" t="str">
        <f>"0598-30-4345  "</f>
        <v xml:space="preserve">0598-30-4345  </v>
      </c>
    </row>
    <row r="186" spans="1:4" x14ac:dyDescent="0.55000000000000004">
      <c r="A186" s="1">
        <v>2460790153</v>
      </c>
      <c r="B186" s="1" t="s">
        <v>2489</v>
      </c>
      <c r="C186" s="1" t="s">
        <v>3176</v>
      </c>
      <c r="D186" s="1" t="str">
        <f>"0598-31-2500  "</f>
        <v xml:space="preserve">0598-31-2500  </v>
      </c>
    </row>
    <row r="187" spans="1:4" x14ac:dyDescent="0.55000000000000004">
      <c r="A187" s="1">
        <v>2460790203</v>
      </c>
      <c r="B187" s="1" t="s">
        <v>2490</v>
      </c>
      <c r="C187" s="1" t="str">
        <f>"松阪市下村町1963-2"</f>
        <v>松阪市下村町1963-2</v>
      </c>
      <c r="D187" s="1" t="str">
        <f>"0598-60-0507  "</f>
        <v xml:space="preserve">0598-60-0507  </v>
      </c>
    </row>
    <row r="188" spans="1:4" x14ac:dyDescent="0.55000000000000004">
      <c r="A188" s="1">
        <v>2460790211</v>
      </c>
      <c r="B188" s="1" t="s">
        <v>2491</v>
      </c>
      <c r="C188" s="1" t="str">
        <f>"松阪市嬉野中川新町4丁目262-6"</f>
        <v>松阪市嬉野中川新町4丁目262-6</v>
      </c>
      <c r="D188" s="1" t="str">
        <f>"0598-31-3388  "</f>
        <v xml:space="preserve">0598-31-3388  </v>
      </c>
    </row>
    <row r="189" spans="1:4" x14ac:dyDescent="0.55000000000000004">
      <c r="A189" s="1">
        <v>2460790229</v>
      </c>
      <c r="B189" s="1" t="s">
        <v>2492</v>
      </c>
      <c r="C189" s="1" t="str">
        <f>"松阪市鎌田町403-9松相ハイツ102号室"</f>
        <v>松阪市鎌田町403-9松相ハイツ102号室</v>
      </c>
      <c r="D189" s="1" t="str">
        <f>"0598-31-3483  "</f>
        <v xml:space="preserve">0598-31-3483  </v>
      </c>
    </row>
    <row r="190" spans="1:4" x14ac:dyDescent="0.55000000000000004">
      <c r="A190" s="1">
        <v>2460790245</v>
      </c>
      <c r="B190" s="1" t="s">
        <v>2493</v>
      </c>
      <c r="C190" s="1" t="str">
        <f>"松阪市市場庄町字長井1114-1"</f>
        <v>松阪市市場庄町字長井1114-1</v>
      </c>
      <c r="D190" s="1" t="str">
        <f>"090-5298-7203 "</f>
        <v xml:space="preserve">090-5298-7203 </v>
      </c>
    </row>
    <row r="191" spans="1:4" x14ac:dyDescent="0.55000000000000004">
      <c r="A191" s="1">
        <v>2460790252</v>
      </c>
      <c r="B191" s="1" t="s">
        <v>2494</v>
      </c>
      <c r="C191" s="1" t="str">
        <f>"松阪市西之庄町51-2"</f>
        <v>松阪市西之庄町51-2</v>
      </c>
      <c r="D191" s="1" t="str">
        <f>"0598-67-8587  "</f>
        <v xml:space="preserve">0598-67-8587  </v>
      </c>
    </row>
    <row r="192" spans="1:4" x14ac:dyDescent="0.55000000000000004">
      <c r="A192" s="1">
        <v>2460790260</v>
      </c>
      <c r="B192" s="1" t="s">
        <v>2495</v>
      </c>
      <c r="C192" s="1" t="str">
        <f>"松阪市伊勢寺町2800-1"</f>
        <v>松阪市伊勢寺町2800-1</v>
      </c>
      <c r="D192" s="1" t="str">
        <f>"0598-67-7596  "</f>
        <v xml:space="preserve">0598-67-7596  </v>
      </c>
    </row>
    <row r="193" spans="1:4" x14ac:dyDescent="0.55000000000000004">
      <c r="A193" s="1">
        <v>2460790278</v>
      </c>
      <c r="B193" s="1" t="s">
        <v>2496</v>
      </c>
      <c r="C193" s="1" t="s">
        <v>2497</v>
      </c>
      <c r="D193" s="1" t="str">
        <f>"0598-30-5070  "</f>
        <v xml:space="preserve">0598-30-5070  </v>
      </c>
    </row>
    <row r="194" spans="1:4" x14ac:dyDescent="0.55000000000000004">
      <c r="A194" s="1">
        <v>2460790286</v>
      </c>
      <c r="B194" s="1" t="s">
        <v>2498</v>
      </c>
      <c r="C194" s="1" t="str">
        <f>"松阪市上川町高田4322-1"</f>
        <v>松阪市上川町高田4322-1</v>
      </c>
      <c r="D194" s="1" t="str">
        <f>"0598-60-2024  "</f>
        <v xml:space="preserve">0598-60-2024  </v>
      </c>
    </row>
    <row r="195" spans="1:4" x14ac:dyDescent="0.55000000000000004">
      <c r="A195" s="1">
        <v>2460790294</v>
      </c>
      <c r="B195" s="1" t="s">
        <v>2499</v>
      </c>
      <c r="C195" s="1" t="s">
        <v>2500</v>
      </c>
      <c r="D195" s="1" t="str">
        <f>"0598-26-5860  "</f>
        <v xml:space="preserve">0598-26-5860  </v>
      </c>
    </row>
    <row r="196" spans="1:4" x14ac:dyDescent="0.55000000000000004">
      <c r="A196" s="1">
        <v>2460790302</v>
      </c>
      <c r="B196" s="1" t="s">
        <v>2501</v>
      </c>
      <c r="C196" s="1" t="str">
        <f>"松阪市高町465-5　高町テナントB棟"</f>
        <v>松阪市高町465-5　高町テナントB棟</v>
      </c>
      <c r="D196" s="1" t="str">
        <f>"0598-31-2761  "</f>
        <v xml:space="preserve">0598-31-2761  </v>
      </c>
    </row>
    <row r="197" spans="1:4" x14ac:dyDescent="0.55000000000000004">
      <c r="A197" s="1">
        <v>2460790344</v>
      </c>
      <c r="B197" s="1" t="s">
        <v>2504</v>
      </c>
      <c r="C197" s="1" t="str">
        <f>"松阪市嬉野須賀領町565－1　2F-B"</f>
        <v>松阪市嬉野須賀領町565－1　2F-B</v>
      </c>
      <c r="D197" s="1" t="str">
        <f>"0598-66-9017  "</f>
        <v xml:space="preserve">0598-66-9017  </v>
      </c>
    </row>
    <row r="198" spans="1:4" x14ac:dyDescent="0.55000000000000004">
      <c r="A198" s="1">
        <v>2460790351</v>
      </c>
      <c r="B198" s="1" t="s">
        <v>2505</v>
      </c>
      <c r="C198" s="1" t="s">
        <v>2506</v>
      </c>
      <c r="D198" s="1" t="str">
        <f>"0598-31-2911  "</f>
        <v xml:space="preserve">0598-31-2911  </v>
      </c>
    </row>
    <row r="199" spans="1:4" x14ac:dyDescent="0.55000000000000004">
      <c r="A199" s="1">
        <v>2460790369</v>
      </c>
      <c r="B199" s="1" t="s">
        <v>2507</v>
      </c>
      <c r="C199" s="1" t="str">
        <f>"松阪市宝塚町720-6"</f>
        <v>松阪市宝塚町720-6</v>
      </c>
      <c r="D199" s="1" t="str">
        <f>"0598-21-3784  "</f>
        <v xml:space="preserve">0598-21-3784  </v>
      </c>
    </row>
    <row r="200" spans="1:4" x14ac:dyDescent="0.55000000000000004">
      <c r="A200" s="1">
        <v>2460790385</v>
      </c>
      <c r="B200" s="1" t="s">
        <v>2508</v>
      </c>
      <c r="C200" s="1" t="str">
        <f>"松阪市内五曲町91-9"</f>
        <v>松阪市内五曲町91-9</v>
      </c>
      <c r="D200" s="1" t="str">
        <f>"0598-20-8800  "</f>
        <v xml:space="preserve">0598-20-8800  </v>
      </c>
    </row>
    <row r="201" spans="1:4" x14ac:dyDescent="0.55000000000000004">
      <c r="A201" s="1">
        <v>2460793009</v>
      </c>
      <c r="B201" s="1" t="s">
        <v>2509</v>
      </c>
      <c r="C201" s="1" t="str">
        <f>"松阪市宝塚町720－6"</f>
        <v>松阪市宝塚町720－6</v>
      </c>
      <c r="D201" s="1" t="str">
        <f>"0598-21-3784  "</f>
        <v xml:space="preserve">0598-21-3784  </v>
      </c>
    </row>
    <row r="202" spans="1:4" x14ac:dyDescent="0.55000000000000004">
      <c r="A202" s="1">
        <v>2462790060</v>
      </c>
      <c r="B202" s="1" t="s">
        <v>2590</v>
      </c>
      <c r="C202" s="1" t="str">
        <f>"多気郡多気町井内林251-4"</f>
        <v>多気郡多気町井内林251-4</v>
      </c>
      <c r="D202" s="1" t="str">
        <f>"0598-38-8686  "</f>
        <v xml:space="preserve">0598-38-8686  </v>
      </c>
    </row>
    <row r="203" spans="1:4" x14ac:dyDescent="0.55000000000000004">
      <c r="A203" s="1">
        <v>2462790136</v>
      </c>
      <c r="B203" s="1" t="s">
        <v>2596</v>
      </c>
      <c r="C203" s="1" t="s">
        <v>3193</v>
      </c>
      <c r="D203" s="1" t="str">
        <f>"0598-67-7038  "</f>
        <v xml:space="preserve">0598-67-7038  </v>
      </c>
    </row>
    <row r="204" spans="1:4" x14ac:dyDescent="0.55000000000000004">
      <c r="A204" s="1">
        <v>2462790045</v>
      </c>
      <c r="B204" s="1" t="s">
        <v>2589</v>
      </c>
      <c r="C204" s="1" t="s">
        <v>3192</v>
      </c>
      <c r="D204" s="1" t="str">
        <f>"0596-53-0007  "</f>
        <v xml:space="preserve">0596-53-0007  </v>
      </c>
    </row>
    <row r="205" spans="1:4" x14ac:dyDescent="0.55000000000000004">
      <c r="A205" s="1">
        <v>2462790078</v>
      </c>
      <c r="B205" s="1" t="s">
        <v>2591</v>
      </c>
      <c r="C205" s="1" t="str">
        <f>"多気郡明和町大淀2230-1"</f>
        <v>多気郡明和町大淀2230-1</v>
      </c>
      <c r="D205" s="1" t="str">
        <f>"0596-55-4668  "</f>
        <v xml:space="preserve">0596-55-4668  </v>
      </c>
    </row>
    <row r="206" spans="1:4" x14ac:dyDescent="0.55000000000000004">
      <c r="A206" s="1">
        <v>2462790086</v>
      </c>
      <c r="B206" s="1" t="s">
        <v>2592</v>
      </c>
      <c r="C206" s="1" t="s">
        <v>2593</v>
      </c>
      <c r="D206" s="1" t="str">
        <f>"0596-53-1500  "</f>
        <v xml:space="preserve">0596-53-1500  </v>
      </c>
    </row>
    <row r="207" spans="1:4" x14ac:dyDescent="0.55000000000000004">
      <c r="A207" s="1">
        <v>2462790094</v>
      </c>
      <c r="B207" s="1" t="s">
        <v>2594</v>
      </c>
      <c r="C207" s="1" t="str">
        <f>"多気郡明和町大字上村字松本101-5"</f>
        <v>多気郡明和町大字上村字松本101-5</v>
      </c>
      <c r="D207" s="1" t="str">
        <f>"0596-64-8800  "</f>
        <v xml:space="preserve">0596-64-8800  </v>
      </c>
    </row>
    <row r="208" spans="1:4" x14ac:dyDescent="0.55000000000000004">
      <c r="A208" s="1">
        <v>2462790128</v>
      </c>
      <c r="B208" s="1" t="s">
        <v>2595</v>
      </c>
      <c r="C208" s="1" t="str">
        <f>"多気郡明和町明星971-1"</f>
        <v>多気郡明和町明星971-1</v>
      </c>
      <c r="D208" s="1" t="str">
        <f>"0596-63-8170  "</f>
        <v xml:space="preserve">0596-63-8170  </v>
      </c>
    </row>
    <row r="209" spans="1:4" x14ac:dyDescent="0.55000000000000004">
      <c r="A209" s="1">
        <v>2462790144</v>
      </c>
      <c r="B209" s="1" t="s">
        <v>2597</v>
      </c>
      <c r="C209" s="1" t="str">
        <f>"多気郡明和町大字明星字大塚591-2"</f>
        <v>多気郡明和町大字明星字大塚591-2</v>
      </c>
      <c r="D209" s="1" t="str">
        <f>"080-8518-8978 "</f>
        <v xml:space="preserve">080-8518-8978 </v>
      </c>
    </row>
    <row r="210" spans="1:4" x14ac:dyDescent="0.55000000000000004">
      <c r="A210" s="1">
        <v>2462790169</v>
      </c>
      <c r="B210" s="1" t="s">
        <v>2598</v>
      </c>
      <c r="C210" s="1" t="str">
        <f>"多気郡明和町斎宮3677-7"</f>
        <v>多気郡明和町斎宮3677-7</v>
      </c>
      <c r="D210" s="1" t="str">
        <f>"0596-63-6375  "</f>
        <v xml:space="preserve">0596-63-6375  </v>
      </c>
    </row>
    <row r="211" spans="1:4" x14ac:dyDescent="0.55000000000000004">
      <c r="A211" s="1">
        <v>2462790011</v>
      </c>
      <c r="B211" s="1" t="s">
        <v>2587</v>
      </c>
      <c r="C211" s="1" t="str">
        <f>"多気郡大台町栃原1242-11"</f>
        <v>多気郡大台町栃原1242-11</v>
      </c>
      <c r="D211" s="1" t="str">
        <f>"0598-85-0433  "</f>
        <v xml:space="preserve">0598-85-0433  </v>
      </c>
    </row>
    <row r="212" spans="1:4" x14ac:dyDescent="0.55000000000000004">
      <c r="A212" s="1">
        <v>2462790029</v>
      </c>
      <c r="B212" s="1" t="s">
        <v>2588</v>
      </c>
      <c r="C212" s="1" t="str">
        <f>"多気郡大台町上三瀬663-2"</f>
        <v>多気郡大台町上三瀬663-2</v>
      </c>
      <c r="D212" s="1" t="str">
        <f>"0598-82-1313  "</f>
        <v xml:space="preserve">0598-82-1313  </v>
      </c>
    </row>
    <row r="213" spans="1:4" x14ac:dyDescent="0.55000000000000004">
      <c r="A213" s="1">
        <v>2460890011</v>
      </c>
      <c r="B213" s="1" t="s">
        <v>2510</v>
      </c>
      <c r="C213" s="1" t="s">
        <v>3177</v>
      </c>
      <c r="D213" s="1" t="str">
        <f>"0596-27-6711  "</f>
        <v xml:space="preserve">0596-27-6711  </v>
      </c>
    </row>
    <row r="214" spans="1:4" x14ac:dyDescent="0.55000000000000004">
      <c r="A214" s="1">
        <v>2460890029</v>
      </c>
      <c r="B214" s="1" t="s">
        <v>2511</v>
      </c>
      <c r="C214" s="1" t="s">
        <v>2512</v>
      </c>
      <c r="D214" s="1" t="str">
        <f>"0596-65-7757  "</f>
        <v xml:space="preserve">0596-65-7757  </v>
      </c>
    </row>
    <row r="215" spans="1:4" x14ac:dyDescent="0.55000000000000004">
      <c r="A215" s="1">
        <v>2460890052</v>
      </c>
      <c r="B215" s="1" t="s">
        <v>2513</v>
      </c>
      <c r="C215" s="1" t="s">
        <v>3178</v>
      </c>
      <c r="D215" s="1" t="str">
        <f>"0596-20-1151  "</f>
        <v xml:space="preserve">0596-20-1151  </v>
      </c>
    </row>
    <row r="216" spans="1:4" x14ac:dyDescent="0.55000000000000004">
      <c r="A216" s="1">
        <v>2460890060</v>
      </c>
      <c r="B216" s="1" t="s">
        <v>2514</v>
      </c>
      <c r="C216" s="1" t="s">
        <v>3179</v>
      </c>
      <c r="D216" s="1" t="str">
        <f>"0596-37-4710  "</f>
        <v xml:space="preserve">0596-37-4710  </v>
      </c>
    </row>
    <row r="217" spans="1:4" x14ac:dyDescent="0.55000000000000004">
      <c r="A217" s="1">
        <v>2460890078</v>
      </c>
      <c r="B217" s="1" t="s">
        <v>2515</v>
      </c>
      <c r="C217" s="1" t="s">
        <v>3180</v>
      </c>
      <c r="D217" s="1" t="str">
        <f>"0596-25-7527  "</f>
        <v xml:space="preserve">0596-25-7527  </v>
      </c>
    </row>
    <row r="218" spans="1:4" x14ac:dyDescent="0.55000000000000004">
      <c r="A218" s="1">
        <v>2460890086</v>
      </c>
      <c r="B218" s="1" t="s">
        <v>2516</v>
      </c>
      <c r="C218" s="1" t="str">
        <f>"伊勢市浦口4丁目2-13"</f>
        <v>伊勢市浦口4丁目2-13</v>
      </c>
      <c r="D218" s="1" t="str">
        <f>"0596-23-2332  "</f>
        <v xml:space="preserve">0596-23-2332  </v>
      </c>
    </row>
    <row r="219" spans="1:4" x14ac:dyDescent="0.55000000000000004">
      <c r="A219" s="1">
        <v>2460890094</v>
      </c>
      <c r="B219" s="1" t="s">
        <v>2517</v>
      </c>
      <c r="C219" s="1" t="str">
        <f>"伊勢市小俣町湯田794-10"</f>
        <v>伊勢市小俣町湯田794-10</v>
      </c>
      <c r="D219" s="1" t="str">
        <f>"0596-21-3312  "</f>
        <v xml:space="preserve">0596-21-3312  </v>
      </c>
    </row>
    <row r="220" spans="1:4" x14ac:dyDescent="0.55000000000000004">
      <c r="A220" s="1">
        <v>2460890102</v>
      </c>
      <c r="B220" s="1" t="s">
        <v>2518</v>
      </c>
      <c r="C220" s="1" t="s">
        <v>3181</v>
      </c>
      <c r="D220" s="1" t="str">
        <f>"0596-27-1165  "</f>
        <v xml:space="preserve">0596-27-1165  </v>
      </c>
    </row>
    <row r="221" spans="1:4" x14ac:dyDescent="0.55000000000000004">
      <c r="A221" s="1">
        <v>2460890110</v>
      </c>
      <c r="B221" s="1" t="s">
        <v>2519</v>
      </c>
      <c r="C221" s="1" t="str">
        <f>"伊勢市勢田町656-134"</f>
        <v>伊勢市勢田町656-134</v>
      </c>
      <c r="D221" s="1" t="str">
        <f>"0596-63-6872  "</f>
        <v xml:space="preserve">0596-63-6872  </v>
      </c>
    </row>
    <row r="222" spans="1:4" x14ac:dyDescent="0.55000000000000004">
      <c r="A222" s="1">
        <v>2460890128</v>
      </c>
      <c r="B222" s="1" t="s">
        <v>2520</v>
      </c>
      <c r="C222" s="1" t="str">
        <f>"伊勢市磯町1835-1"</f>
        <v>伊勢市磯町1835-1</v>
      </c>
      <c r="D222" s="1" t="str">
        <f>"0596-38-2514  "</f>
        <v xml:space="preserve">0596-38-2514  </v>
      </c>
    </row>
    <row r="223" spans="1:4" x14ac:dyDescent="0.55000000000000004">
      <c r="A223" s="1">
        <v>2460890136</v>
      </c>
      <c r="B223" s="1" t="s">
        <v>2521</v>
      </c>
      <c r="C223" s="1" t="str">
        <f>"伊勢市御薗町高向810-1"</f>
        <v>伊勢市御薗町高向810-1</v>
      </c>
      <c r="D223" s="1" t="str">
        <f>"0596-63-5888  "</f>
        <v xml:space="preserve">0596-63-5888  </v>
      </c>
    </row>
    <row r="224" spans="1:4" x14ac:dyDescent="0.55000000000000004">
      <c r="A224" s="1">
        <v>2460890151</v>
      </c>
      <c r="B224" s="1" t="s">
        <v>2522</v>
      </c>
      <c r="C224" s="1" t="str">
        <f>"伊勢市藤里町166-10"</f>
        <v>伊勢市藤里町166-10</v>
      </c>
      <c r="D224" s="1" t="str">
        <f>"0596-21-1196  "</f>
        <v xml:space="preserve">0596-21-1196  </v>
      </c>
    </row>
    <row r="225" spans="1:4" x14ac:dyDescent="0.55000000000000004">
      <c r="A225" s="1">
        <v>2460890169</v>
      </c>
      <c r="B225" s="1" t="s">
        <v>2523</v>
      </c>
      <c r="C225" s="1" t="str">
        <f>"伊勢市御薗町長屋2161-1"</f>
        <v>伊勢市御薗町長屋2161-1</v>
      </c>
      <c r="D225" s="1" t="str">
        <f>"0596-24-8800  "</f>
        <v xml:space="preserve">0596-24-8800  </v>
      </c>
    </row>
    <row r="226" spans="1:4" x14ac:dyDescent="0.55000000000000004">
      <c r="A226" s="1">
        <v>2460890185</v>
      </c>
      <c r="B226" s="1" t="s">
        <v>2524</v>
      </c>
      <c r="C226" s="1" t="str">
        <f>"伊勢市本町16-5"</f>
        <v>伊勢市本町16-5</v>
      </c>
      <c r="D226" s="1" t="str">
        <f>"0596-64-8691  "</f>
        <v xml:space="preserve">0596-64-8691  </v>
      </c>
    </row>
    <row r="227" spans="1:4" x14ac:dyDescent="0.55000000000000004">
      <c r="A227" s="1">
        <v>2460890193</v>
      </c>
      <c r="B227" s="1" t="s">
        <v>2525</v>
      </c>
      <c r="C227" s="1" t="str">
        <f>"伊勢市宮町2丁目4-14（〒517-0213　志摩市磯部町穴川155番地）"</f>
        <v>伊勢市宮町2丁目4-14（〒517-0213　志摩市磯部町穴川155番地）</v>
      </c>
      <c r="D227" s="1" t="str">
        <f>"0596-65-5031  "</f>
        <v xml:space="preserve">0596-65-5031  </v>
      </c>
    </row>
    <row r="228" spans="1:4" x14ac:dyDescent="0.55000000000000004">
      <c r="A228" s="1">
        <v>2460890227</v>
      </c>
      <c r="B228" s="1" t="s">
        <v>2526</v>
      </c>
      <c r="C228" s="1" t="str">
        <f>"伊勢市岡本1丁目19番38号　岡本テナント2F-A"</f>
        <v>伊勢市岡本1丁目19番38号　岡本テナント2F-A</v>
      </c>
      <c r="D228" s="1" t="str">
        <f>"0596-22-7711  "</f>
        <v xml:space="preserve">0596-22-7711  </v>
      </c>
    </row>
    <row r="229" spans="1:4" x14ac:dyDescent="0.55000000000000004">
      <c r="A229" s="1">
        <v>2460890235</v>
      </c>
      <c r="B229" s="1" t="s">
        <v>2527</v>
      </c>
      <c r="C229" s="1" t="str">
        <f>"伊勢市常磐2丁目3-14"</f>
        <v>伊勢市常磐2丁目3-14</v>
      </c>
      <c r="D229" s="1" t="str">
        <f>"0596-20-8181  "</f>
        <v xml:space="preserve">0596-20-8181  </v>
      </c>
    </row>
    <row r="230" spans="1:4" x14ac:dyDescent="0.55000000000000004">
      <c r="A230" s="1">
        <v>2460890243</v>
      </c>
      <c r="B230" s="1" t="s">
        <v>2528</v>
      </c>
      <c r="C230" s="1" t="str">
        <f>"伊勢市桜木町55-1"</f>
        <v>伊勢市桜木町55-1</v>
      </c>
      <c r="D230" s="1" t="str">
        <f>"0596-63-9995  "</f>
        <v xml:space="preserve">0596-63-9995  </v>
      </c>
    </row>
    <row r="231" spans="1:4" x14ac:dyDescent="0.55000000000000004">
      <c r="A231" s="1">
        <v>2460890268</v>
      </c>
      <c r="B231" s="1" t="s">
        <v>2529</v>
      </c>
      <c r="C231" s="1" t="str">
        <f>"伊勢市御薗町王中島738-20　コーポリヨム2B号室"</f>
        <v>伊勢市御薗町王中島738-20　コーポリヨム2B号室</v>
      </c>
      <c r="D231" s="1" t="str">
        <f>"0596-65-7401  "</f>
        <v xml:space="preserve">0596-65-7401  </v>
      </c>
    </row>
    <row r="232" spans="1:4" x14ac:dyDescent="0.55000000000000004">
      <c r="A232" s="1">
        <v>2460890276</v>
      </c>
      <c r="B232" s="1" t="s">
        <v>2530</v>
      </c>
      <c r="C232" s="1" t="s">
        <v>2531</v>
      </c>
      <c r="D232" s="1" t="str">
        <f>"0596-65-6501  "</f>
        <v xml:space="preserve">0596-65-6501  </v>
      </c>
    </row>
    <row r="233" spans="1:4" x14ac:dyDescent="0.55000000000000004">
      <c r="A233" s="1">
        <v>2462890076</v>
      </c>
      <c r="B233" s="1" t="s">
        <v>2601</v>
      </c>
      <c r="C233" s="1" t="str">
        <f>"伊勢市上地町字湯田野南5112-4"</f>
        <v>伊勢市上地町字湯田野南5112-4</v>
      </c>
      <c r="D233" s="1" t="str">
        <f>"0596-20-6336  "</f>
        <v xml:space="preserve">0596-20-6336  </v>
      </c>
    </row>
    <row r="234" spans="1:4" x14ac:dyDescent="0.55000000000000004">
      <c r="A234" s="1">
        <v>2462890043</v>
      </c>
      <c r="B234" s="1" t="s">
        <v>2600</v>
      </c>
      <c r="C234" s="1" t="s">
        <v>3194</v>
      </c>
      <c r="D234" s="1" t="str">
        <f>"0596-58-8117  "</f>
        <v xml:space="preserve">0596-58-8117  </v>
      </c>
    </row>
    <row r="235" spans="1:4" x14ac:dyDescent="0.55000000000000004">
      <c r="A235" s="1">
        <v>2462890159</v>
      </c>
      <c r="B235" s="1" t="s">
        <v>2605</v>
      </c>
      <c r="C235" s="1" t="s">
        <v>2606</v>
      </c>
      <c r="D235" s="1" t="str">
        <f>"0596-59-7700  "</f>
        <v xml:space="preserve">0596-59-7700  </v>
      </c>
    </row>
    <row r="236" spans="1:4" x14ac:dyDescent="0.55000000000000004">
      <c r="A236" s="1">
        <v>2462890126</v>
      </c>
      <c r="B236" s="1" t="s">
        <v>2604</v>
      </c>
      <c r="C236" s="1" t="s">
        <v>3195</v>
      </c>
      <c r="D236" s="1" t="str">
        <f>"0598-89-4185  "</f>
        <v xml:space="preserve">0598-89-4185  </v>
      </c>
    </row>
    <row r="237" spans="1:4" x14ac:dyDescent="0.55000000000000004">
      <c r="A237" s="1">
        <v>2462890035</v>
      </c>
      <c r="B237" s="1" t="s">
        <v>2599</v>
      </c>
      <c r="C237" s="1" t="s">
        <v>1093</v>
      </c>
      <c r="D237" s="1" t="str">
        <f>"0596-72-0001  "</f>
        <v xml:space="preserve">0596-72-0001  </v>
      </c>
    </row>
    <row r="238" spans="1:4" x14ac:dyDescent="0.55000000000000004">
      <c r="A238" s="1">
        <v>2462890092</v>
      </c>
      <c r="B238" s="1" t="s">
        <v>2602</v>
      </c>
      <c r="C238" s="1" t="str">
        <f>"度会郡南伊勢町斉田316-45"</f>
        <v>度会郡南伊勢町斉田316-45</v>
      </c>
      <c r="D238" s="1" t="str">
        <f>"0599-65-0061  "</f>
        <v xml:space="preserve">0599-65-0061  </v>
      </c>
    </row>
    <row r="239" spans="1:4" x14ac:dyDescent="0.55000000000000004">
      <c r="A239" s="1">
        <v>2462890100</v>
      </c>
      <c r="B239" s="1" t="s">
        <v>2603</v>
      </c>
      <c r="C239" s="1" t="s">
        <v>2945</v>
      </c>
      <c r="D239" s="1" t="str">
        <f>"0599-66-2900  "</f>
        <v xml:space="preserve">0599-66-2900  </v>
      </c>
    </row>
    <row r="240" spans="1:4" x14ac:dyDescent="0.55000000000000004">
      <c r="A240" s="1">
        <v>2462890167</v>
      </c>
      <c r="B240" s="1" t="s">
        <v>2530</v>
      </c>
      <c r="C240" s="1" t="str">
        <f>"度会郡南伊勢町泉309-1"</f>
        <v>度会郡南伊勢町泉309-1</v>
      </c>
      <c r="D240" s="1" t="str">
        <f>"0599-66-0970  "</f>
        <v xml:space="preserve">0599-66-0970  </v>
      </c>
    </row>
    <row r="241" spans="1:4" x14ac:dyDescent="0.55000000000000004">
      <c r="A241" s="1">
        <v>2462890175</v>
      </c>
      <c r="B241" s="1" t="s">
        <v>2607</v>
      </c>
      <c r="C241" s="1" t="str">
        <f>"度会郡南伊勢町五ヶ所浦3799－1"</f>
        <v>度会郡南伊勢町五ヶ所浦3799－1</v>
      </c>
      <c r="D241" s="1" t="str">
        <f>"0599-77-6059  "</f>
        <v xml:space="preserve">0599-77-6059  </v>
      </c>
    </row>
    <row r="242" spans="1:4" x14ac:dyDescent="0.55000000000000004">
      <c r="A242" s="1">
        <v>2460490119</v>
      </c>
      <c r="B242" s="1" t="s">
        <v>2424</v>
      </c>
      <c r="C242" s="1" t="str">
        <f>"鳥羽市松尾町321-1"</f>
        <v>鳥羽市松尾町321-1</v>
      </c>
      <c r="D242" s="1" t="str">
        <f>"0599-37-7191  "</f>
        <v xml:space="preserve">0599-37-7191  </v>
      </c>
    </row>
    <row r="243" spans="1:4" x14ac:dyDescent="0.55000000000000004">
      <c r="A243" s="1">
        <v>2462990025</v>
      </c>
      <c r="B243" s="1" t="s">
        <v>2608</v>
      </c>
      <c r="C243" s="1" t="str">
        <f>"志摩市阿児町鵜方3098-1"</f>
        <v>志摩市阿児町鵜方3098-1</v>
      </c>
      <c r="D243" s="1" t="str">
        <f>"0599-44-1101  "</f>
        <v xml:space="preserve">0599-44-1101  </v>
      </c>
    </row>
    <row r="244" spans="1:4" x14ac:dyDescent="0.55000000000000004">
      <c r="A244" s="1">
        <v>2462990066</v>
      </c>
      <c r="B244" s="1" t="s">
        <v>2609</v>
      </c>
      <c r="C244" s="1" t="s">
        <v>3196</v>
      </c>
      <c r="D244" s="1" t="str">
        <f>"0599-44-6512  "</f>
        <v xml:space="preserve">0599-44-6512  </v>
      </c>
    </row>
    <row r="245" spans="1:4" x14ac:dyDescent="0.55000000000000004">
      <c r="A245" s="1">
        <v>2462990082</v>
      </c>
      <c r="B245" s="1" t="s">
        <v>2610</v>
      </c>
      <c r="C245" s="1" t="s">
        <v>2611</v>
      </c>
      <c r="D245" s="1" t="str">
        <f>"0599-72-5755  "</f>
        <v xml:space="preserve">0599-72-5755  </v>
      </c>
    </row>
    <row r="246" spans="1:4" x14ac:dyDescent="0.55000000000000004">
      <c r="A246" s="1">
        <v>2462990090</v>
      </c>
      <c r="B246" s="1" t="s">
        <v>2612</v>
      </c>
      <c r="C246" s="1" t="s">
        <v>2613</v>
      </c>
      <c r="D246" s="1" t="str">
        <f>"0599-77-6071  "</f>
        <v xml:space="preserve">0599-77-6071  </v>
      </c>
    </row>
    <row r="247" spans="1:4" x14ac:dyDescent="0.55000000000000004">
      <c r="A247" s="1">
        <v>2462990116</v>
      </c>
      <c r="B247" s="1" t="s">
        <v>2614</v>
      </c>
      <c r="C247" s="1" t="str">
        <f>"志摩市阿児町鵜方2850-126　赤松ヶ谷テナントC号室"</f>
        <v>志摩市阿児町鵜方2850-126　赤松ヶ谷テナントC号室</v>
      </c>
      <c r="D247" s="1" t="str">
        <f>"0599-52-0035  "</f>
        <v xml:space="preserve">0599-52-0035  </v>
      </c>
    </row>
    <row r="248" spans="1:4" x14ac:dyDescent="0.55000000000000004">
      <c r="A248" s="1">
        <v>2462990124</v>
      </c>
      <c r="B248" s="1" t="s">
        <v>2615</v>
      </c>
      <c r="C248" s="1" t="s">
        <v>2616</v>
      </c>
      <c r="D248" s="1" t="str">
        <f>"0599-47-0294  "</f>
        <v xml:space="preserve">0599-47-0294  </v>
      </c>
    </row>
    <row r="249" spans="1:4" x14ac:dyDescent="0.55000000000000004">
      <c r="A249" s="1">
        <v>2461090017</v>
      </c>
      <c r="B249" s="1" t="s">
        <v>2532</v>
      </c>
      <c r="C249" s="1" t="s">
        <v>2533</v>
      </c>
      <c r="D249" s="1" t="str">
        <f>"0597-23-1434  "</f>
        <v xml:space="preserve">0597-23-1434  </v>
      </c>
    </row>
    <row r="250" spans="1:4" x14ac:dyDescent="0.55000000000000004">
      <c r="A250" s="1">
        <v>2461090025</v>
      </c>
      <c r="B250" s="1" t="s">
        <v>2534</v>
      </c>
      <c r="C250" s="1" t="s">
        <v>3182</v>
      </c>
      <c r="D250" s="1" t="str">
        <f>"0597-37-4165  "</f>
        <v xml:space="preserve">0597-37-4165  </v>
      </c>
    </row>
    <row r="251" spans="1:4" x14ac:dyDescent="0.55000000000000004">
      <c r="A251" s="1">
        <v>2461090033</v>
      </c>
      <c r="B251" s="1" t="s">
        <v>2535</v>
      </c>
      <c r="C251" s="1" t="str">
        <f>"尾鷲市大曽根浦142-35"</f>
        <v>尾鷲市大曽根浦142-35</v>
      </c>
      <c r="D251" s="1" t="str">
        <f>"0597-37-4345  "</f>
        <v xml:space="preserve">0597-37-4345  </v>
      </c>
    </row>
    <row r="252" spans="1:4" x14ac:dyDescent="0.55000000000000004">
      <c r="A252" s="1">
        <v>2463090023</v>
      </c>
      <c r="B252" s="1" t="s">
        <v>2617</v>
      </c>
      <c r="C252" s="1" t="s">
        <v>2618</v>
      </c>
      <c r="D252" s="1" t="str">
        <f>"0597-31-4167  "</f>
        <v xml:space="preserve">0597-31-4167  </v>
      </c>
    </row>
    <row r="253" spans="1:4" x14ac:dyDescent="0.55000000000000004">
      <c r="A253" s="1">
        <v>2463090031</v>
      </c>
      <c r="B253" s="1" t="s">
        <v>2619</v>
      </c>
      <c r="C253" s="1" t="str">
        <f>"北牟婁郡紀北町上里945-4"</f>
        <v>北牟婁郡紀北町上里945-4</v>
      </c>
      <c r="D253" s="1" t="str">
        <f>"0597-31-0623  "</f>
        <v xml:space="preserve">0597-31-0623  </v>
      </c>
    </row>
    <row r="254" spans="1:4" x14ac:dyDescent="0.55000000000000004">
      <c r="A254" s="1">
        <v>2461190015</v>
      </c>
      <c r="B254" s="1" t="s">
        <v>2536</v>
      </c>
      <c r="C254" s="1" t="s">
        <v>2537</v>
      </c>
      <c r="D254" s="1" t="str">
        <f>"0597-89-6010  "</f>
        <v xml:space="preserve">0597-89-6010  </v>
      </c>
    </row>
    <row r="255" spans="1:4" x14ac:dyDescent="0.55000000000000004">
      <c r="A255" s="1">
        <v>2461190023</v>
      </c>
      <c r="B255" s="1" t="s">
        <v>2538</v>
      </c>
      <c r="C255" s="1" t="s">
        <v>2539</v>
      </c>
      <c r="D255" s="1" t="str">
        <f>"0597-84-0090  "</f>
        <v xml:space="preserve">0597-84-0090  </v>
      </c>
    </row>
    <row r="256" spans="1:4" x14ac:dyDescent="0.55000000000000004">
      <c r="A256" s="1">
        <v>2463190013</v>
      </c>
      <c r="B256" s="1" t="s">
        <v>2620</v>
      </c>
      <c r="C256" s="1" t="str">
        <f>"南牟婁郡御浜町志原1819-33"</f>
        <v>南牟婁郡御浜町志原1819-33</v>
      </c>
      <c r="D256" s="1" t="str">
        <f>"05979-3-0137  "</f>
        <v xml:space="preserve">05979-3-0137  </v>
      </c>
    </row>
    <row r="257" spans="1:4" x14ac:dyDescent="0.55000000000000004">
      <c r="A257" s="1">
        <v>2463190062</v>
      </c>
      <c r="B257" s="1" t="s">
        <v>2623</v>
      </c>
      <c r="C257" s="1" t="s">
        <v>1153</v>
      </c>
      <c r="D257" s="1" t="str">
        <f>"05979-2-4165  "</f>
        <v xml:space="preserve">05979-2-4165  </v>
      </c>
    </row>
    <row r="258" spans="1:4" x14ac:dyDescent="0.55000000000000004">
      <c r="A258" s="1">
        <v>2463190039</v>
      </c>
      <c r="B258" s="1" t="s">
        <v>2621</v>
      </c>
      <c r="C258" s="1" t="s">
        <v>3197</v>
      </c>
      <c r="D258" s="1" t="str">
        <f>"05979-3-1677  "</f>
        <v xml:space="preserve">05979-3-1677  </v>
      </c>
    </row>
    <row r="259" spans="1:4" x14ac:dyDescent="0.55000000000000004">
      <c r="A259" s="1">
        <v>2463190054</v>
      </c>
      <c r="B259" s="1" t="s">
        <v>2622</v>
      </c>
      <c r="C259" s="1" t="str">
        <f>"南牟婁郡紀宝町井田1290-9"</f>
        <v>南牟婁郡紀宝町井田1290-9</v>
      </c>
      <c r="D259" s="1" t="str">
        <f>"0735-32-4755  "</f>
        <v xml:space="preserve">0735-32-4755  </v>
      </c>
    </row>
    <row r="260" spans="1:4" x14ac:dyDescent="0.55000000000000004">
      <c r="A260" s="1">
        <v>2463190070</v>
      </c>
      <c r="B260" s="1" t="s">
        <v>2624</v>
      </c>
      <c r="C260" s="1" t="s">
        <v>2625</v>
      </c>
      <c r="D260" s="1" t="str">
        <f>"0735-29-1136  "</f>
        <v xml:space="preserve">0735-29-1136  </v>
      </c>
    </row>
  </sheetData>
  <autoFilter ref="A2:D2" xr:uid="{A955C93B-452B-4F3B-8D30-AD892C8D5E10}"/>
  <phoneticPr fontId="18"/>
  <pageMargins left="0.7" right="0.7" top="0.75" bottom="0.75" header="0.3" footer="0.3"/>
  <pageSetup paperSize="8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病院・診療所</vt:lpstr>
      <vt:lpstr>薬局</vt:lpstr>
      <vt:lpstr>訪問看護ステーション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池村玲香</dc:creator>
  <cp:lastModifiedBy>池村 玲香</cp:lastModifiedBy>
  <cp:lastPrinted>2025-10-08T08:02:31Z</cp:lastPrinted>
  <dcterms:created xsi:type="dcterms:W3CDTF">2025-10-08T07:18:18Z</dcterms:created>
  <dcterms:modified xsi:type="dcterms:W3CDTF">2025-10-08T08:03:07Z</dcterms:modified>
</cp:coreProperties>
</file>