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DX推進G\C04-3データ棚卸\5050511_棚卸データ収集\各課提出データ\集計表へ反映済（提供データ）\318-319_保険年金課\"/>
    </mc:Choice>
  </mc:AlternateContent>
  <xr:revisionPtr revIDLastSave="0" documentId="13_ncr:1_{C49B18E9-4376-42E4-A4CA-C405A865FFFC}" xr6:coauthVersionLast="47" xr6:coauthVersionMax="47" xr10:uidLastSave="{00000000-0000-0000-0000-000000000000}"/>
  <bookViews>
    <workbookView xWindow="1130" yWindow="640" windowWidth="17510" windowHeight="9970" tabRatio="706" firstSheet="27" activeTab="34" xr2:uid="{00000000-000D-0000-FFFF-FFFF00000000}"/>
  </bookViews>
  <sheets>
    <sheet name="平成4年度" sheetId="1" r:id="rId1"/>
    <sheet name="平成5年度" sheetId="2" r:id="rId2"/>
    <sheet name="平成6年度" sheetId="3" r:id="rId3"/>
    <sheet name="平成7年度" sheetId="4" r:id="rId4"/>
    <sheet name="平成８年度" sheetId="5" r:id="rId5"/>
    <sheet name="平成９年度" sheetId="6" r:id="rId6"/>
    <sheet name="平成10年度" sheetId="7" r:id="rId7"/>
    <sheet name="平成11年度" sheetId="8" r:id="rId8"/>
    <sheet name="平成12年度" sheetId="9" r:id="rId9"/>
    <sheet name="平成13年度" sheetId="10" r:id="rId10"/>
    <sheet name="平成14年度" sheetId="11" r:id="rId11"/>
    <sheet name="平成15年度" sheetId="12" r:id="rId12"/>
    <sheet name="平成16年度" sheetId="18" r:id="rId13"/>
    <sheet name="平成17年度" sheetId="20" r:id="rId14"/>
    <sheet name="介護２号見込" sheetId="13" r:id="rId15"/>
    <sheet name="Ｎ" sheetId="14" r:id="rId16"/>
    <sheet name="平成18年度" sheetId="23" r:id="rId17"/>
    <sheet name="平成19年度" sheetId="24" r:id="rId18"/>
    <sheet name="×20年度" sheetId="34" r:id="rId19"/>
    <sheet name="平成20年度" sheetId="27" r:id="rId20"/>
    <sheet name="平成21年度" sheetId="29" r:id="rId21"/>
    <sheet name="平成22年度" sheetId="30" r:id="rId22"/>
    <sheet name="平成23年度" sheetId="31" r:id="rId23"/>
    <sheet name="平成24年度" sheetId="32" r:id="rId24"/>
    <sheet name="平成25年度" sheetId="33" r:id="rId25"/>
    <sheet name="平成26年度" sheetId="35" r:id="rId26"/>
    <sheet name="平成27年度" sheetId="36" r:id="rId27"/>
    <sheet name="平成28年度" sheetId="37" r:id="rId28"/>
    <sheet name="平成29年度" sheetId="38" r:id="rId29"/>
    <sheet name="平成30年度" sheetId="39" r:id="rId30"/>
    <sheet name="平成31年度" sheetId="40" r:id="rId31"/>
    <sheet name="令和２年度" sheetId="41" r:id="rId32"/>
    <sheet name="令和３年度" sheetId="42" r:id="rId33"/>
    <sheet name="令和４年度" sheetId="43" r:id="rId34"/>
    <sheet name="令和５年度" sheetId="44" r:id="rId35"/>
  </sheets>
  <definedNames>
    <definedName name="_xlnm.Print_Area" localSheetId="18">×20年度!$B$1:$V$38</definedName>
    <definedName name="_xlnm.Print_Area" localSheetId="11">平成15年度!$B$1:$V$38</definedName>
    <definedName name="_xlnm.Print_Area" localSheetId="12">平成16年度!$B$3:$V$38</definedName>
    <definedName name="_xlnm.Print_Area" localSheetId="13">平成17年度!$B$1:$V$38</definedName>
    <definedName name="_xlnm.Print_Area" localSheetId="16">平成18年度!$B$1:$V$38</definedName>
    <definedName name="_xlnm.Print_Area" localSheetId="17">平成19年度!$B$1:$V$38</definedName>
    <definedName name="_xlnm.Print_Area" localSheetId="19">平成20年度!$B$1:$V$39</definedName>
    <definedName name="_xlnm.Print_Area" localSheetId="20">平成21年度!$B$1:$V$38</definedName>
    <definedName name="_xlnm.Print_Area" localSheetId="21">平成22年度!$B$1:$V$38</definedName>
    <definedName name="_xlnm.Print_Area" localSheetId="22">平成23年度!$B$1:$V$38</definedName>
    <definedName name="_xlnm.Print_Area" localSheetId="23">平成24年度!$B$1:$V$38</definedName>
    <definedName name="_xlnm.Print_Area" localSheetId="24">平成25年度!$B$1:$V$38</definedName>
    <definedName name="_xlnm.Print_Area" localSheetId="25">平成26年度!$B$1:$V$38</definedName>
    <definedName name="_xlnm.Print_Area" localSheetId="26">平成27年度!$B$1:$V$38</definedName>
    <definedName name="_xlnm.Print_Area" localSheetId="27">平成28年度!$B$1:$V$38</definedName>
    <definedName name="_xlnm.Print_Area" localSheetId="28">平成29年度!$B$1:$V$38</definedName>
    <definedName name="_xlnm.Print_Area" localSheetId="29">平成30年度!$B$1:$V$38</definedName>
    <definedName name="_xlnm.Print_Area" localSheetId="30">平成31年度!$B$1:$V$38</definedName>
    <definedName name="_xlnm.Print_Area" localSheetId="0">平成15年度!$B$1:$V$39</definedName>
    <definedName name="_xlnm.Print_Area" localSheetId="31">令和２年度!$B$1:$V$38</definedName>
    <definedName name="_xlnm.Print_Area" localSheetId="32">令和３年度!$B$1:$V$38</definedName>
    <definedName name="_xlnm.Print_Area" localSheetId="33">令和４年度!$B$1:$V$38</definedName>
    <definedName name="_xlnm.Print_Area" localSheetId="34">令和５年度!$B$1:$V$38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4" l="1"/>
  <c r="R2" i="44"/>
  <c r="Q2" i="44"/>
  <c r="O2" i="44"/>
  <c r="N2" i="44"/>
  <c r="M2" i="44"/>
  <c r="K2" i="44"/>
  <c r="I2" i="44"/>
  <c r="G2" i="44"/>
  <c r="F2" i="44"/>
  <c r="C2" i="44"/>
  <c r="S36" i="44"/>
  <c r="R36" i="44"/>
  <c r="Q36" i="44"/>
  <c r="O36" i="44"/>
  <c r="M36" i="44"/>
  <c r="N36" i="44" s="1"/>
  <c r="K36" i="44"/>
  <c r="I36" i="44"/>
  <c r="H36" i="44" s="1"/>
  <c r="G36" i="44"/>
  <c r="F36" i="44"/>
  <c r="C36" i="44"/>
  <c r="S35" i="44"/>
  <c r="R35" i="44"/>
  <c r="Q35" i="44"/>
  <c r="O35" i="44"/>
  <c r="N35" i="44"/>
  <c r="M35" i="44"/>
  <c r="K35" i="44"/>
  <c r="I35" i="44"/>
  <c r="G35" i="44"/>
  <c r="F35" i="44"/>
  <c r="C35" i="44"/>
  <c r="S34" i="44"/>
  <c r="R34" i="44"/>
  <c r="Q34" i="44"/>
  <c r="O34" i="44"/>
  <c r="N34" i="44"/>
  <c r="M34" i="44"/>
  <c r="K34" i="44"/>
  <c r="I34" i="44"/>
  <c r="G34" i="44"/>
  <c r="F34" i="44"/>
  <c r="C34" i="44"/>
  <c r="S33" i="44"/>
  <c r="R33" i="44"/>
  <c r="Q33" i="44"/>
  <c r="O33" i="44"/>
  <c r="N33" i="44"/>
  <c r="M33" i="44"/>
  <c r="K33" i="44"/>
  <c r="I33" i="44"/>
  <c r="G33" i="44"/>
  <c r="F33" i="44"/>
  <c r="C33" i="44"/>
  <c r="T33" i="44" s="1"/>
  <c r="S32" i="44"/>
  <c r="R32" i="44"/>
  <c r="Q32" i="44"/>
  <c r="O32" i="44"/>
  <c r="N32" i="44"/>
  <c r="M32" i="44"/>
  <c r="K32" i="44"/>
  <c r="I32" i="44"/>
  <c r="G32" i="44"/>
  <c r="F32" i="44"/>
  <c r="C32" i="44"/>
  <c r="S31" i="44"/>
  <c r="S37" i="44" s="1"/>
  <c r="S38" i="44" s="1"/>
  <c r="R31" i="44"/>
  <c r="Q31" i="44"/>
  <c r="O31" i="44"/>
  <c r="N31" i="44"/>
  <c r="N37" i="44" s="1"/>
  <c r="N38" i="44" s="1"/>
  <c r="M31" i="44"/>
  <c r="K31" i="44"/>
  <c r="K37" i="44" s="1"/>
  <c r="K38" i="44" s="1"/>
  <c r="I31" i="44"/>
  <c r="G31" i="44"/>
  <c r="G37" i="44" s="1"/>
  <c r="G38" i="44" s="1"/>
  <c r="F31" i="44"/>
  <c r="C31" i="44"/>
  <c r="C37" i="44" s="1"/>
  <c r="S30" i="44"/>
  <c r="R30" i="44"/>
  <c r="Q30" i="44"/>
  <c r="O30" i="44"/>
  <c r="N30" i="44"/>
  <c r="M30" i="44"/>
  <c r="K30" i="44"/>
  <c r="I30" i="44"/>
  <c r="G30" i="44"/>
  <c r="F30" i="44"/>
  <c r="C30" i="44"/>
  <c r="S29" i="44"/>
  <c r="R29" i="44"/>
  <c r="Q29" i="44"/>
  <c r="O29" i="44"/>
  <c r="N29" i="44"/>
  <c r="M29" i="44"/>
  <c r="K29" i="44"/>
  <c r="I29" i="44"/>
  <c r="G29" i="44"/>
  <c r="F29" i="44"/>
  <c r="C29" i="44"/>
  <c r="T29" i="44" s="1"/>
  <c r="S28" i="44"/>
  <c r="R28" i="44"/>
  <c r="Q28" i="44"/>
  <c r="O28" i="44"/>
  <c r="N28" i="44"/>
  <c r="M28" i="44"/>
  <c r="K28" i="44"/>
  <c r="I28" i="44"/>
  <c r="G28" i="44"/>
  <c r="F28" i="44"/>
  <c r="C28" i="44"/>
  <c r="S27" i="44"/>
  <c r="R27" i="44"/>
  <c r="Q27" i="44"/>
  <c r="O27" i="44"/>
  <c r="N27" i="44"/>
  <c r="M27" i="44"/>
  <c r="K27" i="44"/>
  <c r="I27" i="44"/>
  <c r="G27" i="44"/>
  <c r="F27" i="44"/>
  <c r="C27" i="44"/>
  <c r="S26" i="44"/>
  <c r="R26" i="44"/>
  <c r="Q26" i="44"/>
  <c r="O26" i="44"/>
  <c r="N26" i="44"/>
  <c r="M26" i="44"/>
  <c r="K26" i="44"/>
  <c r="I26" i="44"/>
  <c r="G26" i="44"/>
  <c r="F26" i="44"/>
  <c r="C26" i="44"/>
  <c r="S25" i="44"/>
  <c r="R25" i="44"/>
  <c r="Q25" i="44"/>
  <c r="O25" i="44"/>
  <c r="N25" i="44"/>
  <c r="M25" i="44"/>
  <c r="K25" i="44"/>
  <c r="I25" i="44"/>
  <c r="G25" i="44"/>
  <c r="F25" i="44"/>
  <c r="C25" i="44"/>
  <c r="T25" i="44" s="1"/>
  <c r="S24" i="44"/>
  <c r="R24" i="44"/>
  <c r="Q24" i="44"/>
  <c r="O24" i="44"/>
  <c r="N24" i="44"/>
  <c r="M24" i="44"/>
  <c r="K24" i="44"/>
  <c r="I24" i="44"/>
  <c r="G24" i="44"/>
  <c r="F24" i="44"/>
  <c r="C24" i="44"/>
  <c r="S23" i="44"/>
  <c r="R23" i="44"/>
  <c r="Q23" i="44"/>
  <c r="O23" i="44"/>
  <c r="N23" i="44"/>
  <c r="M23" i="44"/>
  <c r="K23" i="44"/>
  <c r="I23" i="44"/>
  <c r="G23" i="44"/>
  <c r="F23" i="44"/>
  <c r="C23" i="44"/>
  <c r="S21" i="44"/>
  <c r="R21" i="44"/>
  <c r="Q21" i="44"/>
  <c r="O21" i="44"/>
  <c r="N21" i="44"/>
  <c r="M21" i="44"/>
  <c r="K21" i="44"/>
  <c r="I21" i="44"/>
  <c r="G21" i="44"/>
  <c r="F21" i="44"/>
  <c r="C21" i="44"/>
  <c r="S20" i="44"/>
  <c r="R20" i="44"/>
  <c r="Q20" i="44"/>
  <c r="O20" i="44"/>
  <c r="N20" i="44"/>
  <c r="M20" i="44"/>
  <c r="K20" i="44"/>
  <c r="I20" i="44"/>
  <c r="G20" i="44"/>
  <c r="F20" i="44"/>
  <c r="C20" i="44"/>
  <c r="T20" i="44" s="1"/>
  <c r="T19" i="44"/>
  <c r="P19" i="44"/>
  <c r="L19" i="44"/>
  <c r="H19" i="44" s="1"/>
  <c r="U19" i="44" s="1"/>
  <c r="J19" i="44"/>
  <c r="E19" i="44"/>
  <c r="D19" i="44"/>
  <c r="T18" i="44"/>
  <c r="P18" i="44"/>
  <c r="L18" i="44"/>
  <c r="H18" i="44" s="1"/>
  <c r="U18" i="44" s="1"/>
  <c r="J18" i="44"/>
  <c r="E18" i="44"/>
  <c r="D18" i="44"/>
  <c r="T17" i="44"/>
  <c r="P17" i="44"/>
  <c r="L17" i="44"/>
  <c r="H17" i="44" s="1"/>
  <c r="U17" i="44" s="1"/>
  <c r="J17" i="44"/>
  <c r="E17" i="44"/>
  <c r="D17" i="44" s="1"/>
  <c r="T16" i="44"/>
  <c r="P16" i="44"/>
  <c r="L16" i="44"/>
  <c r="H16" i="44" s="1"/>
  <c r="U16" i="44" s="1"/>
  <c r="J16" i="44"/>
  <c r="E16" i="44"/>
  <c r="D16" i="44" s="1"/>
  <c r="T15" i="44"/>
  <c r="P15" i="44"/>
  <c r="L15" i="44"/>
  <c r="H15" i="44" s="1"/>
  <c r="U15" i="44" s="1"/>
  <c r="J15" i="44"/>
  <c r="E15" i="44"/>
  <c r="D15" i="44" s="1"/>
  <c r="T14" i="44"/>
  <c r="P14" i="44"/>
  <c r="L14" i="44"/>
  <c r="H14" i="44" s="1"/>
  <c r="U14" i="44" s="1"/>
  <c r="J14" i="44"/>
  <c r="E14" i="44"/>
  <c r="D14" i="44"/>
  <c r="T13" i="44"/>
  <c r="P13" i="44"/>
  <c r="L13" i="44"/>
  <c r="H13" i="44" s="1"/>
  <c r="U13" i="44" s="1"/>
  <c r="J13" i="44"/>
  <c r="E13" i="44"/>
  <c r="D13" i="44" s="1"/>
  <c r="T12" i="44"/>
  <c r="P12" i="44"/>
  <c r="L12" i="44"/>
  <c r="J12" i="44"/>
  <c r="H12" i="44"/>
  <c r="U12" i="44" s="1"/>
  <c r="E12" i="44"/>
  <c r="D12" i="44" s="1"/>
  <c r="T11" i="44"/>
  <c r="P11" i="44"/>
  <c r="L11" i="44"/>
  <c r="H11" i="44" s="1"/>
  <c r="U11" i="44" s="1"/>
  <c r="J11" i="44"/>
  <c r="E11" i="44"/>
  <c r="D11" i="44" s="1"/>
  <c r="T10" i="44"/>
  <c r="P10" i="44"/>
  <c r="L10" i="44"/>
  <c r="H10" i="44" s="1"/>
  <c r="U10" i="44" s="1"/>
  <c r="J10" i="44"/>
  <c r="E10" i="44"/>
  <c r="D10" i="44" s="1"/>
  <c r="T9" i="44"/>
  <c r="P9" i="44"/>
  <c r="L9" i="44"/>
  <c r="J9" i="44"/>
  <c r="H9" i="44"/>
  <c r="U9" i="44" s="1"/>
  <c r="E9" i="44"/>
  <c r="D9" i="44" s="1"/>
  <c r="T8" i="44"/>
  <c r="P8" i="44"/>
  <c r="L8" i="44"/>
  <c r="H8" i="44" s="1"/>
  <c r="J8" i="44"/>
  <c r="J25" i="44" s="1"/>
  <c r="E8" i="44"/>
  <c r="D8" i="44" s="1"/>
  <c r="O37" i="44"/>
  <c r="O38" i="44" s="1"/>
  <c r="F37" i="44"/>
  <c r="F38" i="44" s="1"/>
  <c r="Q37" i="44" l="1"/>
  <c r="Q38" i="44" s="1"/>
  <c r="R37" i="44"/>
  <c r="R38" i="44" s="1"/>
  <c r="T21" i="44"/>
  <c r="T26" i="44"/>
  <c r="T30" i="44"/>
  <c r="T34" i="44"/>
  <c r="M37" i="44"/>
  <c r="M38" i="44" s="1"/>
  <c r="V12" i="44"/>
  <c r="V16" i="44"/>
  <c r="J29" i="44"/>
  <c r="V13" i="44"/>
  <c r="I37" i="44"/>
  <c r="I38" i="44" s="1"/>
  <c r="V9" i="44"/>
  <c r="V17" i="44"/>
  <c r="V14" i="44"/>
  <c r="V18" i="44"/>
  <c r="E20" i="44"/>
  <c r="E21" i="44" s="1"/>
  <c r="T37" i="44"/>
  <c r="C38" i="44"/>
  <c r="H20" i="44"/>
  <c r="H35" i="44"/>
  <c r="U35" i="44" s="1"/>
  <c r="H34" i="44"/>
  <c r="U34" i="44" s="1"/>
  <c r="H33" i="44"/>
  <c r="U33" i="44" s="1"/>
  <c r="H32" i="44"/>
  <c r="U32" i="44" s="1"/>
  <c r="H31" i="44"/>
  <c r="U31" i="44" s="1"/>
  <c r="H30" i="44"/>
  <c r="U30" i="44" s="1"/>
  <c r="H29" i="44"/>
  <c r="U29" i="44" s="1"/>
  <c r="H28" i="44"/>
  <c r="U28" i="44" s="1"/>
  <c r="H27" i="44"/>
  <c r="U27" i="44" s="1"/>
  <c r="H26" i="44"/>
  <c r="U26" i="44" s="1"/>
  <c r="H25" i="44"/>
  <c r="U25" i="44" s="1"/>
  <c r="H24" i="44"/>
  <c r="U24" i="44" s="1"/>
  <c r="H23" i="44"/>
  <c r="U23" i="44" s="1"/>
  <c r="J33" i="44"/>
  <c r="J20" i="44"/>
  <c r="J21" i="44" s="1"/>
  <c r="U8" i="44"/>
  <c r="V11" i="44"/>
  <c r="J26" i="44"/>
  <c r="J30" i="44"/>
  <c r="J34" i="44"/>
  <c r="V10" i="44"/>
  <c r="D20" i="44"/>
  <c r="D21" i="44" s="1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L20" i="44"/>
  <c r="V20" i="44" s="1"/>
  <c r="L35" i="44"/>
  <c r="L34" i="44"/>
  <c r="L33" i="44"/>
  <c r="L32" i="44"/>
  <c r="L31" i="44"/>
  <c r="L30" i="44"/>
  <c r="V30" i="44" s="1"/>
  <c r="L29" i="44"/>
  <c r="L28" i="44"/>
  <c r="V28" i="44" s="1"/>
  <c r="L27" i="44"/>
  <c r="L26" i="44"/>
  <c r="L25" i="44"/>
  <c r="L24" i="44"/>
  <c r="L23" i="44"/>
  <c r="V8" i="44"/>
  <c r="T23" i="44"/>
  <c r="J23" i="44"/>
  <c r="T27" i="44"/>
  <c r="J27" i="44"/>
  <c r="T31" i="44"/>
  <c r="J31" i="44"/>
  <c r="T35" i="44"/>
  <c r="J35" i="44"/>
  <c r="J36" i="44" s="1"/>
  <c r="V36" i="44"/>
  <c r="U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P20" i="44"/>
  <c r="P21" i="44" s="1"/>
  <c r="P35" i="44"/>
  <c r="P36" i="44" s="1"/>
  <c r="P34" i="44"/>
  <c r="P33" i="44"/>
  <c r="P32" i="44"/>
  <c r="P31" i="44"/>
  <c r="P30" i="44"/>
  <c r="P29" i="44"/>
  <c r="P28" i="44"/>
  <c r="P27" i="44"/>
  <c r="P26" i="44"/>
  <c r="P25" i="44"/>
  <c r="P24" i="44"/>
  <c r="P23" i="44"/>
  <c r="T24" i="44"/>
  <c r="J24" i="44"/>
  <c r="T28" i="44"/>
  <c r="J28" i="44"/>
  <c r="T32" i="44"/>
  <c r="J32" i="44"/>
  <c r="E36" i="44"/>
  <c r="D36" i="44" s="1"/>
  <c r="V15" i="44"/>
  <c r="V19" i="44"/>
  <c r="T36" i="44"/>
  <c r="V32" i="44" l="1"/>
  <c r="V34" i="44"/>
  <c r="V24" i="44"/>
  <c r="V26" i="44"/>
  <c r="T38" i="44"/>
  <c r="V25" i="44"/>
  <c r="V29" i="44"/>
  <c r="V33" i="44"/>
  <c r="V23" i="44"/>
  <c r="V27" i="44"/>
  <c r="V31" i="44"/>
  <c r="V35" i="44"/>
  <c r="H21" i="44"/>
  <c r="U20" i="44"/>
  <c r="U21" i="44" l="1"/>
  <c r="V21" i="44"/>
  <c r="F2" i="43"/>
  <c r="F37" i="43" s="1"/>
  <c r="F38" i="43" s="1"/>
  <c r="G2" i="43"/>
  <c r="G37" i="43" s="1"/>
  <c r="G38" i="43" s="1"/>
  <c r="I2" i="43"/>
  <c r="K2" i="43"/>
  <c r="M2" i="43"/>
  <c r="M37" i="43" s="1"/>
  <c r="M38" i="43" s="1"/>
  <c r="N2" i="43"/>
  <c r="N37" i="43" s="1"/>
  <c r="N38" i="43" s="1"/>
  <c r="O2" i="43"/>
  <c r="Q2" i="43"/>
  <c r="R2" i="43"/>
  <c r="S2" i="43"/>
  <c r="C2" i="43"/>
  <c r="C37" i="43" s="1"/>
  <c r="S36" i="43"/>
  <c r="R36" i="43"/>
  <c r="Q36" i="43"/>
  <c r="O36" i="43"/>
  <c r="M36" i="43"/>
  <c r="K36" i="43"/>
  <c r="I36" i="43"/>
  <c r="G36" i="43"/>
  <c r="F36" i="43"/>
  <c r="C36" i="43"/>
  <c r="S35" i="43"/>
  <c r="R35" i="43"/>
  <c r="Q35" i="43"/>
  <c r="O35" i="43"/>
  <c r="N35" i="43"/>
  <c r="M35" i="43"/>
  <c r="K35" i="43"/>
  <c r="I35" i="43"/>
  <c r="G35" i="43"/>
  <c r="F35" i="43"/>
  <c r="C35" i="43"/>
  <c r="S34" i="43"/>
  <c r="R34" i="43"/>
  <c r="Q34" i="43"/>
  <c r="O34" i="43"/>
  <c r="N34" i="43"/>
  <c r="M34" i="43"/>
  <c r="K34" i="43"/>
  <c r="I34" i="43"/>
  <c r="G34" i="43"/>
  <c r="F34" i="43"/>
  <c r="C34" i="43"/>
  <c r="S33" i="43"/>
  <c r="R33" i="43"/>
  <c r="Q33" i="43"/>
  <c r="O33" i="43"/>
  <c r="N33" i="43"/>
  <c r="M33" i="43"/>
  <c r="K33" i="43"/>
  <c r="I33" i="43"/>
  <c r="G33" i="43"/>
  <c r="F33" i="43"/>
  <c r="C33" i="43"/>
  <c r="S32" i="43"/>
  <c r="R32" i="43"/>
  <c r="Q32" i="43"/>
  <c r="O32" i="43"/>
  <c r="N32" i="43"/>
  <c r="M32" i="43"/>
  <c r="K32" i="43"/>
  <c r="I32" i="43"/>
  <c r="G32" i="43"/>
  <c r="F32" i="43"/>
  <c r="C32" i="43"/>
  <c r="S31" i="43"/>
  <c r="R31" i="43"/>
  <c r="R37" i="43" s="1"/>
  <c r="R38" i="43" s="1"/>
  <c r="Q31" i="43"/>
  <c r="O31" i="43"/>
  <c r="N31" i="43"/>
  <c r="M31" i="43"/>
  <c r="K31" i="43"/>
  <c r="I31" i="43"/>
  <c r="G31" i="43"/>
  <c r="F31" i="43"/>
  <c r="C31" i="43"/>
  <c r="S30" i="43"/>
  <c r="R30" i="43"/>
  <c r="Q30" i="43"/>
  <c r="O30" i="43"/>
  <c r="N30" i="43"/>
  <c r="M30" i="43"/>
  <c r="K30" i="43"/>
  <c r="I30" i="43"/>
  <c r="G30" i="43"/>
  <c r="F30" i="43"/>
  <c r="C30" i="43"/>
  <c r="S29" i="43"/>
  <c r="R29" i="43"/>
  <c r="Q29" i="43"/>
  <c r="O29" i="43"/>
  <c r="N29" i="43"/>
  <c r="M29" i="43"/>
  <c r="K29" i="43"/>
  <c r="I29" i="43"/>
  <c r="G29" i="43"/>
  <c r="F29" i="43"/>
  <c r="C29" i="43"/>
  <c r="T29" i="43" s="1"/>
  <c r="S28" i="43"/>
  <c r="R28" i="43"/>
  <c r="Q28" i="43"/>
  <c r="O28" i="43"/>
  <c r="N28" i="43"/>
  <c r="M28" i="43"/>
  <c r="K28" i="43"/>
  <c r="I28" i="43"/>
  <c r="G28" i="43"/>
  <c r="F28" i="43"/>
  <c r="C28" i="43"/>
  <c r="T28" i="43" s="1"/>
  <c r="S27" i="43"/>
  <c r="R27" i="43"/>
  <c r="Q27" i="43"/>
  <c r="O27" i="43"/>
  <c r="N27" i="43"/>
  <c r="M27" i="43"/>
  <c r="K27" i="43"/>
  <c r="I27" i="43"/>
  <c r="G27" i="43"/>
  <c r="F27" i="43"/>
  <c r="C27" i="43"/>
  <c r="S26" i="43"/>
  <c r="R26" i="43"/>
  <c r="Q26" i="43"/>
  <c r="O26" i="43"/>
  <c r="N26" i="43"/>
  <c r="M26" i="43"/>
  <c r="K26" i="43"/>
  <c r="I26" i="43"/>
  <c r="G26" i="43"/>
  <c r="F26" i="43"/>
  <c r="C26" i="43"/>
  <c r="S25" i="43"/>
  <c r="R25" i="43"/>
  <c r="Q25" i="43"/>
  <c r="O25" i="43"/>
  <c r="N25" i="43"/>
  <c r="M25" i="43"/>
  <c r="K25" i="43"/>
  <c r="I25" i="43"/>
  <c r="G25" i="43"/>
  <c r="F25" i="43"/>
  <c r="C25" i="43"/>
  <c r="S24" i="43"/>
  <c r="R24" i="43"/>
  <c r="Q24" i="43"/>
  <c r="O24" i="43"/>
  <c r="N24" i="43"/>
  <c r="M24" i="43"/>
  <c r="K24" i="43"/>
  <c r="I24" i="43"/>
  <c r="G24" i="43"/>
  <c r="F24" i="43"/>
  <c r="C24" i="43"/>
  <c r="S23" i="43"/>
  <c r="R23" i="43"/>
  <c r="Q23" i="43"/>
  <c r="O23" i="43"/>
  <c r="N23" i="43"/>
  <c r="M23" i="43"/>
  <c r="K23" i="43"/>
  <c r="I23" i="43"/>
  <c r="G23" i="43"/>
  <c r="F23" i="43"/>
  <c r="C23" i="43"/>
  <c r="S21" i="43"/>
  <c r="R21" i="43"/>
  <c r="Q21" i="43"/>
  <c r="O21" i="43"/>
  <c r="N21" i="43"/>
  <c r="M21" i="43"/>
  <c r="K21" i="43"/>
  <c r="I21" i="43"/>
  <c r="G21" i="43"/>
  <c r="F21" i="43"/>
  <c r="C21" i="43"/>
  <c r="S20" i="43"/>
  <c r="R20" i="43"/>
  <c r="Q20" i="43"/>
  <c r="O20" i="43"/>
  <c r="N20" i="43"/>
  <c r="M20" i="43"/>
  <c r="K20" i="43"/>
  <c r="I20" i="43"/>
  <c r="G20" i="43"/>
  <c r="F20" i="43"/>
  <c r="C20" i="43"/>
  <c r="T19" i="43"/>
  <c r="P19" i="43"/>
  <c r="L19" i="43"/>
  <c r="J19" i="43"/>
  <c r="E19" i="43"/>
  <c r="D19" i="43" s="1"/>
  <c r="T18" i="43"/>
  <c r="P18" i="43"/>
  <c r="L18" i="43"/>
  <c r="J18" i="43"/>
  <c r="H18" i="43"/>
  <c r="U18" i="43" s="1"/>
  <c r="E18" i="43"/>
  <c r="D18" i="43" s="1"/>
  <c r="T17" i="43"/>
  <c r="P17" i="43"/>
  <c r="L17" i="43"/>
  <c r="J17" i="43"/>
  <c r="H17" i="43"/>
  <c r="E17" i="43"/>
  <c r="T16" i="43"/>
  <c r="P16" i="43"/>
  <c r="L16" i="43"/>
  <c r="H16" i="43" s="1"/>
  <c r="U16" i="43" s="1"/>
  <c r="J16" i="43"/>
  <c r="E16" i="43"/>
  <c r="D16" i="43"/>
  <c r="T15" i="43"/>
  <c r="P15" i="43"/>
  <c r="L15" i="43"/>
  <c r="J15" i="43"/>
  <c r="E15" i="43"/>
  <c r="D15" i="43" s="1"/>
  <c r="T14" i="43"/>
  <c r="P14" i="43"/>
  <c r="L14" i="43"/>
  <c r="J14" i="43"/>
  <c r="H14" i="43"/>
  <c r="U14" i="43" s="1"/>
  <c r="E14" i="43"/>
  <c r="D14" i="43" s="1"/>
  <c r="T13" i="43"/>
  <c r="P13" i="43"/>
  <c r="L13" i="43"/>
  <c r="J13" i="43"/>
  <c r="H13" i="43"/>
  <c r="U13" i="43" s="1"/>
  <c r="E13" i="43"/>
  <c r="D13" i="43" s="1"/>
  <c r="T12" i="43"/>
  <c r="P12" i="43"/>
  <c r="L12" i="43"/>
  <c r="J12" i="43"/>
  <c r="E12" i="43"/>
  <c r="D12" i="43" s="1"/>
  <c r="T11" i="43"/>
  <c r="P11" i="43"/>
  <c r="L11" i="43"/>
  <c r="J11" i="43"/>
  <c r="E11" i="43"/>
  <c r="D11" i="43" s="1"/>
  <c r="T10" i="43"/>
  <c r="P10" i="43"/>
  <c r="L10" i="43"/>
  <c r="J10" i="43"/>
  <c r="H10" i="43"/>
  <c r="U10" i="43" s="1"/>
  <c r="E10" i="43"/>
  <c r="D10" i="43"/>
  <c r="T9" i="43"/>
  <c r="P9" i="43"/>
  <c r="L9" i="43"/>
  <c r="J9" i="43"/>
  <c r="H9" i="43"/>
  <c r="U9" i="43" s="1"/>
  <c r="E9" i="43"/>
  <c r="D9" i="43" s="1"/>
  <c r="T8" i="43"/>
  <c r="P8" i="43"/>
  <c r="L8" i="43"/>
  <c r="L20" i="43" s="1"/>
  <c r="J8" i="43"/>
  <c r="E8" i="43"/>
  <c r="E23" i="43" s="1"/>
  <c r="D17" i="43" l="1"/>
  <c r="D2" i="44" s="1"/>
  <c r="D37" i="44" s="1"/>
  <c r="D38" i="44" s="1"/>
  <c r="E2" i="44"/>
  <c r="E37" i="44" s="1"/>
  <c r="E38" i="44" s="1"/>
  <c r="D8" i="43"/>
  <c r="D28" i="43" s="1"/>
  <c r="V10" i="43"/>
  <c r="U17" i="43"/>
  <c r="H2" i="44"/>
  <c r="H37" i="44" s="1"/>
  <c r="J2" i="44"/>
  <c r="J37" i="44" s="1"/>
  <c r="J38" i="44" s="1"/>
  <c r="L2" i="44"/>
  <c r="L37" i="44" s="1"/>
  <c r="P2" i="44"/>
  <c r="P37" i="44" s="1"/>
  <c r="P38" i="44" s="1"/>
  <c r="Q37" i="43"/>
  <c r="Q38" i="43" s="1"/>
  <c r="V9" i="43"/>
  <c r="U12" i="43"/>
  <c r="H12" i="43"/>
  <c r="O37" i="43"/>
  <c r="O38" i="43" s="1"/>
  <c r="T33" i="43"/>
  <c r="K37" i="43"/>
  <c r="K38" i="43" s="1"/>
  <c r="T32" i="43"/>
  <c r="T31" i="43"/>
  <c r="T24" i="43"/>
  <c r="T21" i="43"/>
  <c r="T35" i="43"/>
  <c r="T20" i="43"/>
  <c r="V18" i="43"/>
  <c r="V17" i="43"/>
  <c r="V14" i="43"/>
  <c r="V13" i="43"/>
  <c r="J25" i="43"/>
  <c r="J23" i="43"/>
  <c r="I37" i="43"/>
  <c r="I38" i="43" s="1"/>
  <c r="J27" i="43"/>
  <c r="S37" i="43"/>
  <c r="S38" i="43" s="1"/>
  <c r="T26" i="43"/>
  <c r="T30" i="43"/>
  <c r="T34" i="43"/>
  <c r="T37" i="43"/>
  <c r="C38" i="43"/>
  <c r="T38" i="43" s="1"/>
  <c r="D20" i="43"/>
  <c r="D21" i="43" s="1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V12" i="43"/>
  <c r="E36" i="43"/>
  <c r="D36" i="43" s="1"/>
  <c r="T36" i="43"/>
  <c r="E35" i="43"/>
  <c r="E34" i="43"/>
  <c r="E33" i="43"/>
  <c r="E32" i="43"/>
  <c r="E31" i="43"/>
  <c r="E30" i="43"/>
  <c r="E29" i="43"/>
  <c r="P35" i="43"/>
  <c r="P36" i="43" s="1"/>
  <c r="P34" i="43"/>
  <c r="P33" i="43"/>
  <c r="P32" i="43"/>
  <c r="P31" i="43"/>
  <c r="P30" i="43"/>
  <c r="P29" i="43"/>
  <c r="P28" i="43"/>
  <c r="P27" i="43"/>
  <c r="P26" i="43"/>
  <c r="P25" i="43"/>
  <c r="P24" i="43"/>
  <c r="P23" i="43"/>
  <c r="H11" i="43"/>
  <c r="U11" i="43" s="1"/>
  <c r="H15" i="43"/>
  <c r="U15" i="43" s="1"/>
  <c r="H19" i="43"/>
  <c r="U19" i="43" s="1"/>
  <c r="P20" i="43"/>
  <c r="P21" i="43" s="1"/>
  <c r="T25" i="43"/>
  <c r="E26" i="43"/>
  <c r="J26" i="43"/>
  <c r="D35" i="43"/>
  <c r="D34" i="43"/>
  <c r="D33" i="43"/>
  <c r="D32" i="43"/>
  <c r="D31" i="43"/>
  <c r="D30" i="43"/>
  <c r="D29" i="43"/>
  <c r="D24" i="43"/>
  <c r="D23" i="43"/>
  <c r="V16" i="43"/>
  <c r="E27" i="43"/>
  <c r="E20" i="43"/>
  <c r="E21" i="43" s="1"/>
  <c r="E25" i="43"/>
  <c r="H8" i="43"/>
  <c r="J35" i="43"/>
  <c r="J36" i="43" s="1"/>
  <c r="J34" i="43"/>
  <c r="J33" i="43"/>
  <c r="J32" i="43"/>
  <c r="J31" i="43"/>
  <c r="J30" i="43"/>
  <c r="J29" i="43"/>
  <c r="J20" i="43"/>
  <c r="J21" i="43" s="1"/>
  <c r="T23" i="43"/>
  <c r="E24" i="43"/>
  <c r="J24" i="43"/>
  <c r="T27" i="43"/>
  <c r="E28" i="43"/>
  <c r="J28" i="43"/>
  <c r="F2" i="42"/>
  <c r="G2" i="42"/>
  <c r="G37" i="42" s="1"/>
  <c r="G38" i="42" s="1"/>
  <c r="I2" i="42"/>
  <c r="I37" i="42" s="1"/>
  <c r="I38" i="42" s="1"/>
  <c r="K2" i="42"/>
  <c r="K37" i="42" s="1"/>
  <c r="K38" i="42" s="1"/>
  <c r="M2" i="42"/>
  <c r="N2" i="42"/>
  <c r="O2" i="42"/>
  <c r="Q2" i="42"/>
  <c r="R2" i="42"/>
  <c r="S2" i="42"/>
  <c r="C2" i="42"/>
  <c r="S36" i="42"/>
  <c r="R36" i="42"/>
  <c r="Q36" i="42"/>
  <c r="O36" i="42"/>
  <c r="M36" i="42"/>
  <c r="K36" i="42"/>
  <c r="I36" i="42"/>
  <c r="G36" i="42"/>
  <c r="F36" i="42"/>
  <c r="C36" i="42"/>
  <c r="S35" i="42"/>
  <c r="R35" i="42"/>
  <c r="Q35" i="42"/>
  <c r="O35" i="42"/>
  <c r="N35" i="42"/>
  <c r="M35" i="42"/>
  <c r="K35" i="42"/>
  <c r="I35" i="42"/>
  <c r="G35" i="42"/>
  <c r="F35" i="42"/>
  <c r="C35" i="42"/>
  <c r="S34" i="42"/>
  <c r="R34" i="42"/>
  <c r="Q34" i="42"/>
  <c r="O34" i="42"/>
  <c r="N34" i="42"/>
  <c r="M34" i="42"/>
  <c r="K34" i="42"/>
  <c r="I34" i="42"/>
  <c r="G34" i="42"/>
  <c r="F34" i="42"/>
  <c r="C34" i="42"/>
  <c r="S33" i="42"/>
  <c r="R33" i="42"/>
  <c r="Q33" i="42"/>
  <c r="O33" i="42"/>
  <c r="N33" i="42"/>
  <c r="M33" i="42"/>
  <c r="K33" i="42"/>
  <c r="I33" i="42"/>
  <c r="G33" i="42"/>
  <c r="F33" i="42"/>
  <c r="C33" i="42"/>
  <c r="S32" i="42"/>
  <c r="R32" i="42"/>
  <c r="Q32" i="42"/>
  <c r="O32" i="42"/>
  <c r="N32" i="42"/>
  <c r="M32" i="42"/>
  <c r="K32" i="42"/>
  <c r="I32" i="42"/>
  <c r="G32" i="42"/>
  <c r="F32" i="42"/>
  <c r="C32" i="42"/>
  <c r="S31" i="42"/>
  <c r="R31" i="42"/>
  <c r="Q31" i="42"/>
  <c r="O31" i="42"/>
  <c r="N31" i="42"/>
  <c r="M31" i="42"/>
  <c r="K31" i="42"/>
  <c r="I31" i="42"/>
  <c r="G31" i="42"/>
  <c r="F31" i="42"/>
  <c r="F37" i="42" s="1"/>
  <c r="F38" i="42" s="1"/>
  <c r="C31" i="42"/>
  <c r="S30" i="42"/>
  <c r="R30" i="42"/>
  <c r="Q30" i="42"/>
  <c r="O30" i="42"/>
  <c r="N30" i="42"/>
  <c r="M30" i="42"/>
  <c r="K30" i="42"/>
  <c r="I30" i="42"/>
  <c r="G30" i="42"/>
  <c r="F30" i="42"/>
  <c r="C30" i="42"/>
  <c r="S29" i="42"/>
  <c r="R29" i="42"/>
  <c r="Q29" i="42"/>
  <c r="O29" i="42"/>
  <c r="N29" i="42"/>
  <c r="M29" i="42"/>
  <c r="K29" i="42"/>
  <c r="I29" i="42"/>
  <c r="G29" i="42"/>
  <c r="F29" i="42"/>
  <c r="C29" i="42"/>
  <c r="S28" i="42"/>
  <c r="R28" i="42"/>
  <c r="Q28" i="42"/>
  <c r="O28" i="42"/>
  <c r="N28" i="42"/>
  <c r="M28" i="42"/>
  <c r="K28" i="42"/>
  <c r="I28" i="42"/>
  <c r="G28" i="42"/>
  <c r="F28" i="42"/>
  <c r="C28" i="42"/>
  <c r="S27" i="42"/>
  <c r="R27" i="42"/>
  <c r="Q27" i="42"/>
  <c r="O27" i="42"/>
  <c r="N27" i="42"/>
  <c r="M27" i="42"/>
  <c r="K27" i="42"/>
  <c r="I27" i="42"/>
  <c r="G27" i="42"/>
  <c r="F27" i="42"/>
  <c r="C27" i="42"/>
  <c r="S26" i="42"/>
  <c r="R26" i="42"/>
  <c r="Q26" i="42"/>
  <c r="O26" i="42"/>
  <c r="N26" i="42"/>
  <c r="M26" i="42"/>
  <c r="K26" i="42"/>
  <c r="I26" i="42"/>
  <c r="G26" i="42"/>
  <c r="F26" i="42"/>
  <c r="C26" i="42"/>
  <c r="S25" i="42"/>
  <c r="R25" i="42"/>
  <c r="Q25" i="42"/>
  <c r="O25" i="42"/>
  <c r="N25" i="42"/>
  <c r="M25" i="42"/>
  <c r="K25" i="42"/>
  <c r="I25" i="42"/>
  <c r="G25" i="42"/>
  <c r="F25" i="42"/>
  <c r="C25" i="42"/>
  <c r="S24" i="42"/>
  <c r="R24" i="42"/>
  <c r="Q24" i="42"/>
  <c r="O24" i="42"/>
  <c r="N24" i="42"/>
  <c r="M24" i="42"/>
  <c r="K24" i="42"/>
  <c r="I24" i="42"/>
  <c r="G24" i="42"/>
  <c r="F24" i="42"/>
  <c r="C24" i="42"/>
  <c r="S23" i="42"/>
  <c r="R23" i="42"/>
  <c r="Q23" i="42"/>
  <c r="O23" i="42"/>
  <c r="N23" i="42"/>
  <c r="M23" i="42"/>
  <c r="K23" i="42"/>
  <c r="I23" i="42"/>
  <c r="G23" i="42"/>
  <c r="F23" i="42"/>
  <c r="C23" i="42"/>
  <c r="S21" i="42"/>
  <c r="R21" i="42"/>
  <c r="Q21" i="42"/>
  <c r="O21" i="42"/>
  <c r="N21" i="42"/>
  <c r="M21" i="42"/>
  <c r="K21" i="42"/>
  <c r="I21" i="42"/>
  <c r="G21" i="42"/>
  <c r="F21" i="42"/>
  <c r="C21" i="42"/>
  <c r="S20" i="42"/>
  <c r="R20" i="42"/>
  <c r="Q20" i="42"/>
  <c r="O20" i="42"/>
  <c r="N20" i="42"/>
  <c r="M20" i="42"/>
  <c r="K20" i="42"/>
  <c r="I20" i="42"/>
  <c r="G20" i="42"/>
  <c r="F20" i="42"/>
  <c r="C20" i="42"/>
  <c r="T19" i="42"/>
  <c r="P19" i="42"/>
  <c r="L19" i="42"/>
  <c r="H19" i="42" s="1"/>
  <c r="U19" i="42" s="1"/>
  <c r="J19" i="42"/>
  <c r="E19" i="42"/>
  <c r="D19" i="42" s="1"/>
  <c r="T18" i="42"/>
  <c r="P18" i="42"/>
  <c r="L18" i="42"/>
  <c r="H18" i="42" s="1"/>
  <c r="J18" i="42"/>
  <c r="E18" i="42"/>
  <c r="D18" i="42"/>
  <c r="T17" i="42"/>
  <c r="P17" i="42"/>
  <c r="P2" i="43" s="1"/>
  <c r="L17" i="42"/>
  <c r="J17" i="42"/>
  <c r="E17" i="42"/>
  <c r="T16" i="42"/>
  <c r="P16" i="42"/>
  <c r="L16" i="42"/>
  <c r="J16" i="42"/>
  <c r="H16" i="42"/>
  <c r="U16" i="42" s="1"/>
  <c r="E16" i="42"/>
  <c r="D16" i="42" s="1"/>
  <c r="T15" i="42"/>
  <c r="P15" i="42"/>
  <c r="L15" i="42"/>
  <c r="J15" i="42"/>
  <c r="H15" i="42"/>
  <c r="U15" i="42" s="1"/>
  <c r="E15" i="42"/>
  <c r="D15" i="42" s="1"/>
  <c r="T14" i="42"/>
  <c r="P14" i="42"/>
  <c r="L14" i="42"/>
  <c r="H14" i="42" s="1"/>
  <c r="U14" i="42" s="1"/>
  <c r="J14" i="42"/>
  <c r="E14" i="42"/>
  <c r="D14" i="42" s="1"/>
  <c r="T13" i="42"/>
  <c r="P13" i="42"/>
  <c r="L13" i="42"/>
  <c r="H13" i="42" s="1"/>
  <c r="U13" i="42" s="1"/>
  <c r="J13" i="42"/>
  <c r="E13" i="42"/>
  <c r="D13" i="42" s="1"/>
  <c r="T12" i="42"/>
  <c r="P12" i="42"/>
  <c r="L12" i="42"/>
  <c r="J12" i="42"/>
  <c r="H12" i="42"/>
  <c r="U12" i="42" s="1"/>
  <c r="E12" i="42"/>
  <c r="D12" i="42"/>
  <c r="T11" i="42"/>
  <c r="P11" i="42"/>
  <c r="L11" i="42"/>
  <c r="J11" i="42"/>
  <c r="H11" i="42"/>
  <c r="U11" i="42" s="1"/>
  <c r="E11" i="42"/>
  <c r="D11" i="42" s="1"/>
  <c r="T10" i="42"/>
  <c r="P10" i="42"/>
  <c r="L10" i="42"/>
  <c r="J10" i="42"/>
  <c r="E10" i="42"/>
  <c r="D10" i="42" s="1"/>
  <c r="T9" i="42"/>
  <c r="P9" i="42"/>
  <c r="L9" i="42"/>
  <c r="H9" i="42" s="1"/>
  <c r="U9" i="42" s="1"/>
  <c r="J9" i="42"/>
  <c r="E9" i="42"/>
  <c r="T8" i="42"/>
  <c r="P8" i="42"/>
  <c r="L8" i="42"/>
  <c r="J8" i="42"/>
  <c r="J23" i="42" s="1"/>
  <c r="H8" i="42"/>
  <c r="E8" i="42"/>
  <c r="R37" i="42"/>
  <c r="R38" i="42" s="1"/>
  <c r="Q37" i="42"/>
  <c r="Q38" i="42" s="1"/>
  <c r="O37" i="42"/>
  <c r="O38" i="42" s="1"/>
  <c r="N37" i="42"/>
  <c r="N38" i="42" s="1"/>
  <c r="M37" i="42"/>
  <c r="M38" i="42" s="1"/>
  <c r="C37" i="42"/>
  <c r="D25" i="43" l="1"/>
  <c r="H17" i="42"/>
  <c r="L2" i="43"/>
  <c r="L37" i="43" s="1"/>
  <c r="D26" i="43"/>
  <c r="D27" i="43"/>
  <c r="S37" i="42"/>
  <c r="S38" i="42" s="1"/>
  <c r="J37" i="43"/>
  <c r="J38" i="43" s="1"/>
  <c r="V37" i="44"/>
  <c r="L38" i="44"/>
  <c r="V38" i="44" s="1"/>
  <c r="D37" i="43"/>
  <c r="D38" i="43" s="1"/>
  <c r="U37" i="44"/>
  <c r="H38" i="44"/>
  <c r="U38" i="44" s="1"/>
  <c r="V11" i="42"/>
  <c r="D17" i="42"/>
  <c r="D2" i="43" s="1"/>
  <c r="E2" i="43"/>
  <c r="E37" i="43" s="1"/>
  <c r="E38" i="43" s="1"/>
  <c r="P37" i="43"/>
  <c r="P38" i="43" s="1"/>
  <c r="J2" i="43"/>
  <c r="L38" i="43"/>
  <c r="H35" i="43"/>
  <c r="U35" i="43" s="1"/>
  <c r="H34" i="43"/>
  <c r="U34" i="43" s="1"/>
  <c r="H33" i="43"/>
  <c r="U33" i="43" s="1"/>
  <c r="H32" i="43"/>
  <c r="U32" i="43" s="1"/>
  <c r="H31" i="43"/>
  <c r="V31" i="43" s="1"/>
  <c r="H30" i="43"/>
  <c r="U30" i="43" s="1"/>
  <c r="H29" i="43"/>
  <c r="U29" i="43" s="1"/>
  <c r="H28" i="43"/>
  <c r="U28" i="43" s="1"/>
  <c r="H27" i="43"/>
  <c r="U27" i="43" s="1"/>
  <c r="H26" i="43"/>
  <c r="U26" i="43" s="1"/>
  <c r="H25" i="43"/>
  <c r="U25" i="43" s="1"/>
  <c r="H24" i="43"/>
  <c r="U24" i="43" s="1"/>
  <c r="H23" i="43"/>
  <c r="U23" i="43" s="1"/>
  <c r="U8" i="43"/>
  <c r="H20" i="43"/>
  <c r="V11" i="43"/>
  <c r="V15" i="43"/>
  <c r="V8" i="43"/>
  <c r="V19" i="43"/>
  <c r="T20" i="42"/>
  <c r="V12" i="42"/>
  <c r="T36" i="42"/>
  <c r="E32" i="42"/>
  <c r="T24" i="42"/>
  <c r="T28" i="42"/>
  <c r="T32" i="42"/>
  <c r="T21" i="42"/>
  <c r="T26" i="42"/>
  <c r="T30" i="42"/>
  <c r="T34" i="42"/>
  <c r="J33" i="42"/>
  <c r="V15" i="42"/>
  <c r="V16" i="42"/>
  <c r="V19" i="42"/>
  <c r="J32" i="42"/>
  <c r="J25" i="42"/>
  <c r="E33" i="42"/>
  <c r="D8" i="42"/>
  <c r="D23" i="42" s="1"/>
  <c r="U18" i="42"/>
  <c r="V18" i="42"/>
  <c r="T37" i="42"/>
  <c r="C38" i="42"/>
  <c r="T38" i="42" s="1"/>
  <c r="V14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V8" i="42"/>
  <c r="H10" i="42"/>
  <c r="U10" i="42" s="1"/>
  <c r="E23" i="42"/>
  <c r="E27" i="42"/>
  <c r="J27" i="42"/>
  <c r="E31" i="42"/>
  <c r="J31" i="42"/>
  <c r="E35" i="42"/>
  <c r="J35" i="42"/>
  <c r="J36" i="42" s="1"/>
  <c r="P35" i="42"/>
  <c r="P36" i="42" s="1"/>
  <c r="P34" i="42"/>
  <c r="P33" i="42"/>
  <c r="P32" i="42"/>
  <c r="P31" i="42"/>
  <c r="P30" i="42"/>
  <c r="P29" i="42"/>
  <c r="P28" i="42"/>
  <c r="P27" i="42"/>
  <c r="P26" i="42"/>
  <c r="P25" i="42"/>
  <c r="P24" i="42"/>
  <c r="P23" i="42"/>
  <c r="D9" i="42"/>
  <c r="V9" i="42"/>
  <c r="V13" i="42"/>
  <c r="V17" i="42"/>
  <c r="L20" i="42"/>
  <c r="P20" i="42"/>
  <c r="P21" i="42" s="1"/>
  <c r="T25" i="42"/>
  <c r="E26" i="42"/>
  <c r="J26" i="42"/>
  <c r="T29" i="42"/>
  <c r="E30" i="42"/>
  <c r="J30" i="42"/>
  <c r="T33" i="42"/>
  <c r="E34" i="42"/>
  <c r="J34" i="42"/>
  <c r="H24" i="42"/>
  <c r="U24" i="42" s="1"/>
  <c r="H23" i="42"/>
  <c r="U23" i="42" s="1"/>
  <c r="E20" i="42"/>
  <c r="E21" i="42" s="1"/>
  <c r="E25" i="42"/>
  <c r="E29" i="42"/>
  <c r="J29" i="42"/>
  <c r="U8" i="42"/>
  <c r="J20" i="42"/>
  <c r="J21" i="42" s="1"/>
  <c r="T23" i="42"/>
  <c r="E24" i="42"/>
  <c r="J24" i="42"/>
  <c r="T27" i="42"/>
  <c r="E28" i="42"/>
  <c r="J28" i="42"/>
  <c r="T31" i="42"/>
  <c r="T35" i="42"/>
  <c r="E36" i="42"/>
  <c r="D36" i="42" s="1"/>
  <c r="S2" i="41"/>
  <c r="R2" i="41"/>
  <c r="Q2" i="41"/>
  <c r="O2" i="41"/>
  <c r="N2" i="41"/>
  <c r="M2" i="41"/>
  <c r="K2" i="41"/>
  <c r="I2" i="41"/>
  <c r="G2" i="41"/>
  <c r="F2" i="41"/>
  <c r="C2" i="41"/>
  <c r="H27" i="42" l="1"/>
  <c r="U27" i="42" s="1"/>
  <c r="U17" i="42"/>
  <c r="H2" i="43"/>
  <c r="H35" i="42"/>
  <c r="U35" i="42" s="1"/>
  <c r="V32" i="43"/>
  <c r="V35" i="43"/>
  <c r="V30" i="43"/>
  <c r="V26" i="43"/>
  <c r="V25" i="43"/>
  <c r="V24" i="43"/>
  <c r="V33" i="43"/>
  <c r="V34" i="43"/>
  <c r="V29" i="43"/>
  <c r="U31" i="43"/>
  <c r="H37" i="43"/>
  <c r="V27" i="43"/>
  <c r="H21" i="43"/>
  <c r="U21" i="43" s="1"/>
  <c r="U20" i="43"/>
  <c r="N36" i="43"/>
  <c r="H36" i="43"/>
  <c r="U36" i="43" s="1"/>
  <c r="V23" i="43"/>
  <c r="V20" i="43"/>
  <c r="V28" i="43"/>
  <c r="H28" i="42"/>
  <c r="U28" i="42" s="1"/>
  <c r="H31" i="42"/>
  <c r="U31" i="42" s="1"/>
  <c r="H32" i="42"/>
  <c r="U32" i="42" s="1"/>
  <c r="V28" i="42"/>
  <c r="V24" i="42"/>
  <c r="H25" i="42"/>
  <c r="U25" i="42" s="1"/>
  <c r="H29" i="42"/>
  <c r="U29" i="42" s="1"/>
  <c r="H33" i="42"/>
  <c r="U33" i="42" s="1"/>
  <c r="H26" i="42"/>
  <c r="U26" i="42" s="1"/>
  <c r="H30" i="42"/>
  <c r="U30" i="42" s="1"/>
  <c r="H34" i="42"/>
  <c r="U34" i="42" s="1"/>
  <c r="D20" i="42"/>
  <c r="D21" i="42" s="1"/>
  <c r="D34" i="42"/>
  <c r="D27" i="42"/>
  <c r="D31" i="42"/>
  <c r="D35" i="42"/>
  <c r="V25" i="42"/>
  <c r="V29" i="42"/>
  <c r="D24" i="42"/>
  <c r="D28" i="42"/>
  <c r="D32" i="42"/>
  <c r="H20" i="42"/>
  <c r="D25" i="42"/>
  <c r="D29" i="42"/>
  <c r="D33" i="42"/>
  <c r="V10" i="42"/>
  <c r="L21" i="42"/>
  <c r="V23" i="42"/>
  <c r="V27" i="42"/>
  <c r="L36" i="42"/>
  <c r="D26" i="42"/>
  <c r="D30" i="42"/>
  <c r="S36" i="41"/>
  <c r="R36" i="41"/>
  <c r="Q36" i="41"/>
  <c r="O36" i="41"/>
  <c r="M36" i="41"/>
  <c r="K36" i="41"/>
  <c r="I36" i="41"/>
  <c r="G36" i="41"/>
  <c r="F36" i="41"/>
  <c r="C36" i="41"/>
  <c r="S35" i="41"/>
  <c r="R35" i="41"/>
  <c r="Q35" i="41"/>
  <c r="O35" i="41"/>
  <c r="N35" i="41"/>
  <c r="M35" i="41"/>
  <c r="K35" i="41"/>
  <c r="I35" i="41"/>
  <c r="G35" i="41"/>
  <c r="F35" i="41"/>
  <c r="C35" i="41"/>
  <c r="S34" i="41"/>
  <c r="R34" i="41"/>
  <c r="Q34" i="41"/>
  <c r="O34" i="41"/>
  <c r="N34" i="41"/>
  <c r="M34" i="41"/>
  <c r="K34" i="41"/>
  <c r="I34" i="41"/>
  <c r="G34" i="41"/>
  <c r="F34" i="41"/>
  <c r="C34" i="41"/>
  <c r="S33" i="41"/>
  <c r="R33" i="41"/>
  <c r="Q33" i="41"/>
  <c r="O33" i="41"/>
  <c r="N33" i="41"/>
  <c r="M33" i="41"/>
  <c r="K33" i="41"/>
  <c r="I33" i="41"/>
  <c r="G33" i="41"/>
  <c r="F33" i="41"/>
  <c r="C33" i="41"/>
  <c r="S32" i="41"/>
  <c r="R32" i="41"/>
  <c r="Q32" i="41"/>
  <c r="O32" i="41"/>
  <c r="N32" i="41"/>
  <c r="M32" i="41"/>
  <c r="K32" i="41"/>
  <c r="I32" i="41"/>
  <c r="G32" i="41"/>
  <c r="F32" i="41"/>
  <c r="C32" i="41"/>
  <c r="S31" i="41"/>
  <c r="S37" i="41" s="1"/>
  <c r="S38" i="41" s="1"/>
  <c r="R31" i="41"/>
  <c r="Q31" i="41"/>
  <c r="Q37" i="41" s="1"/>
  <c r="Q38" i="41" s="1"/>
  <c r="O31" i="41"/>
  <c r="O37" i="41" s="1"/>
  <c r="O38" i="41" s="1"/>
  <c r="N31" i="41"/>
  <c r="N37" i="41" s="1"/>
  <c r="N38" i="41" s="1"/>
  <c r="M31" i="41"/>
  <c r="K31" i="41"/>
  <c r="K37" i="41" s="1"/>
  <c r="K38" i="41" s="1"/>
  <c r="I31" i="41"/>
  <c r="G31" i="41"/>
  <c r="G37" i="41" s="1"/>
  <c r="G38" i="41" s="1"/>
  <c r="F31" i="41"/>
  <c r="C31" i="41"/>
  <c r="S30" i="41"/>
  <c r="R30" i="41"/>
  <c r="Q30" i="41"/>
  <c r="O30" i="41"/>
  <c r="N30" i="41"/>
  <c r="M30" i="41"/>
  <c r="K30" i="41"/>
  <c r="I30" i="41"/>
  <c r="G30" i="41"/>
  <c r="F30" i="41"/>
  <c r="C30" i="41"/>
  <c r="S29" i="41"/>
  <c r="R29" i="41"/>
  <c r="Q29" i="41"/>
  <c r="O29" i="41"/>
  <c r="N29" i="41"/>
  <c r="M29" i="41"/>
  <c r="K29" i="41"/>
  <c r="I29" i="41"/>
  <c r="G29" i="41"/>
  <c r="F29" i="41"/>
  <c r="C29" i="41"/>
  <c r="S28" i="41"/>
  <c r="R28" i="41"/>
  <c r="Q28" i="41"/>
  <c r="O28" i="41"/>
  <c r="N28" i="41"/>
  <c r="M28" i="41"/>
  <c r="K28" i="41"/>
  <c r="I28" i="41"/>
  <c r="G28" i="41"/>
  <c r="F28" i="41"/>
  <c r="C28" i="41"/>
  <c r="T28" i="41" s="1"/>
  <c r="S27" i="41"/>
  <c r="R27" i="41"/>
  <c r="Q27" i="41"/>
  <c r="O27" i="41"/>
  <c r="N27" i="41"/>
  <c r="M27" i="41"/>
  <c r="K27" i="41"/>
  <c r="I27" i="41"/>
  <c r="G27" i="41"/>
  <c r="F27" i="41"/>
  <c r="C27" i="41"/>
  <c r="S26" i="41"/>
  <c r="R26" i="41"/>
  <c r="Q26" i="41"/>
  <c r="O26" i="41"/>
  <c r="N26" i="41"/>
  <c r="M26" i="41"/>
  <c r="K26" i="41"/>
  <c r="I26" i="41"/>
  <c r="G26" i="41"/>
  <c r="F26" i="41"/>
  <c r="C26" i="41"/>
  <c r="S25" i="41"/>
  <c r="R25" i="41"/>
  <c r="Q25" i="41"/>
  <c r="O25" i="41"/>
  <c r="N25" i="41"/>
  <c r="M25" i="41"/>
  <c r="K25" i="41"/>
  <c r="I25" i="41"/>
  <c r="G25" i="41"/>
  <c r="F25" i="41"/>
  <c r="C25" i="41"/>
  <c r="S24" i="41"/>
  <c r="R24" i="41"/>
  <c r="Q24" i="41"/>
  <c r="O24" i="41"/>
  <c r="N24" i="41"/>
  <c r="M24" i="41"/>
  <c r="K24" i="41"/>
  <c r="I24" i="41"/>
  <c r="G24" i="41"/>
  <c r="F24" i="41"/>
  <c r="C24" i="41"/>
  <c r="T24" i="41" s="1"/>
  <c r="S23" i="41"/>
  <c r="R23" i="41"/>
  <c r="Q23" i="41"/>
  <c r="O23" i="41"/>
  <c r="N23" i="41"/>
  <c r="M23" i="41"/>
  <c r="K23" i="41"/>
  <c r="I23" i="41"/>
  <c r="G23" i="41"/>
  <c r="F23" i="41"/>
  <c r="C23" i="41"/>
  <c r="S21" i="41"/>
  <c r="R21" i="41"/>
  <c r="Q21" i="41"/>
  <c r="O21" i="41"/>
  <c r="N21" i="41"/>
  <c r="M21" i="41"/>
  <c r="K21" i="41"/>
  <c r="I21" i="41"/>
  <c r="G21" i="41"/>
  <c r="F21" i="41"/>
  <c r="C21" i="41"/>
  <c r="S20" i="41"/>
  <c r="R20" i="41"/>
  <c r="Q20" i="41"/>
  <c r="O20" i="41"/>
  <c r="N20" i="41"/>
  <c r="M20" i="41"/>
  <c r="K20" i="41"/>
  <c r="I20" i="41"/>
  <c r="G20" i="41"/>
  <c r="F20" i="41"/>
  <c r="C20" i="41"/>
  <c r="T19" i="41"/>
  <c r="P19" i="41"/>
  <c r="L19" i="41"/>
  <c r="H19" i="41" s="1"/>
  <c r="U19" i="41" s="1"/>
  <c r="J19" i="41"/>
  <c r="E19" i="41"/>
  <c r="D19" i="41" s="1"/>
  <c r="T18" i="41"/>
  <c r="P18" i="41"/>
  <c r="L18" i="41"/>
  <c r="J18" i="41"/>
  <c r="E18" i="41"/>
  <c r="D18" i="41" s="1"/>
  <c r="T17" i="41"/>
  <c r="P17" i="41"/>
  <c r="L17" i="41"/>
  <c r="J17" i="41"/>
  <c r="J2" i="42" s="1"/>
  <c r="J37" i="42" s="1"/>
  <c r="J38" i="42" s="1"/>
  <c r="E17" i="41"/>
  <c r="T16" i="41"/>
  <c r="P16" i="41"/>
  <c r="L16" i="41"/>
  <c r="H16" i="41" s="1"/>
  <c r="U16" i="41" s="1"/>
  <c r="J16" i="41"/>
  <c r="E16" i="41"/>
  <c r="D16" i="41" s="1"/>
  <c r="T15" i="41"/>
  <c r="P15" i="41"/>
  <c r="L15" i="41"/>
  <c r="H15" i="41" s="1"/>
  <c r="U15" i="41" s="1"/>
  <c r="J15" i="41"/>
  <c r="E15" i="41"/>
  <c r="D15" i="41"/>
  <c r="T14" i="41"/>
  <c r="P14" i="41"/>
  <c r="L14" i="41"/>
  <c r="J14" i="41"/>
  <c r="E14" i="41"/>
  <c r="D14" i="41" s="1"/>
  <c r="T13" i="41"/>
  <c r="P13" i="41"/>
  <c r="L13" i="41"/>
  <c r="H13" i="41" s="1"/>
  <c r="U13" i="41" s="1"/>
  <c r="J13" i="41"/>
  <c r="E13" i="41"/>
  <c r="D13" i="41" s="1"/>
  <c r="T12" i="41"/>
  <c r="P12" i="41"/>
  <c r="L12" i="41"/>
  <c r="H12" i="41" s="1"/>
  <c r="U12" i="41" s="1"/>
  <c r="J12" i="41"/>
  <c r="E12" i="41"/>
  <c r="D12" i="41" s="1"/>
  <c r="T11" i="41"/>
  <c r="P11" i="41"/>
  <c r="L11" i="41"/>
  <c r="J11" i="41"/>
  <c r="E11" i="41"/>
  <c r="D11" i="41" s="1"/>
  <c r="T10" i="41"/>
  <c r="P10" i="41"/>
  <c r="L10" i="41"/>
  <c r="J10" i="41"/>
  <c r="E10" i="41"/>
  <c r="D10" i="41" s="1"/>
  <c r="T9" i="41"/>
  <c r="P9" i="41"/>
  <c r="L9" i="41"/>
  <c r="H9" i="41" s="1"/>
  <c r="U9" i="41" s="1"/>
  <c r="J9" i="41"/>
  <c r="E9" i="41"/>
  <c r="T8" i="41"/>
  <c r="P8" i="41"/>
  <c r="L8" i="41"/>
  <c r="H8" i="41" s="1"/>
  <c r="U8" i="41" s="1"/>
  <c r="J8" i="41"/>
  <c r="E8" i="41"/>
  <c r="D8" i="41" s="1"/>
  <c r="C37" i="41"/>
  <c r="T20" i="41" l="1"/>
  <c r="D17" i="41"/>
  <c r="D2" i="42" s="1"/>
  <c r="E2" i="42"/>
  <c r="E37" i="42" s="1"/>
  <c r="E38" i="42" s="1"/>
  <c r="V35" i="42"/>
  <c r="D37" i="42"/>
  <c r="D38" i="42" s="1"/>
  <c r="H17" i="41"/>
  <c r="L2" i="42"/>
  <c r="L37" i="42" s="1"/>
  <c r="L38" i="42" s="1"/>
  <c r="P2" i="42"/>
  <c r="P37" i="42" s="1"/>
  <c r="P38" i="42" s="1"/>
  <c r="V26" i="42"/>
  <c r="V36" i="43"/>
  <c r="V21" i="43"/>
  <c r="U37" i="43"/>
  <c r="H38" i="43"/>
  <c r="V37" i="43"/>
  <c r="V31" i="42"/>
  <c r="V34" i="42"/>
  <c r="V30" i="42"/>
  <c r="V33" i="42"/>
  <c r="V32" i="42"/>
  <c r="H21" i="42"/>
  <c r="U21" i="42" s="1"/>
  <c r="U20" i="42"/>
  <c r="H36" i="42"/>
  <c r="U36" i="42" s="1"/>
  <c r="N36" i="42"/>
  <c r="V20" i="42"/>
  <c r="H11" i="41"/>
  <c r="U11" i="41" s="1"/>
  <c r="T25" i="41"/>
  <c r="T29" i="41"/>
  <c r="T33" i="41"/>
  <c r="I37" i="41"/>
  <c r="I38" i="41" s="1"/>
  <c r="R37" i="41"/>
  <c r="R38" i="41" s="1"/>
  <c r="T32" i="41"/>
  <c r="T23" i="41"/>
  <c r="T27" i="41"/>
  <c r="T31" i="41"/>
  <c r="M37" i="41"/>
  <c r="M38" i="41" s="1"/>
  <c r="J35" i="41"/>
  <c r="J36" i="41" s="1"/>
  <c r="V13" i="41"/>
  <c r="V17" i="41"/>
  <c r="V9" i="41"/>
  <c r="V12" i="41"/>
  <c r="V16" i="41"/>
  <c r="E33" i="41"/>
  <c r="E24" i="41"/>
  <c r="E20" i="41"/>
  <c r="E21" i="41" s="1"/>
  <c r="F37" i="41"/>
  <c r="F38" i="41" s="1"/>
  <c r="T35" i="41"/>
  <c r="C38" i="41"/>
  <c r="V15" i="41"/>
  <c r="V19" i="41"/>
  <c r="J20" i="41"/>
  <c r="J21" i="41" s="1"/>
  <c r="J24" i="41"/>
  <c r="E28" i="41"/>
  <c r="J28" i="41"/>
  <c r="E32" i="41"/>
  <c r="J32" i="41"/>
  <c r="E36" i="41"/>
  <c r="D36" i="41" s="1"/>
  <c r="T36" i="41"/>
  <c r="D23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V8" i="41"/>
  <c r="H10" i="41"/>
  <c r="U10" i="41" s="1"/>
  <c r="H14" i="41"/>
  <c r="U14" i="41" s="1"/>
  <c r="H18" i="41"/>
  <c r="U18" i="41" s="1"/>
  <c r="T21" i="41"/>
  <c r="E23" i="41"/>
  <c r="J23" i="41"/>
  <c r="T26" i="41"/>
  <c r="E27" i="41"/>
  <c r="J27" i="41"/>
  <c r="T30" i="41"/>
  <c r="E31" i="41"/>
  <c r="J31" i="41"/>
  <c r="T34" i="41"/>
  <c r="E35" i="41"/>
  <c r="P35" i="41"/>
  <c r="P36" i="41" s="1"/>
  <c r="P34" i="41"/>
  <c r="P33" i="41"/>
  <c r="P32" i="41"/>
  <c r="P31" i="41"/>
  <c r="P30" i="41"/>
  <c r="P29" i="41"/>
  <c r="P28" i="41"/>
  <c r="P27" i="41"/>
  <c r="P26" i="41"/>
  <c r="P25" i="41"/>
  <c r="P24" i="41"/>
  <c r="P23" i="41"/>
  <c r="D9" i="41"/>
  <c r="D33" i="41" s="1"/>
  <c r="L20" i="41"/>
  <c r="P20" i="41"/>
  <c r="P21" i="41" s="1"/>
  <c r="E26" i="41"/>
  <c r="J26" i="41"/>
  <c r="E30" i="41"/>
  <c r="J30" i="41"/>
  <c r="E34" i="41"/>
  <c r="J34" i="41"/>
  <c r="H26" i="41"/>
  <c r="U26" i="41" s="1"/>
  <c r="H25" i="41"/>
  <c r="U25" i="41" s="1"/>
  <c r="H24" i="41"/>
  <c r="U24" i="41" s="1"/>
  <c r="H23" i="41"/>
  <c r="U23" i="41" s="1"/>
  <c r="E25" i="41"/>
  <c r="J25" i="41"/>
  <c r="E29" i="41"/>
  <c r="J29" i="41"/>
  <c r="J33" i="41"/>
  <c r="S2" i="40"/>
  <c r="R2" i="40"/>
  <c r="Q2" i="40"/>
  <c r="O2" i="40"/>
  <c r="N2" i="40"/>
  <c r="M2" i="40"/>
  <c r="K2" i="40"/>
  <c r="I2" i="40"/>
  <c r="G2" i="40"/>
  <c r="F2" i="40"/>
  <c r="C2" i="40"/>
  <c r="S36" i="40"/>
  <c r="R36" i="40"/>
  <c r="Q36" i="40"/>
  <c r="O36" i="40"/>
  <c r="M36" i="40"/>
  <c r="K36" i="40"/>
  <c r="I36" i="40"/>
  <c r="G36" i="40"/>
  <c r="F36" i="40"/>
  <c r="C36" i="40"/>
  <c r="S35" i="40"/>
  <c r="R35" i="40"/>
  <c r="Q35" i="40"/>
  <c r="O35" i="40"/>
  <c r="N35" i="40"/>
  <c r="M35" i="40"/>
  <c r="K35" i="40"/>
  <c r="I35" i="40"/>
  <c r="G35" i="40"/>
  <c r="F35" i="40"/>
  <c r="C35" i="40"/>
  <c r="S34" i="40"/>
  <c r="R34" i="40"/>
  <c r="Q34" i="40"/>
  <c r="O34" i="40"/>
  <c r="N34" i="40"/>
  <c r="M34" i="40"/>
  <c r="K34" i="40"/>
  <c r="I34" i="40"/>
  <c r="G34" i="40"/>
  <c r="F34" i="40"/>
  <c r="C34" i="40"/>
  <c r="S33" i="40"/>
  <c r="R33" i="40"/>
  <c r="Q33" i="40"/>
  <c r="O33" i="40"/>
  <c r="N33" i="40"/>
  <c r="M33" i="40"/>
  <c r="K33" i="40"/>
  <c r="I33" i="40"/>
  <c r="G33" i="40"/>
  <c r="F33" i="40"/>
  <c r="C33" i="40"/>
  <c r="S32" i="40"/>
  <c r="R32" i="40"/>
  <c r="Q32" i="40"/>
  <c r="O32" i="40"/>
  <c r="N32" i="40"/>
  <c r="M32" i="40"/>
  <c r="K32" i="40"/>
  <c r="I32" i="40"/>
  <c r="G32" i="40"/>
  <c r="F32" i="40"/>
  <c r="C32" i="40"/>
  <c r="S31" i="40"/>
  <c r="R31" i="40"/>
  <c r="Q31" i="40"/>
  <c r="Q37" i="40" s="1"/>
  <c r="Q38" i="40" s="1"/>
  <c r="O31" i="40"/>
  <c r="N31" i="40"/>
  <c r="N37" i="40" s="1"/>
  <c r="N38" i="40" s="1"/>
  <c r="M31" i="40"/>
  <c r="K31" i="40"/>
  <c r="K37" i="40" s="1"/>
  <c r="K38" i="40" s="1"/>
  <c r="I31" i="40"/>
  <c r="G31" i="40"/>
  <c r="F31" i="40"/>
  <c r="C31" i="40"/>
  <c r="S30" i="40"/>
  <c r="R30" i="40"/>
  <c r="Q30" i="40"/>
  <c r="O30" i="40"/>
  <c r="N30" i="40"/>
  <c r="M30" i="40"/>
  <c r="K30" i="40"/>
  <c r="I30" i="40"/>
  <c r="G30" i="40"/>
  <c r="F30" i="40"/>
  <c r="C30" i="40"/>
  <c r="S29" i="40"/>
  <c r="R29" i="40"/>
  <c r="Q29" i="40"/>
  <c r="O29" i="40"/>
  <c r="N29" i="40"/>
  <c r="M29" i="40"/>
  <c r="K29" i="40"/>
  <c r="I29" i="40"/>
  <c r="G29" i="40"/>
  <c r="F29" i="40"/>
  <c r="C29" i="40"/>
  <c r="S28" i="40"/>
  <c r="R28" i="40"/>
  <c r="Q28" i="40"/>
  <c r="O28" i="40"/>
  <c r="N28" i="40"/>
  <c r="M28" i="40"/>
  <c r="K28" i="40"/>
  <c r="I28" i="40"/>
  <c r="G28" i="40"/>
  <c r="F28" i="40"/>
  <c r="C28" i="40"/>
  <c r="S27" i="40"/>
  <c r="R27" i="40"/>
  <c r="Q27" i="40"/>
  <c r="O27" i="40"/>
  <c r="N27" i="40"/>
  <c r="M27" i="40"/>
  <c r="K27" i="40"/>
  <c r="I27" i="40"/>
  <c r="G27" i="40"/>
  <c r="F27" i="40"/>
  <c r="C27" i="40"/>
  <c r="S26" i="40"/>
  <c r="R26" i="40"/>
  <c r="Q26" i="40"/>
  <c r="O26" i="40"/>
  <c r="N26" i="40"/>
  <c r="M26" i="40"/>
  <c r="K26" i="40"/>
  <c r="I26" i="40"/>
  <c r="G26" i="40"/>
  <c r="F26" i="40"/>
  <c r="C26" i="40"/>
  <c r="S25" i="40"/>
  <c r="R25" i="40"/>
  <c r="Q25" i="40"/>
  <c r="O25" i="40"/>
  <c r="N25" i="40"/>
  <c r="M25" i="40"/>
  <c r="K25" i="40"/>
  <c r="I25" i="40"/>
  <c r="G25" i="40"/>
  <c r="F25" i="40"/>
  <c r="C25" i="40"/>
  <c r="S24" i="40"/>
  <c r="R24" i="40"/>
  <c r="Q24" i="40"/>
  <c r="O24" i="40"/>
  <c r="N24" i="40"/>
  <c r="M24" i="40"/>
  <c r="K24" i="40"/>
  <c r="I24" i="40"/>
  <c r="G24" i="40"/>
  <c r="F24" i="40"/>
  <c r="C24" i="40"/>
  <c r="S23" i="40"/>
  <c r="R23" i="40"/>
  <c r="Q23" i="40"/>
  <c r="O23" i="40"/>
  <c r="N23" i="40"/>
  <c r="M23" i="40"/>
  <c r="K23" i="40"/>
  <c r="I23" i="40"/>
  <c r="G23" i="40"/>
  <c r="F23" i="40"/>
  <c r="C23" i="40"/>
  <c r="S21" i="40"/>
  <c r="R21" i="40"/>
  <c r="Q21" i="40"/>
  <c r="O21" i="40"/>
  <c r="N21" i="40"/>
  <c r="M21" i="40"/>
  <c r="K21" i="40"/>
  <c r="I21" i="40"/>
  <c r="G21" i="40"/>
  <c r="F21" i="40"/>
  <c r="C21" i="40"/>
  <c r="S20" i="40"/>
  <c r="R20" i="40"/>
  <c r="Q20" i="40"/>
  <c r="O20" i="40"/>
  <c r="N20" i="40"/>
  <c r="M20" i="40"/>
  <c r="K20" i="40"/>
  <c r="I20" i="40"/>
  <c r="G20" i="40"/>
  <c r="F20" i="40"/>
  <c r="C20" i="40"/>
  <c r="T19" i="40"/>
  <c r="P19" i="40"/>
  <c r="L19" i="40"/>
  <c r="H19" i="40" s="1"/>
  <c r="U19" i="40" s="1"/>
  <c r="J19" i="40"/>
  <c r="E19" i="40"/>
  <c r="D19" i="40" s="1"/>
  <c r="T18" i="40"/>
  <c r="P18" i="40"/>
  <c r="L18" i="40"/>
  <c r="H18" i="40" s="1"/>
  <c r="U18" i="40" s="1"/>
  <c r="J18" i="40"/>
  <c r="E18" i="40"/>
  <c r="D18" i="40" s="1"/>
  <c r="T17" i="40"/>
  <c r="P17" i="40"/>
  <c r="P2" i="41" s="1"/>
  <c r="L17" i="40"/>
  <c r="J17" i="40"/>
  <c r="J2" i="41" s="1"/>
  <c r="E17" i="40"/>
  <c r="T16" i="40"/>
  <c r="P16" i="40"/>
  <c r="L16" i="40"/>
  <c r="H16" i="40" s="1"/>
  <c r="U16" i="40" s="1"/>
  <c r="J16" i="40"/>
  <c r="E16" i="40"/>
  <c r="D16" i="40" s="1"/>
  <c r="T15" i="40"/>
  <c r="P15" i="40"/>
  <c r="L15" i="40"/>
  <c r="H15" i="40" s="1"/>
  <c r="U15" i="40" s="1"/>
  <c r="J15" i="40"/>
  <c r="E15" i="40"/>
  <c r="D15" i="40" s="1"/>
  <c r="T14" i="40"/>
  <c r="P14" i="40"/>
  <c r="L14" i="40"/>
  <c r="H14" i="40" s="1"/>
  <c r="U14" i="40" s="1"/>
  <c r="J14" i="40"/>
  <c r="E14" i="40"/>
  <c r="D14" i="40" s="1"/>
  <c r="T13" i="40"/>
  <c r="P13" i="40"/>
  <c r="L13" i="40"/>
  <c r="H13" i="40" s="1"/>
  <c r="U13" i="40" s="1"/>
  <c r="J13" i="40"/>
  <c r="E13" i="40"/>
  <c r="D13" i="40" s="1"/>
  <c r="T12" i="40"/>
  <c r="P12" i="40"/>
  <c r="L12" i="40"/>
  <c r="H12" i="40" s="1"/>
  <c r="U12" i="40" s="1"/>
  <c r="J12" i="40"/>
  <c r="E12" i="40"/>
  <c r="D12" i="40" s="1"/>
  <c r="T11" i="40"/>
  <c r="P11" i="40"/>
  <c r="L11" i="40"/>
  <c r="H11" i="40" s="1"/>
  <c r="U11" i="40" s="1"/>
  <c r="J11" i="40"/>
  <c r="E11" i="40"/>
  <c r="D11" i="40" s="1"/>
  <c r="T10" i="40"/>
  <c r="P10" i="40"/>
  <c r="L10" i="40"/>
  <c r="J10" i="40"/>
  <c r="E10" i="40"/>
  <c r="D10" i="40" s="1"/>
  <c r="T9" i="40"/>
  <c r="P9" i="40"/>
  <c r="L9" i="40"/>
  <c r="J9" i="40"/>
  <c r="E9" i="40"/>
  <c r="D9" i="40" s="1"/>
  <c r="T8" i="40"/>
  <c r="P8" i="40"/>
  <c r="L8" i="40"/>
  <c r="H8" i="40" s="1"/>
  <c r="J8" i="40"/>
  <c r="E8" i="40"/>
  <c r="P37" i="41" l="1"/>
  <c r="P38" i="41" s="1"/>
  <c r="D17" i="40"/>
  <c r="D2" i="41" s="1"/>
  <c r="E2" i="41"/>
  <c r="U17" i="41"/>
  <c r="H2" i="42"/>
  <c r="H37" i="42" s="1"/>
  <c r="U37" i="42" s="1"/>
  <c r="J37" i="41"/>
  <c r="J38" i="41" s="1"/>
  <c r="T25" i="40"/>
  <c r="E37" i="41"/>
  <c r="E38" i="41" s="1"/>
  <c r="T29" i="40"/>
  <c r="H17" i="40"/>
  <c r="L2" i="41"/>
  <c r="L37" i="41" s="1"/>
  <c r="F37" i="40"/>
  <c r="F38" i="40" s="1"/>
  <c r="U38" i="43"/>
  <c r="V38" i="43"/>
  <c r="V37" i="42"/>
  <c r="H38" i="42"/>
  <c r="U38" i="42" s="1"/>
  <c r="V36" i="42"/>
  <c r="V21" i="42"/>
  <c r="V11" i="41"/>
  <c r="T37" i="41"/>
  <c r="T38" i="41"/>
  <c r="H29" i="41"/>
  <c r="U29" i="41" s="1"/>
  <c r="H34" i="41"/>
  <c r="U34" i="41" s="1"/>
  <c r="H30" i="41"/>
  <c r="U30" i="41" s="1"/>
  <c r="H35" i="41"/>
  <c r="U35" i="41" s="1"/>
  <c r="H27" i="41"/>
  <c r="U27" i="41" s="1"/>
  <c r="H31" i="41"/>
  <c r="U31" i="41" s="1"/>
  <c r="H28" i="41"/>
  <c r="U28" i="41" s="1"/>
  <c r="H32" i="41"/>
  <c r="U32" i="41" s="1"/>
  <c r="D30" i="41"/>
  <c r="D34" i="41"/>
  <c r="D26" i="41"/>
  <c r="L21" i="41"/>
  <c r="D20" i="41"/>
  <c r="D21" i="41" s="1"/>
  <c r="V24" i="41"/>
  <c r="D27" i="41"/>
  <c r="D31" i="41"/>
  <c r="D37" i="41" s="1"/>
  <c r="D38" i="41" s="1"/>
  <c r="D35" i="41"/>
  <c r="V23" i="41"/>
  <c r="L36" i="41"/>
  <c r="H33" i="41"/>
  <c r="U33" i="41" s="1"/>
  <c r="V25" i="41"/>
  <c r="D24" i="41"/>
  <c r="D28" i="41"/>
  <c r="D32" i="41"/>
  <c r="V18" i="41"/>
  <c r="V14" i="41"/>
  <c r="V26" i="41"/>
  <c r="D25" i="41"/>
  <c r="D29" i="41"/>
  <c r="H20" i="41"/>
  <c r="V10" i="41"/>
  <c r="T33" i="40"/>
  <c r="O37" i="40"/>
  <c r="O38" i="40" s="1"/>
  <c r="J35" i="40"/>
  <c r="J36" i="40" s="1"/>
  <c r="G37" i="40"/>
  <c r="G38" i="40" s="1"/>
  <c r="C37" i="40"/>
  <c r="T20" i="40"/>
  <c r="R37" i="40"/>
  <c r="R38" i="40" s="1"/>
  <c r="S37" i="40"/>
  <c r="S38" i="40" s="1"/>
  <c r="T24" i="40"/>
  <c r="T28" i="40"/>
  <c r="T32" i="40"/>
  <c r="L20" i="40"/>
  <c r="L21" i="40" s="1"/>
  <c r="H9" i="40"/>
  <c r="U9" i="40" s="1"/>
  <c r="V12" i="40"/>
  <c r="V13" i="40"/>
  <c r="V16" i="40"/>
  <c r="I37" i="40"/>
  <c r="I38" i="40" s="1"/>
  <c r="J32" i="40"/>
  <c r="J25" i="40"/>
  <c r="E31" i="40"/>
  <c r="H23" i="40"/>
  <c r="U23" i="40" s="1"/>
  <c r="V14" i="40"/>
  <c r="V18" i="40"/>
  <c r="E20" i="40"/>
  <c r="E21" i="40" s="1"/>
  <c r="E25" i="40"/>
  <c r="J29" i="40"/>
  <c r="E36" i="40"/>
  <c r="D36" i="40" s="1"/>
  <c r="T36" i="40"/>
  <c r="V11" i="40"/>
  <c r="V15" i="40"/>
  <c r="T23" i="40"/>
  <c r="E24" i="40"/>
  <c r="J24" i="40"/>
  <c r="T27" i="40"/>
  <c r="E28" i="40"/>
  <c r="J28" i="40"/>
  <c r="T31" i="40"/>
  <c r="J33" i="40"/>
  <c r="D8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V8" i="40"/>
  <c r="H10" i="40"/>
  <c r="U10" i="40" s="1"/>
  <c r="T21" i="40"/>
  <c r="E23" i="40"/>
  <c r="J23" i="40"/>
  <c r="T26" i="40"/>
  <c r="E27" i="40"/>
  <c r="J27" i="40"/>
  <c r="T30" i="40"/>
  <c r="J31" i="40"/>
  <c r="T34" i="40"/>
  <c r="J34" i="40"/>
  <c r="E29" i="40"/>
  <c r="U8" i="40"/>
  <c r="V19" i="40"/>
  <c r="J20" i="40"/>
  <c r="J21" i="40" s="1"/>
  <c r="M37" i="40"/>
  <c r="M38" i="40" s="1"/>
  <c r="E35" i="40"/>
  <c r="E34" i="40"/>
  <c r="E33" i="40"/>
  <c r="E32" i="40"/>
  <c r="P35" i="40"/>
  <c r="P36" i="40" s="1"/>
  <c r="P34" i="40"/>
  <c r="P33" i="40"/>
  <c r="P32" i="40"/>
  <c r="P31" i="40"/>
  <c r="P30" i="40"/>
  <c r="P29" i="40"/>
  <c r="P28" i="40"/>
  <c r="P27" i="40"/>
  <c r="P26" i="40"/>
  <c r="P25" i="40"/>
  <c r="P24" i="40"/>
  <c r="P23" i="40"/>
  <c r="P20" i="40"/>
  <c r="P21" i="40" s="1"/>
  <c r="E26" i="40"/>
  <c r="J26" i="40"/>
  <c r="E30" i="40"/>
  <c r="J30" i="40"/>
  <c r="T35" i="40"/>
  <c r="S2" i="39"/>
  <c r="R2" i="39"/>
  <c r="Q2" i="39"/>
  <c r="O2" i="39"/>
  <c r="N2" i="39"/>
  <c r="M2" i="39"/>
  <c r="K2" i="39"/>
  <c r="I2" i="39"/>
  <c r="G2" i="39"/>
  <c r="F2" i="39"/>
  <c r="C2" i="39"/>
  <c r="S36" i="39"/>
  <c r="R36" i="39"/>
  <c r="Q36" i="39"/>
  <c r="O36" i="39"/>
  <c r="M36" i="39"/>
  <c r="K36" i="39"/>
  <c r="I36" i="39"/>
  <c r="G36" i="39"/>
  <c r="F36" i="39"/>
  <c r="C36" i="39"/>
  <c r="S35" i="39"/>
  <c r="R35" i="39"/>
  <c r="Q35" i="39"/>
  <c r="O35" i="39"/>
  <c r="N35" i="39"/>
  <c r="M35" i="39"/>
  <c r="K35" i="39"/>
  <c r="I35" i="39"/>
  <c r="G35" i="39"/>
  <c r="F35" i="39"/>
  <c r="C35" i="39"/>
  <c r="S34" i="39"/>
  <c r="R34" i="39"/>
  <c r="Q34" i="39"/>
  <c r="O34" i="39"/>
  <c r="N34" i="39"/>
  <c r="M34" i="39"/>
  <c r="K34" i="39"/>
  <c r="I34" i="39"/>
  <c r="G34" i="39"/>
  <c r="F34" i="39"/>
  <c r="C34" i="39"/>
  <c r="S33" i="39"/>
  <c r="R33" i="39"/>
  <c r="Q33" i="39"/>
  <c r="O33" i="39"/>
  <c r="N33" i="39"/>
  <c r="M33" i="39"/>
  <c r="K33" i="39"/>
  <c r="I33" i="39"/>
  <c r="G33" i="39"/>
  <c r="F33" i="39"/>
  <c r="C33" i="39"/>
  <c r="S32" i="39"/>
  <c r="R32" i="39"/>
  <c r="Q32" i="39"/>
  <c r="O32" i="39"/>
  <c r="N32" i="39"/>
  <c r="M32" i="39"/>
  <c r="K32" i="39"/>
  <c r="I32" i="39"/>
  <c r="G32" i="39"/>
  <c r="F32" i="39"/>
  <c r="C32" i="39"/>
  <c r="S31" i="39"/>
  <c r="R31" i="39"/>
  <c r="Q31" i="39"/>
  <c r="O31" i="39"/>
  <c r="O37" i="39" s="1"/>
  <c r="O38" i="39" s="1"/>
  <c r="N31" i="39"/>
  <c r="M31" i="39"/>
  <c r="K31" i="39"/>
  <c r="I31" i="39"/>
  <c r="I37" i="39" s="1"/>
  <c r="I38" i="39" s="1"/>
  <c r="G31" i="39"/>
  <c r="F31" i="39"/>
  <c r="C31" i="39"/>
  <c r="S30" i="39"/>
  <c r="R30" i="39"/>
  <c r="Q30" i="39"/>
  <c r="O30" i="39"/>
  <c r="N30" i="39"/>
  <c r="M30" i="39"/>
  <c r="K30" i="39"/>
  <c r="I30" i="39"/>
  <c r="G30" i="39"/>
  <c r="F30" i="39"/>
  <c r="C30" i="39"/>
  <c r="S29" i="39"/>
  <c r="R29" i="39"/>
  <c r="Q29" i="39"/>
  <c r="O29" i="39"/>
  <c r="N29" i="39"/>
  <c r="M29" i="39"/>
  <c r="K29" i="39"/>
  <c r="I29" i="39"/>
  <c r="G29" i="39"/>
  <c r="F29" i="39"/>
  <c r="C29" i="39"/>
  <c r="S28" i="39"/>
  <c r="R28" i="39"/>
  <c r="Q28" i="39"/>
  <c r="O28" i="39"/>
  <c r="N28" i="39"/>
  <c r="M28" i="39"/>
  <c r="K28" i="39"/>
  <c r="I28" i="39"/>
  <c r="G28" i="39"/>
  <c r="F28" i="39"/>
  <c r="C28" i="39"/>
  <c r="S27" i="39"/>
  <c r="R27" i="39"/>
  <c r="Q27" i="39"/>
  <c r="O27" i="39"/>
  <c r="N27" i="39"/>
  <c r="M27" i="39"/>
  <c r="K27" i="39"/>
  <c r="I27" i="39"/>
  <c r="G27" i="39"/>
  <c r="F27" i="39"/>
  <c r="C27" i="39"/>
  <c r="S26" i="39"/>
  <c r="R26" i="39"/>
  <c r="Q26" i="39"/>
  <c r="O26" i="39"/>
  <c r="N26" i="39"/>
  <c r="M26" i="39"/>
  <c r="K26" i="39"/>
  <c r="I26" i="39"/>
  <c r="G26" i="39"/>
  <c r="F26" i="39"/>
  <c r="C26" i="39"/>
  <c r="S25" i="39"/>
  <c r="R25" i="39"/>
  <c r="Q25" i="39"/>
  <c r="O25" i="39"/>
  <c r="N25" i="39"/>
  <c r="M25" i="39"/>
  <c r="K25" i="39"/>
  <c r="I25" i="39"/>
  <c r="G25" i="39"/>
  <c r="F25" i="39"/>
  <c r="C25" i="39"/>
  <c r="S24" i="39"/>
  <c r="R24" i="39"/>
  <c r="Q24" i="39"/>
  <c r="O24" i="39"/>
  <c r="N24" i="39"/>
  <c r="M24" i="39"/>
  <c r="K24" i="39"/>
  <c r="I24" i="39"/>
  <c r="G24" i="39"/>
  <c r="F24" i="39"/>
  <c r="C24" i="39"/>
  <c r="T24" i="39" s="1"/>
  <c r="S23" i="39"/>
  <c r="R23" i="39"/>
  <c r="Q23" i="39"/>
  <c r="O23" i="39"/>
  <c r="N23" i="39"/>
  <c r="M23" i="39"/>
  <c r="K23" i="39"/>
  <c r="I23" i="39"/>
  <c r="G23" i="39"/>
  <c r="F23" i="39"/>
  <c r="C23" i="39"/>
  <c r="S21" i="39"/>
  <c r="R21" i="39"/>
  <c r="Q21" i="39"/>
  <c r="O21" i="39"/>
  <c r="N21" i="39"/>
  <c r="M21" i="39"/>
  <c r="K21" i="39"/>
  <c r="I21" i="39"/>
  <c r="G21" i="39"/>
  <c r="F21" i="39"/>
  <c r="C21" i="39"/>
  <c r="S20" i="39"/>
  <c r="R20" i="39"/>
  <c r="Q20" i="39"/>
  <c r="O20" i="39"/>
  <c r="N20" i="39"/>
  <c r="M20" i="39"/>
  <c r="K20" i="39"/>
  <c r="I20" i="39"/>
  <c r="G20" i="39"/>
  <c r="F20" i="39"/>
  <c r="C20" i="39"/>
  <c r="T19" i="39"/>
  <c r="P19" i="39"/>
  <c r="L19" i="39"/>
  <c r="H19" i="39" s="1"/>
  <c r="U19" i="39" s="1"/>
  <c r="J19" i="39"/>
  <c r="E19" i="39"/>
  <c r="D19" i="39" s="1"/>
  <c r="T18" i="39"/>
  <c r="P18" i="39"/>
  <c r="L18" i="39"/>
  <c r="H18" i="39" s="1"/>
  <c r="J18" i="39"/>
  <c r="E18" i="39"/>
  <c r="D18" i="39" s="1"/>
  <c r="T17" i="39"/>
  <c r="P17" i="39"/>
  <c r="L17" i="39"/>
  <c r="H17" i="39"/>
  <c r="J17" i="39"/>
  <c r="E17" i="39"/>
  <c r="D17" i="39"/>
  <c r="T16" i="39"/>
  <c r="P16" i="39"/>
  <c r="L16" i="39"/>
  <c r="H16" i="39" s="1"/>
  <c r="V16" i="39" s="1"/>
  <c r="J16" i="39"/>
  <c r="E16" i="39"/>
  <c r="D16" i="39" s="1"/>
  <c r="T15" i="39"/>
  <c r="P15" i="39"/>
  <c r="L15" i="39"/>
  <c r="H15" i="39" s="1"/>
  <c r="U15" i="39" s="1"/>
  <c r="J15" i="39"/>
  <c r="E15" i="39"/>
  <c r="D15" i="39" s="1"/>
  <c r="T14" i="39"/>
  <c r="P14" i="39"/>
  <c r="L14" i="39"/>
  <c r="H14" i="39" s="1"/>
  <c r="U14" i="39" s="1"/>
  <c r="J14" i="39"/>
  <c r="E14" i="39"/>
  <c r="D14" i="39" s="1"/>
  <c r="T13" i="39"/>
  <c r="P13" i="39"/>
  <c r="L13" i="39"/>
  <c r="H13" i="39" s="1"/>
  <c r="J13" i="39"/>
  <c r="E13" i="39"/>
  <c r="D13" i="39" s="1"/>
  <c r="T12" i="39"/>
  <c r="P12" i="39"/>
  <c r="L12" i="39"/>
  <c r="H12" i="39" s="1"/>
  <c r="J12" i="39"/>
  <c r="E12" i="39"/>
  <c r="D12" i="39" s="1"/>
  <c r="T11" i="39"/>
  <c r="P11" i="39"/>
  <c r="L11" i="39"/>
  <c r="H11" i="39" s="1"/>
  <c r="J11" i="39"/>
  <c r="E11" i="39"/>
  <c r="D11" i="39" s="1"/>
  <c r="T10" i="39"/>
  <c r="P10" i="39"/>
  <c r="L10" i="39"/>
  <c r="H10" i="39" s="1"/>
  <c r="J10" i="39"/>
  <c r="E10" i="39"/>
  <c r="D10" i="39"/>
  <c r="T9" i="39"/>
  <c r="P9" i="39"/>
  <c r="L9" i="39"/>
  <c r="H9" i="39" s="1"/>
  <c r="J9" i="39"/>
  <c r="E9" i="39"/>
  <c r="D9" i="39" s="1"/>
  <c r="T8" i="39"/>
  <c r="P8" i="39"/>
  <c r="L8" i="39"/>
  <c r="H8" i="39" s="1"/>
  <c r="J8" i="39"/>
  <c r="E8" i="39"/>
  <c r="D8" i="39" s="1"/>
  <c r="S2" i="38"/>
  <c r="S37" i="38" s="1"/>
  <c r="R2" i="38"/>
  <c r="R37" i="38" s="1"/>
  <c r="Q2" i="38"/>
  <c r="O2" i="38"/>
  <c r="N2" i="38"/>
  <c r="M2" i="38"/>
  <c r="K2" i="38"/>
  <c r="I2" i="38"/>
  <c r="G2" i="38"/>
  <c r="G37" i="38" s="1"/>
  <c r="G38" i="38" s="1"/>
  <c r="F2" i="38"/>
  <c r="C2" i="38"/>
  <c r="S36" i="38"/>
  <c r="R36" i="38"/>
  <c r="Q36" i="38"/>
  <c r="O36" i="38"/>
  <c r="M36" i="38"/>
  <c r="K36" i="38"/>
  <c r="I36" i="38"/>
  <c r="G36" i="38"/>
  <c r="F36" i="38"/>
  <c r="C36" i="38"/>
  <c r="S35" i="38"/>
  <c r="R35" i="38"/>
  <c r="Q35" i="38"/>
  <c r="O35" i="38"/>
  <c r="N35" i="38"/>
  <c r="M35" i="38"/>
  <c r="K35" i="38"/>
  <c r="I35" i="38"/>
  <c r="G35" i="38"/>
  <c r="F35" i="38"/>
  <c r="C35" i="38"/>
  <c r="S34" i="38"/>
  <c r="R34" i="38"/>
  <c r="T34" i="38" s="1"/>
  <c r="Q34" i="38"/>
  <c r="O34" i="38"/>
  <c r="N34" i="38"/>
  <c r="M34" i="38"/>
  <c r="K34" i="38"/>
  <c r="I34" i="38"/>
  <c r="G34" i="38"/>
  <c r="F34" i="38"/>
  <c r="C34" i="38"/>
  <c r="S33" i="38"/>
  <c r="R33" i="38"/>
  <c r="Q33" i="38"/>
  <c r="O33" i="38"/>
  <c r="N33" i="38"/>
  <c r="M33" i="38"/>
  <c r="K33" i="38"/>
  <c r="I33" i="38"/>
  <c r="G33" i="38"/>
  <c r="F33" i="38"/>
  <c r="C33" i="38"/>
  <c r="S32" i="38"/>
  <c r="R32" i="38"/>
  <c r="Q32" i="38"/>
  <c r="O32" i="38"/>
  <c r="N32" i="38"/>
  <c r="M32" i="38"/>
  <c r="K32" i="38"/>
  <c r="I32" i="38"/>
  <c r="G32" i="38"/>
  <c r="F32" i="38"/>
  <c r="C32" i="38"/>
  <c r="S31" i="38"/>
  <c r="R31" i="38"/>
  <c r="Q31" i="38"/>
  <c r="O31" i="38"/>
  <c r="O37" i="38" s="1"/>
  <c r="O38" i="38" s="1"/>
  <c r="N31" i="38"/>
  <c r="N37" i="38" s="1"/>
  <c r="N38" i="38" s="1"/>
  <c r="M31" i="38"/>
  <c r="K31" i="38"/>
  <c r="K37" i="38"/>
  <c r="K38" i="38" s="1"/>
  <c r="I31" i="38"/>
  <c r="I37" i="38"/>
  <c r="I38" i="38" s="1"/>
  <c r="G31" i="38"/>
  <c r="F31" i="38"/>
  <c r="C31" i="38"/>
  <c r="S30" i="38"/>
  <c r="R30" i="38"/>
  <c r="Q30" i="38"/>
  <c r="O30" i="38"/>
  <c r="N30" i="38"/>
  <c r="M30" i="38"/>
  <c r="K30" i="38"/>
  <c r="I30" i="38"/>
  <c r="G30" i="38"/>
  <c r="F30" i="38"/>
  <c r="C30" i="38"/>
  <c r="S29" i="38"/>
  <c r="R29" i="38"/>
  <c r="Q29" i="38"/>
  <c r="O29" i="38"/>
  <c r="N29" i="38"/>
  <c r="M29" i="38"/>
  <c r="K29" i="38"/>
  <c r="I29" i="38"/>
  <c r="G29" i="38"/>
  <c r="F29" i="38"/>
  <c r="C29" i="38"/>
  <c r="S28" i="38"/>
  <c r="R28" i="38"/>
  <c r="T28" i="38" s="1"/>
  <c r="Q28" i="38"/>
  <c r="O28" i="38"/>
  <c r="N28" i="38"/>
  <c r="M28" i="38"/>
  <c r="K28" i="38"/>
  <c r="I28" i="38"/>
  <c r="G28" i="38"/>
  <c r="F28" i="38"/>
  <c r="C28" i="38"/>
  <c r="S27" i="38"/>
  <c r="R27" i="38"/>
  <c r="Q27" i="38"/>
  <c r="O27" i="38"/>
  <c r="N27" i="38"/>
  <c r="M27" i="38"/>
  <c r="K27" i="38"/>
  <c r="I27" i="38"/>
  <c r="G27" i="38"/>
  <c r="F27" i="38"/>
  <c r="C27" i="38"/>
  <c r="S26" i="38"/>
  <c r="R26" i="38"/>
  <c r="Q26" i="38"/>
  <c r="O26" i="38"/>
  <c r="N26" i="38"/>
  <c r="M26" i="38"/>
  <c r="K26" i="38"/>
  <c r="I26" i="38"/>
  <c r="G26" i="38"/>
  <c r="F26" i="38"/>
  <c r="C26" i="38"/>
  <c r="S25" i="38"/>
  <c r="R25" i="38"/>
  <c r="Q25" i="38"/>
  <c r="O25" i="38"/>
  <c r="N25" i="38"/>
  <c r="M25" i="38"/>
  <c r="K25" i="38"/>
  <c r="I25" i="38"/>
  <c r="G25" i="38"/>
  <c r="F25" i="38"/>
  <c r="C25" i="38"/>
  <c r="S24" i="38"/>
  <c r="R24" i="38"/>
  <c r="Q24" i="38"/>
  <c r="O24" i="38"/>
  <c r="N24" i="38"/>
  <c r="M24" i="38"/>
  <c r="K24" i="38"/>
  <c r="I24" i="38"/>
  <c r="G24" i="38"/>
  <c r="F24" i="38"/>
  <c r="C24" i="38"/>
  <c r="S23" i="38"/>
  <c r="R23" i="38"/>
  <c r="Q23" i="38"/>
  <c r="O23" i="38"/>
  <c r="N23" i="38"/>
  <c r="M23" i="38"/>
  <c r="K23" i="38"/>
  <c r="I23" i="38"/>
  <c r="G23" i="38"/>
  <c r="F23" i="38"/>
  <c r="C23" i="38"/>
  <c r="T23" i="38"/>
  <c r="S21" i="38"/>
  <c r="R21" i="38"/>
  <c r="Q21" i="38"/>
  <c r="O21" i="38"/>
  <c r="N21" i="38"/>
  <c r="M21" i="38"/>
  <c r="K21" i="38"/>
  <c r="I21" i="38"/>
  <c r="G21" i="38"/>
  <c r="F21" i="38"/>
  <c r="C21" i="38"/>
  <c r="T21" i="38" s="1"/>
  <c r="S20" i="38"/>
  <c r="R20" i="38"/>
  <c r="T20" i="38" s="1"/>
  <c r="Q20" i="38"/>
  <c r="O20" i="38"/>
  <c r="N20" i="38"/>
  <c r="M20" i="38"/>
  <c r="K20" i="38"/>
  <c r="I20" i="38"/>
  <c r="G20" i="38"/>
  <c r="F20" i="38"/>
  <c r="C20" i="38"/>
  <c r="T19" i="38"/>
  <c r="P19" i="38"/>
  <c r="L19" i="38"/>
  <c r="J19" i="38"/>
  <c r="H19" i="38"/>
  <c r="U19" i="38" s="1"/>
  <c r="E19" i="38"/>
  <c r="D19" i="38" s="1"/>
  <c r="T18" i="38"/>
  <c r="P18" i="38"/>
  <c r="L18" i="38"/>
  <c r="H18" i="38" s="1"/>
  <c r="U18" i="38" s="1"/>
  <c r="J18" i="38"/>
  <c r="J2" i="39" s="1"/>
  <c r="E18" i="38"/>
  <c r="D18" i="38" s="1"/>
  <c r="T17" i="38"/>
  <c r="P17" i="38"/>
  <c r="L17" i="38"/>
  <c r="J17" i="38"/>
  <c r="E17" i="38"/>
  <c r="D17" i="38" s="1"/>
  <c r="T16" i="38"/>
  <c r="P16" i="38"/>
  <c r="L16" i="38"/>
  <c r="H16" i="38" s="1"/>
  <c r="J16" i="38"/>
  <c r="E16" i="38"/>
  <c r="D16" i="38" s="1"/>
  <c r="T15" i="38"/>
  <c r="P15" i="38"/>
  <c r="L15" i="38"/>
  <c r="H15" i="38" s="1"/>
  <c r="U15" i="38" s="1"/>
  <c r="J15" i="38"/>
  <c r="E15" i="38"/>
  <c r="D15" i="38" s="1"/>
  <c r="T14" i="38"/>
  <c r="P14" i="38"/>
  <c r="L14" i="38"/>
  <c r="H14" i="38" s="1"/>
  <c r="U14" i="38" s="1"/>
  <c r="J14" i="38"/>
  <c r="E14" i="38"/>
  <c r="D14" i="38" s="1"/>
  <c r="T13" i="38"/>
  <c r="P13" i="38"/>
  <c r="L13" i="38"/>
  <c r="H13" i="38" s="1"/>
  <c r="J13" i="38"/>
  <c r="E13" i="38"/>
  <c r="D13" i="38"/>
  <c r="T12" i="38"/>
  <c r="P12" i="38"/>
  <c r="L12" i="38"/>
  <c r="H12" i="38"/>
  <c r="J12" i="38"/>
  <c r="E12" i="38"/>
  <c r="T11" i="38"/>
  <c r="P11" i="38"/>
  <c r="L11" i="38"/>
  <c r="J11" i="38"/>
  <c r="H11" i="38"/>
  <c r="U11" i="38" s="1"/>
  <c r="E11" i="38"/>
  <c r="D11" i="38" s="1"/>
  <c r="T10" i="38"/>
  <c r="P10" i="38"/>
  <c r="L10" i="38"/>
  <c r="J10" i="38"/>
  <c r="E10" i="38"/>
  <c r="D10" i="38"/>
  <c r="T9" i="38"/>
  <c r="P9" i="38"/>
  <c r="L9" i="38"/>
  <c r="H9" i="38" s="1"/>
  <c r="U9" i="38" s="1"/>
  <c r="J9" i="38"/>
  <c r="E9" i="38"/>
  <c r="D9" i="38" s="1"/>
  <c r="T8" i="38"/>
  <c r="P8" i="38"/>
  <c r="L8" i="38"/>
  <c r="H8" i="38" s="1"/>
  <c r="J8" i="38"/>
  <c r="E8" i="38"/>
  <c r="Q37" i="38"/>
  <c r="Q38" i="38" s="1"/>
  <c r="S2" i="37"/>
  <c r="R2" i="37"/>
  <c r="Q2" i="37"/>
  <c r="O2" i="37"/>
  <c r="N2" i="37"/>
  <c r="M2" i="37"/>
  <c r="K2" i="37"/>
  <c r="I2" i="37"/>
  <c r="G2" i="37"/>
  <c r="F2" i="37"/>
  <c r="C2" i="37"/>
  <c r="C37" i="37" s="1"/>
  <c r="S36" i="37"/>
  <c r="R36" i="37"/>
  <c r="Q36" i="37"/>
  <c r="O36" i="37"/>
  <c r="M36" i="37"/>
  <c r="K36" i="37"/>
  <c r="I36" i="37"/>
  <c r="G36" i="37"/>
  <c r="F36" i="37"/>
  <c r="C36" i="37"/>
  <c r="S35" i="37"/>
  <c r="R35" i="37"/>
  <c r="Q35" i="37"/>
  <c r="O35" i="37"/>
  <c r="N35" i="37"/>
  <c r="M35" i="37"/>
  <c r="K35" i="37"/>
  <c r="I35" i="37"/>
  <c r="G35" i="37"/>
  <c r="F35" i="37"/>
  <c r="C35" i="37"/>
  <c r="S34" i="37"/>
  <c r="R34" i="37"/>
  <c r="Q34" i="37"/>
  <c r="O34" i="37"/>
  <c r="N34" i="37"/>
  <c r="M34" i="37"/>
  <c r="K34" i="37"/>
  <c r="I34" i="37"/>
  <c r="G34" i="37"/>
  <c r="F34" i="37"/>
  <c r="C34" i="37"/>
  <c r="S33" i="37"/>
  <c r="R33" i="37"/>
  <c r="Q33" i="37"/>
  <c r="O33" i="37"/>
  <c r="N33" i="37"/>
  <c r="M33" i="37"/>
  <c r="K33" i="37"/>
  <c r="I33" i="37"/>
  <c r="G33" i="37"/>
  <c r="F33" i="37"/>
  <c r="C33" i="37"/>
  <c r="S32" i="37"/>
  <c r="R32" i="37"/>
  <c r="Q32" i="37"/>
  <c r="O32" i="37"/>
  <c r="N32" i="37"/>
  <c r="M32" i="37"/>
  <c r="K32" i="37"/>
  <c r="I32" i="37"/>
  <c r="G32" i="37"/>
  <c r="F32" i="37"/>
  <c r="C32" i="37"/>
  <c r="T32" i="37" s="1"/>
  <c r="S31" i="37"/>
  <c r="R31" i="37"/>
  <c r="Q31" i="37"/>
  <c r="Q37" i="37"/>
  <c r="Q38" i="37" s="1"/>
  <c r="O31" i="37"/>
  <c r="O37" i="37" s="1"/>
  <c r="O38" i="37" s="1"/>
  <c r="N31" i="37"/>
  <c r="M31" i="37"/>
  <c r="K31" i="37"/>
  <c r="K37" i="37" s="1"/>
  <c r="K38" i="37" s="1"/>
  <c r="I31" i="37"/>
  <c r="G31" i="37"/>
  <c r="G37" i="37" s="1"/>
  <c r="G38" i="37" s="1"/>
  <c r="F31" i="37"/>
  <c r="C31" i="37"/>
  <c r="S30" i="37"/>
  <c r="R30" i="37"/>
  <c r="Q30" i="37"/>
  <c r="O30" i="37"/>
  <c r="N30" i="37"/>
  <c r="M30" i="37"/>
  <c r="K30" i="37"/>
  <c r="I30" i="37"/>
  <c r="G30" i="37"/>
  <c r="F30" i="37"/>
  <c r="C30" i="37"/>
  <c r="T30" i="37" s="1"/>
  <c r="S29" i="37"/>
  <c r="R29" i="37"/>
  <c r="T29" i="37" s="1"/>
  <c r="Q29" i="37"/>
  <c r="O29" i="37"/>
  <c r="N29" i="37"/>
  <c r="M29" i="37"/>
  <c r="K29" i="37"/>
  <c r="I29" i="37"/>
  <c r="G29" i="37"/>
  <c r="F29" i="37"/>
  <c r="C29" i="37"/>
  <c r="S28" i="37"/>
  <c r="R28" i="37"/>
  <c r="Q28" i="37"/>
  <c r="O28" i="37"/>
  <c r="N28" i="37"/>
  <c r="M28" i="37"/>
  <c r="K28" i="37"/>
  <c r="I28" i="37"/>
  <c r="G28" i="37"/>
  <c r="F28" i="37"/>
  <c r="C28" i="37"/>
  <c r="S27" i="37"/>
  <c r="R27" i="37"/>
  <c r="Q27" i="37"/>
  <c r="O27" i="37"/>
  <c r="N27" i="37"/>
  <c r="M27" i="37"/>
  <c r="K27" i="37"/>
  <c r="I27" i="37"/>
  <c r="G27" i="37"/>
  <c r="F27" i="37"/>
  <c r="C27" i="37"/>
  <c r="T27" i="37" s="1"/>
  <c r="S26" i="37"/>
  <c r="R26" i="37"/>
  <c r="Q26" i="37"/>
  <c r="O26" i="37"/>
  <c r="N26" i="37"/>
  <c r="M26" i="37"/>
  <c r="K26" i="37"/>
  <c r="I26" i="37"/>
  <c r="G26" i="37"/>
  <c r="F26" i="37"/>
  <c r="C26" i="37"/>
  <c r="T26" i="37"/>
  <c r="S25" i="37"/>
  <c r="R25" i="37"/>
  <c r="Q25" i="37"/>
  <c r="O25" i="37"/>
  <c r="N25" i="37"/>
  <c r="M25" i="37"/>
  <c r="K25" i="37"/>
  <c r="I25" i="37"/>
  <c r="G25" i="37"/>
  <c r="F25" i="37"/>
  <c r="C25" i="37"/>
  <c r="S24" i="37"/>
  <c r="R24" i="37"/>
  <c r="Q24" i="37"/>
  <c r="O24" i="37"/>
  <c r="N24" i="37"/>
  <c r="M24" i="37"/>
  <c r="K24" i="37"/>
  <c r="I24" i="37"/>
  <c r="G24" i="37"/>
  <c r="F24" i="37"/>
  <c r="C24" i="37"/>
  <c r="S23" i="37"/>
  <c r="R23" i="37"/>
  <c r="Q23" i="37"/>
  <c r="O23" i="37"/>
  <c r="N23" i="37"/>
  <c r="M23" i="37"/>
  <c r="K23" i="37"/>
  <c r="I23" i="37"/>
  <c r="G23" i="37"/>
  <c r="F23" i="37"/>
  <c r="C23" i="37"/>
  <c r="T23" i="37" s="1"/>
  <c r="S21" i="37"/>
  <c r="R21" i="37"/>
  <c r="Q21" i="37"/>
  <c r="O21" i="37"/>
  <c r="N21" i="37"/>
  <c r="M21" i="37"/>
  <c r="K21" i="37"/>
  <c r="I21" i="37"/>
  <c r="G21" i="37"/>
  <c r="F21" i="37"/>
  <c r="C21" i="37"/>
  <c r="S20" i="37"/>
  <c r="R20" i="37"/>
  <c r="T20" i="37" s="1"/>
  <c r="Q20" i="37"/>
  <c r="O20" i="37"/>
  <c r="N20" i="37"/>
  <c r="M20" i="37"/>
  <c r="K20" i="37"/>
  <c r="I20" i="37"/>
  <c r="G20" i="37"/>
  <c r="F20" i="37"/>
  <c r="C20" i="37"/>
  <c r="T19" i="37"/>
  <c r="P19" i="37"/>
  <c r="L19" i="37"/>
  <c r="H19" i="37" s="1"/>
  <c r="J19" i="37"/>
  <c r="E19" i="37"/>
  <c r="D19" i="37" s="1"/>
  <c r="T18" i="37"/>
  <c r="P18" i="37"/>
  <c r="L18" i="37"/>
  <c r="J18" i="37"/>
  <c r="H18" i="37"/>
  <c r="U18" i="37" s="1"/>
  <c r="E18" i="37"/>
  <c r="D18" i="37" s="1"/>
  <c r="T17" i="37"/>
  <c r="P17" i="37"/>
  <c r="L17" i="37"/>
  <c r="J17" i="37"/>
  <c r="E17" i="37"/>
  <c r="T16" i="37"/>
  <c r="P16" i="37"/>
  <c r="L16" i="37"/>
  <c r="H16" i="37" s="1"/>
  <c r="U16" i="37" s="1"/>
  <c r="J16" i="37"/>
  <c r="E16" i="37"/>
  <c r="D16" i="37" s="1"/>
  <c r="T15" i="37"/>
  <c r="P15" i="37"/>
  <c r="L15" i="37"/>
  <c r="J15" i="37"/>
  <c r="H15" i="37"/>
  <c r="U15" i="37" s="1"/>
  <c r="E15" i="37"/>
  <c r="D15" i="37" s="1"/>
  <c r="T14" i="37"/>
  <c r="P14" i="37"/>
  <c r="L14" i="37"/>
  <c r="J14" i="37"/>
  <c r="E14" i="37"/>
  <c r="T13" i="37"/>
  <c r="P13" i="37"/>
  <c r="L13" i="37"/>
  <c r="J13" i="37"/>
  <c r="H13" i="37"/>
  <c r="U13" i="37" s="1"/>
  <c r="E13" i="37"/>
  <c r="D13" i="37"/>
  <c r="T12" i="37"/>
  <c r="P12" i="37"/>
  <c r="L12" i="37"/>
  <c r="H12" i="37" s="1"/>
  <c r="U12" i="37" s="1"/>
  <c r="J12" i="37"/>
  <c r="E12" i="37"/>
  <c r="D12" i="37" s="1"/>
  <c r="T11" i="37"/>
  <c r="P11" i="37"/>
  <c r="L11" i="37"/>
  <c r="H11" i="37" s="1"/>
  <c r="U11" i="37" s="1"/>
  <c r="J11" i="37"/>
  <c r="E11" i="37"/>
  <c r="D11" i="37"/>
  <c r="T10" i="37"/>
  <c r="P10" i="37"/>
  <c r="L10" i="37"/>
  <c r="J10" i="37"/>
  <c r="H10" i="37"/>
  <c r="U10" i="37" s="1"/>
  <c r="E10" i="37"/>
  <c r="D10" i="37" s="1"/>
  <c r="T9" i="37"/>
  <c r="P9" i="37"/>
  <c r="L9" i="37"/>
  <c r="J9" i="37"/>
  <c r="E9" i="37"/>
  <c r="D9" i="37"/>
  <c r="T8" i="37"/>
  <c r="P8" i="37"/>
  <c r="L8" i="37"/>
  <c r="H8" i="37" s="1"/>
  <c r="J8" i="37"/>
  <c r="E8" i="37"/>
  <c r="J13" i="36"/>
  <c r="H19" i="35"/>
  <c r="S2" i="36"/>
  <c r="R2" i="36"/>
  <c r="Q2" i="36"/>
  <c r="O2" i="36"/>
  <c r="N2" i="36"/>
  <c r="M2" i="36"/>
  <c r="K2" i="36"/>
  <c r="K37" i="36" s="1"/>
  <c r="K38" i="36" s="1"/>
  <c r="I2" i="36"/>
  <c r="G2" i="36"/>
  <c r="G37" i="36" s="1"/>
  <c r="G38" i="36" s="1"/>
  <c r="F2" i="36"/>
  <c r="F37" i="36" s="1"/>
  <c r="F38" i="36" s="1"/>
  <c r="C2" i="36"/>
  <c r="S36" i="36"/>
  <c r="R36" i="36"/>
  <c r="Q36" i="36"/>
  <c r="O36" i="36"/>
  <c r="M36" i="36"/>
  <c r="K36" i="36"/>
  <c r="I36" i="36"/>
  <c r="G36" i="36"/>
  <c r="F36" i="36"/>
  <c r="C36" i="36"/>
  <c r="S35" i="36"/>
  <c r="R35" i="36"/>
  <c r="T35" i="36" s="1"/>
  <c r="Q35" i="36"/>
  <c r="O35" i="36"/>
  <c r="N35" i="36"/>
  <c r="M35" i="36"/>
  <c r="K35" i="36"/>
  <c r="I35" i="36"/>
  <c r="G35" i="36"/>
  <c r="F35" i="36"/>
  <c r="C35" i="36"/>
  <c r="S34" i="36"/>
  <c r="R34" i="36"/>
  <c r="Q34" i="36"/>
  <c r="O34" i="36"/>
  <c r="N34" i="36"/>
  <c r="M34" i="36"/>
  <c r="K34" i="36"/>
  <c r="I34" i="36"/>
  <c r="G34" i="36"/>
  <c r="F34" i="36"/>
  <c r="C34" i="36"/>
  <c r="S33" i="36"/>
  <c r="R33" i="36"/>
  <c r="T33" i="36"/>
  <c r="Q33" i="36"/>
  <c r="O33" i="36"/>
  <c r="N33" i="36"/>
  <c r="M33" i="36"/>
  <c r="K33" i="36"/>
  <c r="I33" i="36"/>
  <c r="G33" i="36"/>
  <c r="F33" i="36"/>
  <c r="C33" i="36"/>
  <c r="S32" i="36"/>
  <c r="R32" i="36"/>
  <c r="T32" i="36" s="1"/>
  <c r="Q32" i="36"/>
  <c r="O32" i="36"/>
  <c r="N32" i="36"/>
  <c r="M32" i="36"/>
  <c r="K32" i="36"/>
  <c r="I32" i="36"/>
  <c r="G32" i="36"/>
  <c r="F32" i="36"/>
  <c r="C32" i="36"/>
  <c r="S31" i="36"/>
  <c r="R31" i="36"/>
  <c r="Q31" i="36"/>
  <c r="O31" i="36"/>
  <c r="O37" i="36" s="1"/>
  <c r="O38" i="36" s="1"/>
  <c r="N31" i="36"/>
  <c r="N37" i="36" s="1"/>
  <c r="M31" i="36"/>
  <c r="K31" i="36"/>
  <c r="I31" i="36"/>
  <c r="I37" i="36" s="1"/>
  <c r="I38" i="36" s="1"/>
  <c r="G31" i="36"/>
  <c r="F31" i="36"/>
  <c r="C31" i="36"/>
  <c r="S30" i="36"/>
  <c r="R30" i="36"/>
  <c r="Q30" i="36"/>
  <c r="O30" i="36"/>
  <c r="N30" i="36"/>
  <c r="M30" i="36"/>
  <c r="K30" i="36"/>
  <c r="I30" i="36"/>
  <c r="G30" i="36"/>
  <c r="F30" i="36"/>
  <c r="C30" i="36"/>
  <c r="S29" i="36"/>
  <c r="R29" i="36"/>
  <c r="Q29" i="36"/>
  <c r="O29" i="36"/>
  <c r="N29" i="36"/>
  <c r="M29" i="36"/>
  <c r="K29" i="36"/>
  <c r="I29" i="36"/>
  <c r="G29" i="36"/>
  <c r="F29" i="36"/>
  <c r="C29" i="36"/>
  <c r="S28" i="36"/>
  <c r="R28" i="36"/>
  <c r="Q28" i="36"/>
  <c r="O28" i="36"/>
  <c r="N28" i="36"/>
  <c r="M28" i="36"/>
  <c r="K28" i="36"/>
  <c r="I28" i="36"/>
  <c r="G28" i="36"/>
  <c r="F28" i="36"/>
  <c r="C28" i="36"/>
  <c r="S27" i="36"/>
  <c r="R27" i="36"/>
  <c r="Q27" i="36"/>
  <c r="O27" i="36"/>
  <c r="N27" i="36"/>
  <c r="M27" i="36"/>
  <c r="K27" i="36"/>
  <c r="I27" i="36"/>
  <c r="G27" i="36"/>
  <c r="F27" i="36"/>
  <c r="C27" i="36"/>
  <c r="S26" i="36"/>
  <c r="R26" i="36"/>
  <c r="Q26" i="36"/>
  <c r="O26" i="36"/>
  <c r="N26" i="36"/>
  <c r="M26" i="36"/>
  <c r="K26" i="36"/>
  <c r="I26" i="36"/>
  <c r="G26" i="36"/>
  <c r="F26" i="36"/>
  <c r="C26" i="36"/>
  <c r="T26" i="36" s="1"/>
  <c r="S25" i="36"/>
  <c r="R25" i="36"/>
  <c r="Q25" i="36"/>
  <c r="O25" i="36"/>
  <c r="N25" i="36"/>
  <c r="M25" i="36"/>
  <c r="K25" i="36"/>
  <c r="I25" i="36"/>
  <c r="G25" i="36"/>
  <c r="F25" i="36"/>
  <c r="C25" i="36"/>
  <c r="S24" i="36"/>
  <c r="R24" i="36"/>
  <c r="Q24" i="36"/>
  <c r="O24" i="36"/>
  <c r="N24" i="36"/>
  <c r="M24" i="36"/>
  <c r="K24" i="36"/>
  <c r="I24" i="36"/>
  <c r="G24" i="36"/>
  <c r="F24" i="36"/>
  <c r="C24" i="36"/>
  <c r="S23" i="36"/>
  <c r="R23" i="36"/>
  <c r="Q23" i="36"/>
  <c r="O23" i="36"/>
  <c r="N23" i="36"/>
  <c r="M23" i="36"/>
  <c r="K23" i="36"/>
  <c r="I23" i="36"/>
  <c r="G23" i="36"/>
  <c r="F23" i="36"/>
  <c r="C23" i="36"/>
  <c r="S21" i="36"/>
  <c r="R21" i="36"/>
  <c r="Q21" i="36"/>
  <c r="O21" i="36"/>
  <c r="N21" i="36"/>
  <c r="M21" i="36"/>
  <c r="K21" i="36"/>
  <c r="I21" i="36"/>
  <c r="G21" i="36"/>
  <c r="F21" i="36"/>
  <c r="C21" i="36"/>
  <c r="S20" i="36"/>
  <c r="R20" i="36"/>
  <c r="Q20" i="36"/>
  <c r="O20" i="36"/>
  <c r="N20" i="36"/>
  <c r="M20" i="36"/>
  <c r="K20" i="36"/>
  <c r="I20" i="36"/>
  <c r="G20" i="36"/>
  <c r="F20" i="36"/>
  <c r="C20" i="36"/>
  <c r="T20" i="36" s="1"/>
  <c r="T19" i="36"/>
  <c r="P19" i="36"/>
  <c r="L19" i="36"/>
  <c r="H19" i="36"/>
  <c r="J19" i="36"/>
  <c r="E19" i="36"/>
  <c r="D19" i="36" s="1"/>
  <c r="T18" i="36"/>
  <c r="P18" i="36"/>
  <c r="L18" i="36"/>
  <c r="J18" i="36"/>
  <c r="H18" i="36"/>
  <c r="U18" i="36"/>
  <c r="E18" i="36"/>
  <c r="D18" i="36" s="1"/>
  <c r="T17" i="36"/>
  <c r="P17" i="36"/>
  <c r="L17" i="36"/>
  <c r="H17" i="36"/>
  <c r="J17" i="36"/>
  <c r="E17" i="36"/>
  <c r="D17" i="36" s="1"/>
  <c r="T16" i="36"/>
  <c r="P16" i="36"/>
  <c r="L16" i="36"/>
  <c r="H16" i="36" s="1"/>
  <c r="J16" i="36"/>
  <c r="E16" i="36"/>
  <c r="D16" i="36" s="1"/>
  <c r="T15" i="36"/>
  <c r="P15" i="36"/>
  <c r="L15" i="36"/>
  <c r="H15" i="36" s="1"/>
  <c r="U15" i="36" s="1"/>
  <c r="J15" i="36"/>
  <c r="E15" i="36"/>
  <c r="D15" i="36" s="1"/>
  <c r="T14" i="36"/>
  <c r="P14" i="36"/>
  <c r="L14" i="36"/>
  <c r="H14" i="36" s="1"/>
  <c r="J14" i="36"/>
  <c r="E14" i="36"/>
  <c r="T13" i="36"/>
  <c r="P13" i="36"/>
  <c r="L13" i="36"/>
  <c r="E13" i="36"/>
  <c r="T12" i="36"/>
  <c r="P12" i="36"/>
  <c r="L12" i="36"/>
  <c r="H12" i="36" s="1"/>
  <c r="U12" i="36" s="1"/>
  <c r="J12" i="36"/>
  <c r="E12" i="36"/>
  <c r="D12" i="36"/>
  <c r="T11" i="36"/>
  <c r="P11" i="36"/>
  <c r="L11" i="36"/>
  <c r="J11" i="36"/>
  <c r="H11" i="36"/>
  <c r="U11" i="36" s="1"/>
  <c r="E11" i="36"/>
  <c r="D11" i="36"/>
  <c r="T10" i="36"/>
  <c r="P10" i="36"/>
  <c r="L10" i="36"/>
  <c r="J10" i="36"/>
  <c r="H10" i="36"/>
  <c r="U10" i="36" s="1"/>
  <c r="E10" i="36"/>
  <c r="D10" i="36" s="1"/>
  <c r="T9" i="36"/>
  <c r="P9" i="36"/>
  <c r="L9" i="36"/>
  <c r="J9" i="36"/>
  <c r="H9" i="36"/>
  <c r="U9" i="36" s="1"/>
  <c r="E9" i="36"/>
  <c r="D9" i="36" s="1"/>
  <c r="T8" i="36"/>
  <c r="P8" i="36"/>
  <c r="L8" i="36"/>
  <c r="H8" i="36" s="1"/>
  <c r="J8" i="36"/>
  <c r="E8" i="36"/>
  <c r="S37" i="36"/>
  <c r="S38" i="36"/>
  <c r="N38" i="36"/>
  <c r="C20" i="35"/>
  <c r="O36" i="35"/>
  <c r="C36" i="35"/>
  <c r="I36" i="33"/>
  <c r="S36" i="35"/>
  <c r="R36" i="35"/>
  <c r="Q36" i="35"/>
  <c r="G36" i="35"/>
  <c r="G36" i="33"/>
  <c r="E36" i="33" s="1"/>
  <c r="D36" i="33" s="1"/>
  <c r="F36" i="33"/>
  <c r="C36" i="33"/>
  <c r="M36" i="33"/>
  <c r="F2" i="35"/>
  <c r="G2" i="35"/>
  <c r="G37" i="35" s="1"/>
  <c r="G38" i="35" s="1"/>
  <c r="I2" i="35"/>
  <c r="K2" i="35"/>
  <c r="M2" i="35"/>
  <c r="N2" i="35"/>
  <c r="O2" i="35"/>
  <c r="Q2" i="35"/>
  <c r="R2" i="35"/>
  <c r="S2" i="35"/>
  <c r="C2" i="35"/>
  <c r="S35" i="35"/>
  <c r="R35" i="35"/>
  <c r="Q35" i="35"/>
  <c r="N35" i="35"/>
  <c r="G35" i="35"/>
  <c r="S34" i="35"/>
  <c r="R34" i="35"/>
  <c r="Q34" i="35"/>
  <c r="N34" i="35"/>
  <c r="G34" i="35"/>
  <c r="S33" i="35"/>
  <c r="R33" i="35"/>
  <c r="Q33" i="35"/>
  <c r="N33" i="35"/>
  <c r="G33" i="35"/>
  <c r="S32" i="35"/>
  <c r="R32" i="35"/>
  <c r="Q32" i="35"/>
  <c r="N32" i="35"/>
  <c r="G32" i="35"/>
  <c r="S31" i="35"/>
  <c r="S37" i="35" s="1"/>
  <c r="S38" i="35" s="1"/>
  <c r="R31" i="35"/>
  <c r="R37" i="35" s="1"/>
  <c r="R38" i="35" s="1"/>
  <c r="Q31" i="35"/>
  <c r="Q37" i="35" s="1"/>
  <c r="Q38" i="35" s="1"/>
  <c r="N31" i="35"/>
  <c r="G31" i="35"/>
  <c r="S30" i="35"/>
  <c r="R30" i="35"/>
  <c r="Q30" i="35"/>
  <c r="N30" i="35"/>
  <c r="G30" i="35"/>
  <c r="S29" i="35"/>
  <c r="R29" i="35"/>
  <c r="Q29" i="35"/>
  <c r="N29" i="35"/>
  <c r="G29" i="35"/>
  <c r="S28" i="35"/>
  <c r="R28" i="35"/>
  <c r="Q28" i="35"/>
  <c r="N28" i="35"/>
  <c r="G28" i="35"/>
  <c r="S27" i="35"/>
  <c r="R27" i="35"/>
  <c r="Q27" i="35"/>
  <c r="O27" i="35"/>
  <c r="N27" i="35"/>
  <c r="G27" i="35"/>
  <c r="S26" i="35"/>
  <c r="R26" i="35"/>
  <c r="Q26" i="35"/>
  <c r="O26" i="35"/>
  <c r="N26" i="35"/>
  <c r="G26" i="35"/>
  <c r="C26" i="35"/>
  <c r="S25" i="35"/>
  <c r="R25" i="35"/>
  <c r="Q25" i="35"/>
  <c r="O25" i="35"/>
  <c r="N25" i="35"/>
  <c r="G25" i="35"/>
  <c r="S24" i="35"/>
  <c r="R24" i="35"/>
  <c r="Q24" i="35"/>
  <c r="O24" i="35"/>
  <c r="N24" i="35"/>
  <c r="G24" i="35"/>
  <c r="S23" i="35"/>
  <c r="R23" i="35"/>
  <c r="Q23" i="35"/>
  <c r="O23" i="35"/>
  <c r="N23" i="35"/>
  <c r="M23" i="35"/>
  <c r="K23" i="35"/>
  <c r="I23" i="35"/>
  <c r="G23" i="35"/>
  <c r="F23" i="35"/>
  <c r="C23" i="35"/>
  <c r="S21" i="35"/>
  <c r="R21" i="35"/>
  <c r="Q21" i="35"/>
  <c r="O21" i="35"/>
  <c r="N21" i="35"/>
  <c r="G21" i="35"/>
  <c r="S20" i="35"/>
  <c r="R20" i="35"/>
  <c r="T20" i="35"/>
  <c r="Q20" i="35"/>
  <c r="O20" i="35"/>
  <c r="N20" i="35"/>
  <c r="G20" i="35"/>
  <c r="T19" i="35"/>
  <c r="P19" i="35"/>
  <c r="L19" i="35"/>
  <c r="J19" i="35"/>
  <c r="E19" i="35"/>
  <c r="D19" i="35" s="1"/>
  <c r="T18" i="35"/>
  <c r="P18" i="35"/>
  <c r="L18" i="35"/>
  <c r="H18" i="35" s="1"/>
  <c r="U18" i="35" s="1"/>
  <c r="J18" i="35"/>
  <c r="E18" i="35"/>
  <c r="E2" i="36" s="1"/>
  <c r="D18" i="35"/>
  <c r="T17" i="35"/>
  <c r="P17" i="35"/>
  <c r="P2" i="36" s="1"/>
  <c r="L17" i="35"/>
  <c r="H17" i="35" s="1"/>
  <c r="U17" i="35" s="1"/>
  <c r="J17" i="35"/>
  <c r="E17" i="35"/>
  <c r="D17" i="35"/>
  <c r="T16" i="35"/>
  <c r="P16" i="35"/>
  <c r="L16" i="35"/>
  <c r="E16" i="35"/>
  <c r="D16" i="35" s="1"/>
  <c r="T15" i="35"/>
  <c r="P15" i="35"/>
  <c r="L15" i="35"/>
  <c r="E15" i="35"/>
  <c r="D15" i="35" s="1"/>
  <c r="T14" i="35"/>
  <c r="P14" i="35"/>
  <c r="L14" i="35"/>
  <c r="E14" i="35"/>
  <c r="D14" i="35" s="1"/>
  <c r="T13" i="35"/>
  <c r="P13" i="35"/>
  <c r="P12" i="35"/>
  <c r="L12" i="35"/>
  <c r="H12" i="35" s="1"/>
  <c r="U12" i="35" s="1"/>
  <c r="J12" i="35"/>
  <c r="T11" i="35"/>
  <c r="P11" i="35"/>
  <c r="L11" i="35"/>
  <c r="H11" i="35" s="1"/>
  <c r="U11" i="35" s="1"/>
  <c r="J11" i="35"/>
  <c r="E11" i="35"/>
  <c r="D11" i="35" s="1"/>
  <c r="T10" i="35"/>
  <c r="P10" i="35"/>
  <c r="T9" i="35"/>
  <c r="P9" i="35"/>
  <c r="T8" i="35"/>
  <c r="P8" i="35"/>
  <c r="P23" i="35"/>
  <c r="L8" i="35"/>
  <c r="H8" i="35"/>
  <c r="J8" i="35"/>
  <c r="J23" i="35" s="1"/>
  <c r="E8" i="35"/>
  <c r="D8" i="35"/>
  <c r="D23" i="35" s="1"/>
  <c r="E19" i="33"/>
  <c r="K7" i="27"/>
  <c r="C2" i="34"/>
  <c r="F2" i="34"/>
  <c r="G2" i="34"/>
  <c r="K2" i="34"/>
  <c r="M2" i="34"/>
  <c r="N2" i="34"/>
  <c r="O2" i="34"/>
  <c r="Q2" i="34"/>
  <c r="R2" i="34"/>
  <c r="S2" i="34"/>
  <c r="C7" i="34"/>
  <c r="C35" i="34" s="1"/>
  <c r="C36" i="34" s="1"/>
  <c r="G7" i="34"/>
  <c r="G35" i="34" s="1"/>
  <c r="G36" i="34" s="1"/>
  <c r="F7" i="34"/>
  <c r="F35" i="34" s="1"/>
  <c r="F36" i="34" s="1"/>
  <c r="K7" i="34"/>
  <c r="M7" i="34"/>
  <c r="N7" i="34"/>
  <c r="N35" i="34" s="1"/>
  <c r="N36" i="34" s="1"/>
  <c r="O7" i="34"/>
  <c r="Q7" i="34"/>
  <c r="Q35" i="34" s="1"/>
  <c r="R7" i="34"/>
  <c r="S7" i="34"/>
  <c r="E8" i="34"/>
  <c r="D8" i="34"/>
  <c r="L8" i="34"/>
  <c r="L26" i="34" s="1"/>
  <c r="P8" i="34"/>
  <c r="P20" i="34" s="1"/>
  <c r="T8" i="34"/>
  <c r="E9" i="34"/>
  <c r="E26" i="34" s="1"/>
  <c r="L9" i="34"/>
  <c r="J9" i="34"/>
  <c r="I9" i="34"/>
  <c r="P9" i="34"/>
  <c r="P24" i="34" s="1"/>
  <c r="T9" i="34"/>
  <c r="E10" i="34"/>
  <c r="D10" i="34" s="1"/>
  <c r="L10" i="34"/>
  <c r="J10" i="34"/>
  <c r="I10" i="34" s="1"/>
  <c r="H10" i="34" s="1"/>
  <c r="Z52" i="34" s="1"/>
  <c r="P10" i="34"/>
  <c r="T10" i="34"/>
  <c r="E11" i="34"/>
  <c r="D11" i="34"/>
  <c r="L11" i="34"/>
  <c r="L29" i="34" s="1"/>
  <c r="P11" i="34"/>
  <c r="T11" i="34"/>
  <c r="L12" i="34"/>
  <c r="J12" i="34" s="1"/>
  <c r="I12" i="34" s="1"/>
  <c r="H12" i="34" s="1"/>
  <c r="Z56" i="34" s="1"/>
  <c r="AH56" i="34" s="1"/>
  <c r="L13" i="34"/>
  <c r="J13" i="34"/>
  <c r="L14" i="34"/>
  <c r="J14" i="34"/>
  <c r="I14" i="34" s="1"/>
  <c r="H14" i="34"/>
  <c r="L15" i="34"/>
  <c r="J15" i="34" s="1"/>
  <c r="I15" i="34" s="1"/>
  <c r="H15" i="34" s="1"/>
  <c r="L16" i="34"/>
  <c r="J16" i="34"/>
  <c r="I16" i="34" s="1"/>
  <c r="H16" i="34" s="1"/>
  <c r="Z64" i="34" s="1"/>
  <c r="AH64" i="34" s="1"/>
  <c r="L17" i="34"/>
  <c r="J17" i="34" s="1"/>
  <c r="I17" i="34" s="1"/>
  <c r="H17" i="34" s="1"/>
  <c r="Z66" i="34" s="1"/>
  <c r="AH66" i="34" s="1"/>
  <c r="L18" i="34"/>
  <c r="J18" i="34"/>
  <c r="I18" i="34" s="1"/>
  <c r="H18" i="34"/>
  <c r="L19" i="34"/>
  <c r="J19" i="34" s="1"/>
  <c r="I19" i="34" s="1"/>
  <c r="H19" i="34" s="1"/>
  <c r="C20" i="34"/>
  <c r="C21" i="34"/>
  <c r="S20" i="34"/>
  <c r="S21" i="34"/>
  <c r="AM11" i="34"/>
  <c r="R20" i="34"/>
  <c r="R21" i="34"/>
  <c r="AN11" i="34" s="1"/>
  <c r="E12" i="34"/>
  <c r="D12" i="34" s="1"/>
  <c r="D21" i="34"/>
  <c r="P12" i="34"/>
  <c r="T12" i="34"/>
  <c r="E13" i="34"/>
  <c r="D13" i="34" s="1"/>
  <c r="P13" i="34"/>
  <c r="T13" i="34"/>
  <c r="E14" i="34"/>
  <c r="D14" i="34" s="1"/>
  <c r="P14" i="34"/>
  <c r="T14" i="34"/>
  <c r="E15" i="34"/>
  <c r="D15" i="34" s="1"/>
  <c r="P15" i="34"/>
  <c r="T15" i="34"/>
  <c r="E16" i="34"/>
  <c r="D16" i="34" s="1"/>
  <c r="P16" i="34"/>
  <c r="T16" i="34"/>
  <c r="E17" i="34"/>
  <c r="D17" i="34" s="1"/>
  <c r="P17" i="34"/>
  <c r="T17" i="34"/>
  <c r="E18" i="34"/>
  <c r="D18" i="34" s="1"/>
  <c r="P18" i="34"/>
  <c r="T18" i="34"/>
  <c r="AL18" i="34"/>
  <c r="AP18" i="34" s="1"/>
  <c r="AM18" i="34"/>
  <c r="AN18" i="34"/>
  <c r="E19" i="34"/>
  <c r="D19" i="34"/>
  <c r="P19" i="34"/>
  <c r="T19" i="34"/>
  <c r="AL19" i="34"/>
  <c r="AP19" i="34" s="1"/>
  <c r="AM19" i="34"/>
  <c r="AN19" i="34"/>
  <c r="F20" i="34"/>
  <c r="G20" i="34"/>
  <c r="K20" i="34"/>
  <c r="M20" i="34"/>
  <c r="N20" i="34"/>
  <c r="O20" i="34"/>
  <c r="Q20" i="34"/>
  <c r="AL20" i="34"/>
  <c r="AM20" i="34"/>
  <c r="AN20" i="34"/>
  <c r="E21" i="34"/>
  <c r="F21" i="34"/>
  <c r="G21" i="34"/>
  <c r="J21" i="34"/>
  <c r="K21" i="34"/>
  <c r="L21" i="34"/>
  <c r="M21" i="34"/>
  <c r="N21" i="34"/>
  <c r="O21" i="34"/>
  <c r="P21" i="34"/>
  <c r="Q21" i="34"/>
  <c r="AL21" i="34"/>
  <c r="AP21" i="34" s="1"/>
  <c r="AN21" i="34"/>
  <c r="AL22" i="34"/>
  <c r="AP22" i="34" s="1"/>
  <c r="AN22" i="34"/>
  <c r="C23" i="34"/>
  <c r="E23" i="34"/>
  <c r="F23" i="34"/>
  <c r="G23" i="34"/>
  <c r="K23" i="34"/>
  <c r="L23" i="34"/>
  <c r="M23" i="34"/>
  <c r="N23" i="34"/>
  <c r="O23" i="34"/>
  <c r="Q23" i="34"/>
  <c r="R23" i="34"/>
  <c r="T23" i="34" s="1"/>
  <c r="S23" i="34"/>
  <c r="AL23" i="34"/>
  <c r="AN23" i="34"/>
  <c r="AN26" i="34" s="1"/>
  <c r="C24" i="34"/>
  <c r="F24" i="34"/>
  <c r="G24" i="34"/>
  <c r="K24" i="34"/>
  <c r="M24" i="34"/>
  <c r="N24" i="34"/>
  <c r="O24" i="34"/>
  <c r="Q24" i="34"/>
  <c r="R24" i="34"/>
  <c r="T24" i="34" s="1"/>
  <c r="S24" i="34"/>
  <c r="AL24" i="34"/>
  <c r="AM24" i="34"/>
  <c r="AN24" i="34"/>
  <c r="AP24" i="34" s="1"/>
  <c r="C25" i="34"/>
  <c r="F25" i="34"/>
  <c r="G25" i="34"/>
  <c r="K25" i="34"/>
  <c r="M25" i="34"/>
  <c r="N25" i="34"/>
  <c r="O25" i="34"/>
  <c r="Q25" i="34"/>
  <c r="R25" i="34"/>
  <c r="S25" i="34"/>
  <c r="C26" i="34"/>
  <c r="F26" i="34"/>
  <c r="G26" i="34"/>
  <c r="K26" i="34"/>
  <c r="M26" i="34"/>
  <c r="N26" i="34"/>
  <c r="O26" i="34"/>
  <c r="Q26" i="34"/>
  <c r="R26" i="34"/>
  <c r="S26" i="34"/>
  <c r="C27" i="34"/>
  <c r="E27" i="34"/>
  <c r="F27" i="34"/>
  <c r="G27" i="34"/>
  <c r="K27" i="34"/>
  <c r="M27" i="34"/>
  <c r="N27" i="34"/>
  <c r="O27" i="34"/>
  <c r="Q27" i="34"/>
  <c r="R27" i="34"/>
  <c r="S27" i="34"/>
  <c r="C28" i="34"/>
  <c r="T28" i="34" s="1"/>
  <c r="F28" i="34"/>
  <c r="G28" i="34"/>
  <c r="K28" i="34"/>
  <c r="M28" i="34"/>
  <c r="N28" i="34"/>
  <c r="O28" i="34"/>
  <c r="Q28" i="34"/>
  <c r="R28" i="34"/>
  <c r="S28" i="34"/>
  <c r="C29" i="34"/>
  <c r="T29" i="34" s="1"/>
  <c r="F29" i="34"/>
  <c r="G29" i="34"/>
  <c r="K29" i="34"/>
  <c r="M29" i="34"/>
  <c r="N29" i="34"/>
  <c r="O29" i="34"/>
  <c r="Q29" i="34"/>
  <c r="R29" i="34"/>
  <c r="S29" i="34"/>
  <c r="C30" i="34"/>
  <c r="F30" i="34"/>
  <c r="G30" i="34"/>
  <c r="K30" i="34"/>
  <c r="M30" i="34"/>
  <c r="N30" i="34"/>
  <c r="O30" i="34"/>
  <c r="Q30" i="34"/>
  <c r="R30" i="34"/>
  <c r="T30" i="34" s="1"/>
  <c r="S30" i="34"/>
  <c r="C31" i="34"/>
  <c r="C37" i="34" s="1"/>
  <c r="F31" i="34"/>
  <c r="F37" i="34" s="1"/>
  <c r="G31" i="34"/>
  <c r="G37" i="34" s="1"/>
  <c r="K31" i="34"/>
  <c r="M31" i="34"/>
  <c r="M37" i="34" s="1"/>
  <c r="N31" i="34"/>
  <c r="O31" i="34"/>
  <c r="Q31" i="34"/>
  <c r="R31" i="34"/>
  <c r="S31" i="34"/>
  <c r="S37" i="34" s="1"/>
  <c r="C32" i="34"/>
  <c r="T32" i="34" s="1"/>
  <c r="F32" i="34"/>
  <c r="G32" i="34"/>
  <c r="K32" i="34"/>
  <c r="M32" i="34"/>
  <c r="N32" i="34"/>
  <c r="O32" i="34"/>
  <c r="P32" i="34"/>
  <c r="Q32" i="34"/>
  <c r="R32" i="34"/>
  <c r="S32" i="34"/>
  <c r="C33" i="34"/>
  <c r="F33" i="34"/>
  <c r="G33" i="34"/>
  <c r="K33" i="34"/>
  <c r="M33" i="34"/>
  <c r="N33" i="34"/>
  <c r="O33" i="34"/>
  <c r="Q33" i="34"/>
  <c r="R33" i="34"/>
  <c r="T33" i="34" s="1"/>
  <c r="S33" i="34"/>
  <c r="C34" i="34"/>
  <c r="F34" i="34"/>
  <c r="G34" i="34"/>
  <c r="K34" i="34"/>
  <c r="M34" i="34"/>
  <c r="N34" i="34"/>
  <c r="O34" i="34"/>
  <c r="Q34" i="34"/>
  <c r="R34" i="34"/>
  <c r="T34" i="34" s="1"/>
  <c r="S34" i="34"/>
  <c r="K35" i="34"/>
  <c r="K36" i="34" s="1"/>
  <c r="O35" i="34"/>
  <c r="O36" i="34" s="1"/>
  <c r="S35" i="34"/>
  <c r="S36" i="34" s="1"/>
  <c r="Q36" i="34"/>
  <c r="O37" i="34"/>
  <c r="Q37" i="34"/>
  <c r="C38" i="34"/>
  <c r="F38" i="34"/>
  <c r="G38" i="34"/>
  <c r="K38" i="34"/>
  <c r="M38" i="34"/>
  <c r="N38" i="34"/>
  <c r="O38" i="34"/>
  <c r="Q38" i="34"/>
  <c r="R38" i="34"/>
  <c r="S38" i="34"/>
  <c r="M43" i="34"/>
  <c r="R43" i="34" s="1"/>
  <c r="R42" i="34" s="1"/>
  <c r="N43" i="34"/>
  <c r="G43" i="34"/>
  <c r="L43" i="34"/>
  <c r="K44" i="34"/>
  <c r="L44" i="34"/>
  <c r="M44" i="34"/>
  <c r="N44" i="34"/>
  <c r="Z44" i="34"/>
  <c r="L47" i="34"/>
  <c r="M47" i="34"/>
  <c r="N47" i="34"/>
  <c r="AD47" i="34"/>
  <c r="Y48" i="34"/>
  <c r="AB48" i="34"/>
  <c r="AD48" i="34"/>
  <c r="AE48" i="34"/>
  <c r="AF48" i="34"/>
  <c r="AG48" i="34"/>
  <c r="AD49" i="34"/>
  <c r="Y50" i="34"/>
  <c r="AB50" i="34"/>
  <c r="AD50" i="34"/>
  <c r="AC50" i="34" s="1"/>
  <c r="AE50" i="34"/>
  <c r="AF50" i="34"/>
  <c r="AG50" i="34"/>
  <c r="AD51" i="34"/>
  <c r="AC52" i="34" s="1"/>
  <c r="Y52" i="34"/>
  <c r="AB52" i="34"/>
  <c r="AD52" i="34"/>
  <c r="AE52" i="34"/>
  <c r="AF52" i="34"/>
  <c r="AD53" i="34"/>
  <c r="AC54" i="34" s="1"/>
  <c r="C54" i="34"/>
  <c r="D54" i="34"/>
  <c r="E54" i="34"/>
  <c r="F54" i="34"/>
  <c r="F55" i="34" s="1"/>
  <c r="G54" i="34"/>
  <c r="H54" i="34"/>
  <c r="H55" i="34" s="1"/>
  <c r="Y54" i="34"/>
  <c r="AB54" i="34"/>
  <c r="AD54" i="34"/>
  <c r="AE54" i="34"/>
  <c r="AF54" i="34"/>
  <c r="N55" i="34"/>
  <c r="AD55" i="34"/>
  <c r="N56" i="34"/>
  <c r="Y56" i="34"/>
  <c r="AB56" i="34"/>
  <c r="AD56" i="34"/>
  <c r="AE56" i="34"/>
  <c r="AF56" i="34"/>
  <c r="AD57" i="34"/>
  <c r="Y58" i="34"/>
  <c r="AB58" i="34"/>
  <c r="AD58" i="34"/>
  <c r="AE58" i="34"/>
  <c r="AF58" i="34"/>
  <c r="K59" i="34"/>
  <c r="L59" i="34"/>
  <c r="M59" i="34"/>
  <c r="N59" i="34"/>
  <c r="R59" i="34"/>
  <c r="S59" i="34"/>
  <c r="AD59" i="34"/>
  <c r="AC60" i="34" s="1"/>
  <c r="Y60" i="34"/>
  <c r="AB60" i="34"/>
  <c r="AD60" i="34"/>
  <c r="AE60" i="34"/>
  <c r="AF60" i="34"/>
  <c r="K61" i="34"/>
  <c r="L61" i="34"/>
  <c r="M61" i="34"/>
  <c r="N61" i="34"/>
  <c r="R61" i="34"/>
  <c r="S61" i="34"/>
  <c r="AD61" i="34"/>
  <c r="Y62" i="34"/>
  <c r="Z62" i="34"/>
  <c r="AH62" i="34" s="1"/>
  <c r="AB62" i="34"/>
  <c r="AD62" i="34"/>
  <c r="AE62" i="34"/>
  <c r="AF62" i="34"/>
  <c r="K63" i="34"/>
  <c r="L63" i="34"/>
  <c r="M63" i="34"/>
  <c r="N63" i="34"/>
  <c r="R63" i="34"/>
  <c r="S63" i="34"/>
  <c r="AD63" i="34"/>
  <c r="C64" i="34"/>
  <c r="D64" i="34"/>
  <c r="E64" i="34"/>
  <c r="F64" i="34"/>
  <c r="F65" i="34" s="1"/>
  <c r="G64" i="34"/>
  <c r="G65" i="34" s="1"/>
  <c r="H64" i="34"/>
  <c r="H65" i="34" s="1"/>
  <c r="Y64" i="34"/>
  <c r="AG64" i="34" s="1"/>
  <c r="AB64" i="34"/>
  <c r="AD64" i="34"/>
  <c r="AC64" i="34"/>
  <c r="AE64" i="34"/>
  <c r="AF64" i="34"/>
  <c r="AD65" i="34"/>
  <c r="Y66" i="34"/>
  <c r="AG66" i="34" s="1"/>
  <c r="AB66" i="34"/>
  <c r="AD66" i="34"/>
  <c r="AE66" i="34"/>
  <c r="AF66" i="34"/>
  <c r="AD67" i="34"/>
  <c r="AC68" i="34" s="1"/>
  <c r="Y68" i="34"/>
  <c r="Z68" i="34"/>
  <c r="AB68" i="34"/>
  <c r="AD68" i="34"/>
  <c r="AE68" i="34"/>
  <c r="AF68" i="34"/>
  <c r="AI68" i="34"/>
  <c r="AD69" i="34"/>
  <c r="Y70" i="34"/>
  <c r="AG70" i="34" s="1"/>
  <c r="Z70" i="34"/>
  <c r="AB70" i="34"/>
  <c r="AD70" i="34"/>
  <c r="AE70" i="34"/>
  <c r="AF70" i="34"/>
  <c r="AB74" i="34"/>
  <c r="AD73" i="34"/>
  <c r="Y74" i="34"/>
  <c r="AG74" i="34" s="1"/>
  <c r="AD74" i="34"/>
  <c r="AE74" i="34"/>
  <c r="AF74" i="34"/>
  <c r="AD76" i="34"/>
  <c r="AB78" i="34"/>
  <c r="AD77" i="34"/>
  <c r="Y78" i="34"/>
  <c r="AD78" i="34"/>
  <c r="AE78" i="34"/>
  <c r="AG78" i="34" s="1"/>
  <c r="AF78" i="34"/>
  <c r="I36" i="32"/>
  <c r="S36" i="32"/>
  <c r="C36" i="32"/>
  <c r="R36" i="32"/>
  <c r="Q36" i="32"/>
  <c r="O36" i="32"/>
  <c r="N36" i="32"/>
  <c r="M36" i="32"/>
  <c r="K36" i="32"/>
  <c r="G36" i="32"/>
  <c r="F36" i="32"/>
  <c r="S35" i="32"/>
  <c r="C35" i="32"/>
  <c r="R35" i="32"/>
  <c r="Q35" i="32"/>
  <c r="O35" i="32"/>
  <c r="N35" i="32"/>
  <c r="M35" i="32"/>
  <c r="K35" i="32"/>
  <c r="I35" i="32"/>
  <c r="G35" i="32"/>
  <c r="F35" i="32"/>
  <c r="O36" i="33"/>
  <c r="Q36" i="33"/>
  <c r="P11" i="33"/>
  <c r="P12" i="33"/>
  <c r="P28" i="33" s="1"/>
  <c r="P13" i="33"/>
  <c r="P14" i="33"/>
  <c r="P15" i="33"/>
  <c r="P16" i="33"/>
  <c r="P17" i="33"/>
  <c r="P2" i="35" s="1"/>
  <c r="P18" i="33"/>
  <c r="L11" i="33"/>
  <c r="H11" i="33" s="1"/>
  <c r="U11" i="33" s="1"/>
  <c r="L12" i="33"/>
  <c r="L13" i="33"/>
  <c r="L14" i="33"/>
  <c r="H14" i="33" s="1"/>
  <c r="U14" i="33" s="1"/>
  <c r="L15" i="33"/>
  <c r="H15" i="33" s="1"/>
  <c r="L16" i="33"/>
  <c r="L17" i="33"/>
  <c r="L18" i="33"/>
  <c r="J11" i="33"/>
  <c r="J12" i="33"/>
  <c r="J33" i="33" s="1"/>
  <c r="J13" i="33"/>
  <c r="J14" i="33"/>
  <c r="J15" i="33"/>
  <c r="J16" i="33"/>
  <c r="J17" i="33"/>
  <c r="J18" i="33"/>
  <c r="E11" i="33"/>
  <c r="D11" i="33" s="1"/>
  <c r="E12" i="33"/>
  <c r="E13" i="33"/>
  <c r="E14" i="33"/>
  <c r="E15" i="33"/>
  <c r="E16" i="33"/>
  <c r="E17" i="33"/>
  <c r="E18" i="33"/>
  <c r="D12" i="33"/>
  <c r="D13" i="33"/>
  <c r="D14" i="33"/>
  <c r="D15" i="33"/>
  <c r="D16" i="33"/>
  <c r="D17" i="33"/>
  <c r="D18" i="33"/>
  <c r="S36" i="33"/>
  <c r="R36" i="33"/>
  <c r="K36" i="33"/>
  <c r="H12" i="33"/>
  <c r="U12" i="33" s="1"/>
  <c r="H16" i="33"/>
  <c r="U16" i="33" s="1"/>
  <c r="H18" i="33"/>
  <c r="U18" i="33" s="1"/>
  <c r="S21" i="33"/>
  <c r="R21" i="33"/>
  <c r="Q21" i="33"/>
  <c r="P8" i="33"/>
  <c r="P24" i="33" s="1"/>
  <c r="P9" i="33"/>
  <c r="P10" i="33"/>
  <c r="O21" i="33"/>
  <c r="N21" i="33"/>
  <c r="L8" i="33"/>
  <c r="L33" i="33" s="1"/>
  <c r="L9" i="33"/>
  <c r="H9" i="33" s="1"/>
  <c r="V9" i="33" s="1"/>
  <c r="L10" i="33"/>
  <c r="J8" i="33"/>
  <c r="J26" i="33" s="1"/>
  <c r="J9" i="33"/>
  <c r="J10" i="33"/>
  <c r="I21" i="33"/>
  <c r="H10" i="33"/>
  <c r="G21" i="33"/>
  <c r="E8" i="33"/>
  <c r="E23" i="33" s="1"/>
  <c r="E9" i="33"/>
  <c r="D9" i="33" s="1"/>
  <c r="E10" i="33"/>
  <c r="C21" i="33"/>
  <c r="S31" i="33"/>
  <c r="R31" i="33"/>
  <c r="Q31" i="33"/>
  <c r="O31" i="33"/>
  <c r="N31" i="33"/>
  <c r="M31" i="33"/>
  <c r="K31" i="33"/>
  <c r="I31" i="33"/>
  <c r="G31" i="33"/>
  <c r="F31" i="33"/>
  <c r="E31" i="33"/>
  <c r="C31" i="33"/>
  <c r="S21" i="32"/>
  <c r="R21" i="32"/>
  <c r="T21" i="32" s="1"/>
  <c r="Q21" i="32"/>
  <c r="O21" i="32"/>
  <c r="N21" i="32"/>
  <c r="M21" i="32"/>
  <c r="K21" i="32"/>
  <c r="I21" i="32"/>
  <c r="G21" i="32"/>
  <c r="F21" i="32"/>
  <c r="C21" i="32"/>
  <c r="S35" i="33"/>
  <c r="C35" i="33"/>
  <c r="T35" i="33" s="1"/>
  <c r="R35" i="33"/>
  <c r="T36" i="33"/>
  <c r="C34" i="33"/>
  <c r="R34" i="33"/>
  <c r="C33" i="33"/>
  <c r="R33" i="33"/>
  <c r="T33" i="33"/>
  <c r="S34" i="33"/>
  <c r="Q34" i="33"/>
  <c r="O34" i="33"/>
  <c r="N34" i="33"/>
  <c r="I34" i="33"/>
  <c r="G34" i="33"/>
  <c r="S33" i="33"/>
  <c r="Q33" i="33"/>
  <c r="O33" i="33"/>
  <c r="N33" i="33"/>
  <c r="M33" i="33"/>
  <c r="K33" i="33"/>
  <c r="I33" i="33"/>
  <c r="G33" i="33"/>
  <c r="F33" i="33"/>
  <c r="S32" i="33"/>
  <c r="R32" i="33"/>
  <c r="C32" i="33"/>
  <c r="Q32" i="33"/>
  <c r="O32" i="33"/>
  <c r="N32" i="33"/>
  <c r="M32" i="33"/>
  <c r="K32" i="33"/>
  <c r="I32" i="33"/>
  <c r="G32" i="33"/>
  <c r="F32" i="33"/>
  <c r="T31" i="33"/>
  <c r="S30" i="33"/>
  <c r="C30" i="33"/>
  <c r="R30" i="33"/>
  <c r="Q30" i="33"/>
  <c r="O30" i="33"/>
  <c r="N30" i="33"/>
  <c r="M30" i="33"/>
  <c r="K30" i="33"/>
  <c r="I30" i="33"/>
  <c r="G30" i="33"/>
  <c r="F30" i="33"/>
  <c r="S29" i="33"/>
  <c r="R29" i="33"/>
  <c r="T29" i="33" s="1"/>
  <c r="C29" i="33"/>
  <c r="Q29" i="33"/>
  <c r="O29" i="33"/>
  <c r="N29" i="33"/>
  <c r="M29" i="33"/>
  <c r="K29" i="33"/>
  <c r="I29" i="33"/>
  <c r="G29" i="33"/>
  <c r="F29" i="33"/>
  <c r="S28" i="33"/>
  <c r="R28" i="33"/>
  <c r="C28" i="33"/>
  <c r="T28" i="33" s="1"/>
  <c r="Q28" i="33"/>
  <c r="O28" i="33"/>
  <c r="N28" i="33"/>
  <c r="M28" i="33"/>
  <c r="K28" i="33"/>
  <c r="I28" i="33"/>
  <c r="G28" i="33"/>
  <c r="F28" i="33"/>
  <c r="S27" i="33"/>
  <c r="C27" i="33"/>
  <c r="T27" i="33" s="1"/>
  <c r="R27" i="33"/>
  <c r="Q27" i="33"/>
  <c r="O27" i="33"/>
  <c r="N27" i="33"/>
  <c r="M27" i="33"/>
  <c r="K27" i="33"/>
  <c r="I27" i="33"/>
  <c r="G27" i="33"/>
  <c r="F27" i="33"/>
  <c r="S26" i="33"/>
  <c r="C26" i="33"/>
  <c r="R26" i="33"/>
  <c r="Q26" i="33"/>
  <c r="O26" i="33"/>
  <c r="N26" i="33"/>
  <c r="M26" i="33"/>
  <c r="K26" i="33"/>
  <c r="I26" i="33"/>
  <c r="G26" i="33"/>
  <c r="F26" i="33"/>
  <c r="S25" i="33"/>
  <c r="R25" i="33"/>
  <c r="C25" i="33"/>
  <c r="Q25" i="33"/>
  <c r="O25" i="33"/>
  <c r="N25" i="33"/>
  <c r="M25" i="33"/>
  <c r="K25" i="33"/>
  <c r="I25" i="33"/>
  <c r="G25" i="33"/>
  <c r="F25" i="33"/>
  <c r="S24" i="33"/>
  <c r="R24" i="33"/>
  <c r="C24" i="33"/>
  <c r="T24" i="33" s="1"/>
  <c r="Q24" i="33"/>
  <c r="O24" i="33"/>
  <c r="N24" i="33"/>
  <c r="M24" i="33"/>
  <c r="K24" i="33"/>
  <c r="I24" i="33"/>
  <c r="G24" i="33"/>
  <c r="F24" i="33"/>
  <c r="S23" i="33"/>
  <c r="C23" i="33"/>
  <c r="T23" i="33" s="1"/>
  <c r="R23" i="33"/>
  <c r="Q23" i="33"/>
  <c r="O23" i="33"/>
  <c r="N23" i="33"/>
  <c r="M23" i="33"/>
  <c r="K23" i="33"/>
  <c r="J23" i="33"/>
  <c r="I23" i="33"/>
  <c r="G23" i="33"/>
  <c r="F23" i="33"/>
  <c r="C20" i="33"/>
  <c r="T20" i="33" s="1"/>
  <c r="R20" i="33"/>
  <c r="T19" i="33"/>
  <c r="T18" i="33"/>
  <c r="T17" i="33"/>
  <c r="T16" i="33"/>
  <c r="T15" i="33"/>
  <c r="T14" i="33"/>
  <c r="T13" i="33"/>
  <c r="T12" i="33"/>
  <c r="T11" i="33"/>
  <c r="T10" i="33"/>
  <c r="T9" i="33"/>
  <c r="T8" i="33"/>
  <c r="C2" i="33"/>
  <c r="C37" i="33" s="1"/>
  <c r="S20" i="33"/>
  <c r="V18" i="33"/>
  <c r="V16" i="33"/>
  <c r="V12" i="33"/>
  <c r="S2" i="33"/>
  <c r="S37" i="33" s="1"/>
  <c r="S38" i="33" s="1"/>
  <c r="R2" i="33"/>
  <c r="R37" i="33" s="1"/>
  <c r="R38" i="33" s="1"/>
  <c r="Q2" i="33"/>
  <c r="Q37" i="33" s="1"/>
  <c r="Q38" i="33"/>
  <c r="O2" i="33"/>
  <c r="N2" i="33"/>
  <c r="N37" i="33" s="1"/>
  <c r="N38" i="33" s="1"/>
  <c r="M2" i="33"/>
  <c r="M37" i="33"/>
  <c r="M38" i="33" s="1"/>
  <c r="K2" i="33"/>
  <c r="K37" i="33" s="1"/>
  <c r="K38" i="33" s="1"/>
  <c r="I2" i="33"/>
  <c r="G2" i="33"/>
  <c r="G37" i="33" s="1"/>
  <c r="G38" i="33" s="1"/>
  <c r="F2" i="33"/>
  <c r="F37" i="33" s="1"/>
  <c r="F38" i="33" s="1"/>
  <c r="P19" i="33"/>
  <c r="G20" i="33"/>
  <c r="I20" i="33"/>
  <c r="N20" i="33"/>
  <c r="O20" i="33"/>
  <c r="Q20" i="33"/>
  <c r="F35" i="33"/>
  <c r="G35" i="33"/>
  <c r="I35" i="33"/>
  <c r="K35" i="33"/>
  <c r="M35" i="33"/>
  <c r="N35" i="33"/>
  <c r="O35" i="33"/>
  <c r="Q35" i="33"/>
  <c r="J14" i="32"/>
  <c r="J8" i="32"/>
  <c r="J28" i="32" s="1"/>
  <c r="J9" i="32"/>
  <c r="J24" i="32" s="1"/>
  <c r="J10" i="32"/>
  <c r="C2" i="32"/>
  <c r="S2" i="32"/>
  <c r="R2" i="32"/>
  <c r="Q2" i="32"/>
  <c r="O2" i="32"/>
  <c r="N2" i="32"/>
  <c r="M2" i="32"/>
  <c r="K2" i="32"/>
  <c r="K37" i="32" s="1"/>
  <c r="K38" i="32" s="1"/>
  <c r="I2" i="32"/>
  <c r="G2" i="32"/>
  <c r="G37" i="32" s="1"/>
  <c r="G38" i="32" s="1"/>
  <c r="F2" i="32"/>
  <c r="E8" i="32"/>
  <c r="D8" i="32"/>
  <c r="L8" i="32"/>
  <c r="H8" i="32" s="1"/>
  <c r="P8" i="32"/>
  <c r="P24" i="32" s="1"/>
  <c r="T8" i="32"/>
  <c r="V8" i="32"/>
  <c r="E9" i="32"/>
  <c r="D9" i="32" s="1"/>
  <c r="L9" i="32"/>
  <c r="H9" i="32"/>
  <c r="P9" i="32"/>
  <c r="T9" i="32"/>
  <c r="E10" i="32"/>
  <c r="L10" i="32"/>
  <c r="P10" i="32"/>
  <c r="T10" i="32"/>
  <c r="E11" i="32"/>
  <c r="D11" i="32"/>
  <c r="L11" i="32"/>
  <c r="H11" i="32"/>
  <c r="U11" i="32" s="1"/>
  <c r="J11" i="32"/>
  <c r="P11" i="32"/>
  <c r="T11" i="32"/>
  <c r="L12" i="32"/>
  <c r="H12" i="32" s="1"/>
  <c r="U12" i="32" s="1"/>
  <c r="L13" i="32"/>
  <c r="L14" i="32"/>
  <c r="H14" i="32"/>
  <c r="U14" i="32" s="1"/>
  <c r="L15" i="32"/>
  <c r="L16" i="32"/>
  <c r="H16" i="32"/>
  <c r="U16" i="32" s="1"/>
  <c r="L17" i="32"/>
  <c r="L18" i="32"/>
  <c r="H18" i="32" s="1"/>
  <c r="L19" i="32"/>
  <c r="H19" i="32"/>
  <c r="U19" i="32" s="1"/>
  <c r="C20" i="32"/>
  <c r="S20" i="32"/>
  <c r="R20" i="32"/>
  <c r="E12" i="32"/>
  <c r="D12" i="32" s="1"/>
  <c r="J12" i="32"/>
  <c r="P12" i="32"/>
  <c r="T12" i="32"/>
  <c r="E13" i="32"/>
  <c r="D13" i="32" s="1"/>
  <c r="J13" i="32"/>
  <c r="P13" i="32"/>
  <c r="T13" i="32"/>
  <c r="E14" i="32"/>
  <c r="P14" i="32"/>
  <c r="T14" i="32"/>
  <c r="E15" i="32"/>
  <c r="D15" i="32" s="1"/>
  <c r="J15" i="32"/>
  <c r="P15" i="32"/>
  <c r="T15" i="32"/>
  <c r="E16" i="32"/>
  <c r="D16" i="32" s="1"/>
  <c r="J16" i="32"/>
  <c r="P16" i="32"/>
  <c r="T16" i="32"/>
  <c r="E17" i="32"/>
  <c r="J17" i="32"/>
  <c r="P17" i="32"/>
  <c r="T17" i="32"/>
  <c r="E18" i="32"/>
  <c r="D18" i="32"/>
  <c r="J18" i="32"/>
  <c r="P18" i="32"/>
  <c r="T18" i="32"/>
  <c r="E19" i="32"/>
  <c r="D19" i="32" s="1"/>
  <c r="J19" i="32"/>
  <c r="P19" i="32"/>
  <c r="T19" i="32"/>
  <c r="F20" i="32"/>
  <c r="G20" i="32"/>
  <c r="I20" i="32"/>
  <c r="K20" i="32"/>
  <c r="M20" i="32"/>
  <c r="N20" i="32"/>
  <c r="O20" i="32"/>
  <c r="Q20" i="32"/>
  <c r="T20" i="32"/>
  <c r="C23" i="32"/>
  <c r="T23" i="32"/>
  <c r="F23" i="32"/>
  <c r="G23" i="32"/>
  <c r="H23" i="32"/>
  <c r="U23" i="32" s="1"/>
  <c r="I23" i="32"/>
  <c r="J23" i="32"/>
  <c r="K23" i="32"/>
  <c r="L23" i="32"/>
  <c r="M23" i="32"/>
  <c r="N23" i="32"/>
  <c r="O23" i="32"/>
  <c r="P23" i="32"/>
  <c r="Q23" i="32"/>
  <c r="R23" i="32"/>
  <c r="S23" i="32"/>
  <c r="C24" i="32"/>
  <c r="T24" i="32" s="1"/>
  <c r="E24" i="32"/>
  <c r="F24" i="32"/>
  <c r="G24" i="32"/>
  <c r="I24" i="32"/>
  <c r="K24" i="32"/>
  <c r="L24" i="32"/>
  <c r="M24" i="32"/>
  <c r="N24" i="32"/>
  <c r="O24" i="32"/>
  <c r="Q24" i="32"/>
  <c r="R24" i="32"/>
  <c r="S24" i="32"/>
  <c r="C25" i="32"/>
  <c r="T25" i="32" s="1"/>
  <c r="E25" i="32"/>
  <c r="F25" i="32"/>
  <c r="G25" i="32"/>
  <c r="I25" i="32"/>
  <c r="K25" i="32"/>
  <c r="M25" i="32"/>
  <c r="N25" i="32"/>
  <c r="O25" i="32"/>
  <c r="Q25" i="32"/>
  <c r="R25" i="32"/>
  <c r="S25" i="32"/>
  <c r="C26" i="32"/>
  <c r="T26" i="32" s="1"/>
  <c r="F26" i="32"/>
  <c r="G26" i="32"/>
  <c r="I26" i="32"/>
  <c r="K26" i="32"/>
  <c r="M26" i="32"/>
  <c r="N26" i="32"/>
  <c r="O26" i="32"/>
  <c r="Q26" i="32"/>
  <c r="R26" i="32"/>
  <c r="S26" i="32"/>
  <c r="C27" i="32"/>
  <c r="T27" i="32" s="1"/>
  <c r="F27" i="32"/>
  <c r="G27" i="32"/>
  <c r="I27" i="32"/>
  <c r="K27" i="32"/>
  <c r="M27" i="32"/>
  <c r="N27" i="32"/>
  <c r="O27" i="32"/>
  <c r="Q27" i="32"/>
  <c r="R27" i="32"/>
  <c r="S27" i="32"/>
  <c r="C28" i="32"/>
  <c r="F28" i="32"/>
  <c r="G28" i="32"/>
  <c r="I28" i="32"/>
  <c r="K28" i="32"/>
  <c r="M28" i="32"/>
  <c r="N28" i="32"/>
  <c r="O28" i="32"/>
  <c r="Q28" i="32"/>
  <c r="R28" i="32"/>
  <c r="T28" i="32" s="1"/>
  <c r="S28" i="32"/>
  <c r="C29" i="32"/>
  <c r="F29" i="32"/>
  <c r="G29" i="32"/>
  <c r="I29" i="32"/>
  <c r="K29" i="32"/>
  <c r="M29" i="32"/>
  <c r="N29" i="32"/>
  <c r="O29" i="32"/>
  <c r="Q29" i="32"/>
  <c r="R29" i="32"/>
  <c r="T29" i="32" s="1"/>
  <c r="S29" i="32"/>
  <c r="C30" i="32"/>
  <c r="F30" i="32"/>
  <c r="G30" i="32"/>
  <c r="I30" i="32"/>
  <c r="K30" i="32"/>
  <c r="M30" i="32"/>
  <c r="N30" i="32"/>
  <c r="O30" i="32"/>
  <c r="Q30" i="32"/>
  <c r="R30" i="32"/>
  <c r="S30" i="32"/>
  <c r="C31" i="32"/>
  <c r="F31" i="32"/>
  <c r="F37" i="32" s="1"/>
  <c r="F38" i="32" s="1"/>
  <c r="G31" i="32"/>
  <c r="I31" i="32"/>
  <c r="K31" i="32"/>
  <c r="M31" i="32"/>
  <c r="N31" i="32"/>
  <c r="N37" i="32" s="1"/>
  <c r="N38" i="32" s="1"/>
  <c r="O31" i="32"/>
  <c r="Q31" i="32"/>
  <c r="Q37" i="32" s="1"/>
  <c r="Q38" i="32" s="1"/>
  <c r="R31" i="32"/>
  <c r="S31" i="32"/>
  <c r="C32" i="32"/>
  <c r="F32" i="32"/>
  <c r="G32" i="32"/>
  <c r="I32" i="32"/>
  <c r="K32" i="32"/>
  <c r="M32" i="32"/>
  <c r="N32" i="32"/>
  <c r="O32" i="32"/>
  <c r="Q32" i="32"/>
  <c r="R32" i="32"/>
  <c r="T32" i="32" s="1"/>
  <c r="S32" i="32"/>
  <c r="C33" i="32"/>
  <c r="F33" i="32"/>
  <c r="G33" i="32"/>
  <c r="I33" i="32"/>
  <c r="K33" i="32"/>
  <c r="M33" i="32"/>
  <c r="N33" i="32"/>
  <c r="O33" i="32"/>
  <c r="Q33" i="32"/>
  <c r="R33" i="32"/>
  <c r="T33" i="32" s="1"/>
  <c r="S33" i="32"/>
  <c r="C34" i="32"/>
  <c r="F34" i="32"/>
  <c r="G34" i="32"/>
  <c r="I34" i="32"/>
  <c r="K34" i="32"/>
  <c r="M34" i="32"/>
  <c r="N34" i="32"/>
  <c r="O34" i="32"/>
  <c r="Q34" i="32"/>
  <c r="R34" i="32"/>
  <c r="S34" i="32"/>
  <c r="M37" i="32"/>
  <c r="M38" i="32" s="1"/>
  <c r="S37" i="32"/>
  <c r="S38" i="32" s="1"/>
  <c r="E14" i="31"/>
  <c r="E15" i="31"/>
  <c r="D15" i="31" s="1"/>
  <c r="E12" i="31"/>
  <c r="E13" i="31"/>
  <c r="J18" i="31"/>
  <c r="J19" i="31"/>
  <c r="AR7" i="31"/>
  <c r="AQ7" i="31"/>
  <c r="AP7" i="31"/>
  <c r="AO7" i="31"/>
  <c r="AN7" i="31"/>
  <c r="AM7" i="31"/>
  <c r="AL7" i="31"/>
  <c r="AK7" i="31"/>
  <c r="S2" i="31"/>
  <c r="R2" i="31"/>
  <c r="Q2" i="31"/>
  <c r="P2" i="31"/>
  <c r="O2" i="31"/>
  <c r="N2" i="31"/>
  <c r="M2" i="31"/>
  <c r="L2" i="31"/>
  <c r="K2" i="31"/>
  <c r="K37" i="31" s="1"/>
  <c r="G2" i="31"/>
  <c r="F2" i="31"/>
  <c r="F37" i="31" s="1"/>
  <c r="E2" i="31"/>
  <c r="D2" i="31"/>
  <c r="C2" i="31"/>
  <c r="E8" i="31"/>
  <c r="D8" i="31"/>
  <c r="L8" i="31"/>
  <c r="L29" i="31" s="1"/>
  <c r="P8" i="31"/>
  <c r="T8" i="31"/>
  <c r="E9" i="31"/>
  <c r="L9" i="31"/>
  <c r="P9" i="31"/>
  <c r="T9" i="31"/>
  <c r="E10" i="31"/>
  <c r="D10" i="31"/>
  <c r="L10" i="31"/>
  <c r="P10" i="31"/>
  <c r="P28" i="31" s="1"/>
  <c r="T10" i="31"/>
  <c r="E11" i="31"/>
  <c r="E29" i="31" s="1"/>
  <c r="D11" i="31"/>
  <c r="L11" i="31"/>
  <c r="P11" i="31"/>
  <c r="T11" i="31"/>
  <c r="C20" i="31"/>
  <c r="T20" i="31" s="1"/>
  <c r="C21" i="31"/>
  <c r="AL11" i="31" s="1"/>
  <c r="S20" i="31"/>
  <c r="S21" i="31"/>
  <c r="AM11" i="31" s="1"/>
  <c r="R20" i="31"/>
  <c r="R21" i="31"/>
  <c r="AN11" i="31"/>
  <c r="D12" i="31"/>
  <c r="L12" i="31"/>
  <c r="P12" i="31"/>
  <c r="T12" i="31"/>
  <c r="D13" i="31"/>
  <c r="L13" i="31"/>
  <c r="P13" i="31"/>
  <c r="T13" i="31"/>
  <c r="D14" i="31"/>
  <c r="L14" i="31"/>
  <c r="P14" i="31"/>
  <c r="T14" i="31"/>
  <c r="L15" i="31"/>
  <c r="P15" i="31"/>
  <c r="T15" i="31"/>
  <c r="E16" i="31"/>
  <c r="L16" i="31"/>
  <c r="P16" i="31"/>
  <c r="T16" i="31"/>
  <c r="E17" i="31"/>
  <c r="L17" i="31"/>
  <c r="P17" i="31"/>
  <c r="T17" i="31"/>
  <c r="E18" i="31"/>
  <c r="D18" i="31"/>
  <c r="L18" i="31"/>
  <c r="H18" i="31" s="1"/>
  <c r="P18" i="31"/>
  <c r="T18" i="31"/>
  <c r="AL18" i="31"/>
  <c r="AM18" i="31"/>
  <c r="AN18" i="31"/>
  <c r="AP18" i="31"/>
  <c r="E19" i="31"/>
  <c r="D19" i="31"/>
  <c r="L19" i="31"/>
  <c r="H19" i="31" s="1"/>
  <c r="P19" i="31"/>
  <c r="T19" i="31"/>
  <c r="AL19" i="31"/>
  <c r="AM19" i="31"/>
  <c r="AN19" i="31"/>
  <c r="F20" i="31"/>
  <c r="G20" i="31"/>
  <c r="K20" i="31"/>
  <c r="M20" i="31"/>
  <c r="N20" i="31"/>
  <c r="O20" i="31"/>
  <c r="Q20" i="31"/>
  <c r="AL20" i="31"/>
  <c r="AM20" i="31"/>
  <c r="AN20" i="31"/>
  <c r="AP20" i="31" s="1"/>
  <c r="E21" i="31"/>
  <c r="F21" i="31"/>
  <c r="G21" i="31"/>
  <c r="K21" i="31"/>
  <c r="L21" i="31"/>
  <c r="M21" i="31"/>
  <c r="N21" i="31"/>
  <c r="O21" i="31"/>
  <c r="P21" i="31"/>
  <c r="Q21" i="31"/>
  <c r="T21" i="31"/>
  <c r="AL21" i="31"/>
  <c r="AN21" i="31"/>
  <c r="AL22" i="31"/>
  <c r="AP22" i="31" s="1"/>
  <c r="AN22" i="31"/>
  <c r="C23" i="31"/>
  <c r="E23" i="31"/>
  <c r="F23" i="31"/>
  <c r="G23" i="31"/>
  <c r="K23" i="31"/>
  <c r="M23" i="31"/>
  <c r="N23" i="31"/>
  <c r="O23" i="31"/>
  <c r="P23" i="31"/>
  <c r="Q23" i="31"/>
  <c r="R23" i="31"/>
  <c r="T23" i="31" s="1"/>
  <c r="S23" i="31"/>
  <c r="AL23" i="31"/>
  <c r="AN23" i="31"/>
  <c r="C24" i="31"/>
  <c r="E24" i="31"/>
  <c r="F24" i="31"/>
  <c r="G24" i="31"/>
  <c r="K24" i="31"/>
  <c r="M24" i="31"/>
  <c r="N24" i="31"/>
  <c r="O24" i="31"/>
  <c r="P24" i="31"/>
  <c r="Q24" i="31"/>
  <c r="R24" i="31"/>
  <c r="T24" i="31" s="1"/>
  <c r="S24" i="31"/>
  <c r="AL24" i="31"/>
  <c r="AP24" i="31" s="1"/>
  <c r="AM24" i="31"/>
  <c r="AN24" i="31"/>
  <c r="C25" i="31"/>
  <c r="E25" i="31"/>
  <c r="F25" i="31"/>
  <c r="G25" i="31"/>
  <c r="K25" i="31"/>
  <c r="M25" i="31"/>
  <c r="N25" i="31"/>
  <c r="O25" i="31"/>
  <c r="Q25" i="31"/>
  <c r="R25" i="31"/>
  <c r="S25" i="31"/>
  <c r="T25" i="31"/>
  <c r="C26" i="31"/>
  <c r="F26" i="31"/>
  <c r="G26" i="31"/>
  <c r="K26" i="31"/>
  <c r="M26" i="31"/>
  <c r="N26" i="31"/>
  <c r="O26" i="31"/>
  <c r="Q26" i="31"/>
  <c r="R26" i="31"/>
  <c r="S26" i="31"/>
  <c r="AN26" i="31"/>
  <c r="C27" i="31"/>
  <c r="F27" i="31"/>
  <c r="G27" i="31"/>
  <c r="K27" i="31"/>
  <c r="G43" i="31" s="1"/>
  <c r="M27" i="31"/>
  <c r="N27" i="31"/>
  <c r="O27" i="31"/>
  <c r="Q27" i="31"/>
  <c r="R27" i="31"/>
  <c r="S27" i="31"/>
  <c r="C28" i="31"/>
  <c r="F28" i="31"/>
  <c r="G28" i="31"/>
  <c r="K28" i="31"/>
  <c r="M28" i="31"/>
  <c r="N28" i="31"/>
  <c r="O28" i="31"/>
  <c r="Q28" i="31"/>
  <c r="R28" i="31"/>
  <c r="S28" i="31"/>
  <c r="C29" i="31"/>
  <c r="F29" i="31"/>
  <c r="G29" i="31"/>
  <c r="K29" i="31"/>
  <c r="M29" i="31"/>
  <c r="N29" i="31"/>
  <c r="O29" i="31"/>
  <c r="Q29" i="31"/>
  <c r="R29" i="31"/>
  <c r="T29" i="31" s="1"/>
  <c r="S29" i="31"/>
  <c r="C30" i="31"/>
  <c r="T30" i="31" s="1"/>
  <c r="E30" i="31"/>
  <c r="F30" i="31"/>
  <c r="G30" i="31"/>
  <c r="K30" i="31"/>
  <c r="M30" i="31"/>
  <c r="N30" i="31"/>
  <c r="O30" i="31"/>
  <c r="Q30" i="31"/>
  <c r="R30" i="31"/>
  <c r="S30" i="31"/>
  <c r="C31" i="31"/>
  <c r="E31" i="31"/>
  <c r="E37" i="31" s="1"/>
  <c r="F31" i="31"/>
  <c r="G31" i="31"/>
  <c r="G37" i="31"/>
  <c r="K31" i="31"/>
  <c r="M31" i="31"/>
  <c r="N31" i="31"/>
  <c r="N37" i="31" s="1"/>
  <c r="O31" i="31"/>
  <c r="Q31" i="31"/>
  <c r="R31" i="31"/>
  <c r="S31" i="31"/>
  <c r="C32" i="31"/>
  <c r="F32" i="31"/>
  <c r="G32" i="31"/>
  <c r="K32" i="31"/>
  <c r="M32" i="31"/>
  <c r="N32" i="31"/>
  <c r="O32" i="31"/>
  <c r="Q32" i="31"/>
  <c r="R32" i="31"/>
  <c r="S32" i="31"/>
  <c r="C33" i="31"/>
  <c r="F33" i="31"/>
  <c r="G33" i="31"/>
  <c r="K33" i="31"/>
  <c r="M33" i="31"/>
  <c r="N33" i="31"/>
  <c r="O33" i="31"/>
  <c r="Q33" i="31"/>
  <c r="R33" i="31"/>
  <c r="S33" i="31"/>
  <c r="C34" i="31"/>
  <c r="T34" i="31" s="1"/>
  <c r="F34" i="31"/>
  <c r="G34" i="31"/>
  <c r="K34" i="31"/>
  <c r="M34" i="31"/>
  <c r="N34" i="31"/>
  <c r="O34" i="31"/>
  <c r="Q34" i="31"/>
  <c r="R34" i="31"/>
  <c r="S34" i="31"/>
  <c r="C35" i="31"/>
  <c r="G35" i="31"/>
  <c r="G36" i="31" s="1"/>
  <c r="K35" i="31"/>
  <c r="K36" i="31" s="1"/>
  <c r="M35" i="31"/>
  <c r="M36" i="31" s="1"/>
  <c r="N35" i="31"/>
  <c r="N36" i="31" s="1"/>
  <c r="O35" i="31"/>
  <c r="O36" i="31"/>
  <c r="P35" i="31"/>
  <c r="P36" i="31" s="1"/>
  <c r="Q35" i="31"/>
  <c r="Q36" i="31"/>
  <c r="R35" i="31"/>
  <c r="R36" i="31" s="1"/>
  <c r="S35" i="31"/>
  <c r="S36" i="31" s="1"/>
  <c r="C36" i="31"/>
  <c r="F38" i="31"/>
  <c r="K38" i="31"/>
  <c r="M37" i="31"/>
  <c r="M38" i="31"/>
  <c r="O37" i="31"/>
  <c r="O38" i="31"/>
  <c r="Q37" i="31"/>
  <c r="Q38" i="31"/>
  <c r="S38" i="31"/>
  <c r="C38" i="31"/>
  <c r="T38" i="31" s="1"/>
  <c r="E38" i="31"/>
  <c r="G38" i="31"/>
  <c r="L38" i="31"/>
  <c r="N38" i="31"/>
  <c r="P38" i="31"/>
  <c r="R38" i="31"/>
  <c r="M43" i="31"/>
  <c r="N43" i="31" s="1"/>
  <c r="R43" i="31" s="1"/>
  <c r="R42" i="31" s="1"/>
  <c r="L43" i="31"/>
  <c r="K44" i="31"/>
  <c r="L44" i="31"/>
  <c r="M44" i="31"/>
  <c r="N44" i="31" s="1"/>
  <c r="Z44" i="31"/>
  <c r="L47" i="31"/>
  <c r="M47" i="31"/>
  <c r="N47" i="31" s="1"/>
  <c r="AD47" i="31"/>
  <c r="Y48" i="31"/>
  <c r="AB48" i="31"/>
  <c r="AD48" i="31"/>
  <c r="AE48" i="31"/>
  <c r="AF48" i="31"/>
  <c r="AG48" i="31"/>
  <c r="AD49" i="31"/>
  <c r="Y50" i="31"/>
  <c r="AB50" i="31"/>
  <c r="AD50" i="31"/>
  <c r="AE50" i="31"/>
  <c r="AF50" i="31"/>
  <c r="AD51" i="31"/>
  <c r="Y52" i="31"/>
  <c r="AG52" i="31" s="1"/>
  <c r="AB52" i="31"/>
  <c r="AD52" i="31"/>
  <c r="AE52" i="31"/>
  <c r="AF52" i="31"/>
  <c r="AD53" i="31"/>
  <c r="C54" i="31"/>
  <c r="D54" i="31"/>
  <c r="E54" i="31"/>
  <c r="F54" i="31"/>
  <c r="G54" i="31"/>
  <c r="H54" i="31"/>
  <c r="H55" i="31" s="1"/>
  <c r="Y54" i="31"/>
  <c r="AG54" i="31" s="1"/>
  <c r="AB54" i="31"/>
  <c r="AD54" i="31"/>
  <c r="AC54" i="31" s="1"/>
  <c r="AE54" i="31"/>
  <c r="AF54" i="31"/>
  <c r="N55" i="31"/>
  <c r="AD55" i="31"/>
  <c r="N56" i="31"/>
  <c r="Y56" i="31"/>
  <c r="AB56" i="31"/>
  <c r="AD56" i="31"/>
  <c r="AE56" i="31"/>
  <c r="AF56" i="31"/>
  <c r="AG56" i="31"/>
  <c r="AD57" i="31"/>
  <c r="Y58" i="31"/>
  <c r="AG58" i="31" s="1"/>
  <c r="AB58" i="31"/>
  <c r="AD58" i="31"/>
  <c r="AE58" i="31"/>
  <c r="AF58" i="31"/>
  <c r="K59" i="31"/>
  <c r="L59" i="31"/>
  <c r="M59" i="31"/>
  <c r="N59" i="31"/>
  <c r="R59" i="31"/>
  <c r="S59" i="31"/>
  <c r="AD59" i="31"/>
  <c r="AC60" i="31"/>
  <c r="Y60" i="31"/>
  <c r="AB60" i="31"/>
  <c r="AD60" i="31"/>
  <c r="AE60" i="31"/>
  <c r="AF60" i="31"/>
  <c r="K61" i="31"/>
  <c r="L61" i="31"/>
  <c r="M61" i="31"/>
  <c r="N61" i="31"/>
  <c r="R61" i="31"/>
  <c r="S61" i="31"/>
  <c r="AD61" i="31"/>
  <c r="Y62" i="31"/>
  <c r="AB62" i="31"/>
  <c r="AD62" i="31"/>
  <c r="AE62" i="31"/>
  <c r="AF62" i="31"/>
  <c r="K63" i="31"/>
  <c r="L63" i="31"/>
  <c r="M63" i="31"/>
  <c r="N63" i="31"/>
  <c r="R63" i="31"/>
  <c r="S63" i="31"/>
  <c r="AD63" i="31"/>
  <c r="C64" i="31"/>
  <c r="D64" i="31"/>
  <c r="D65" i="31" s="1"/>
  <c r="E64" i="31"/>
  <c r="F64" i="31"/>
  <c r="G64" i="31"/>
  <c r="H65" i="31"/>
  <c r="H64" i="31"/>
  <c r="Y64" i="31"/>
  <c r="AG64" i="31" s="1"/>
  <c r="AB64" i="31"/>
  <c r="AD64" i="31"/>
  <c r="AC64" i="31" s="1"/>
  <c r="AE64" i="31"/>
  <c r="AF64" i="31"/>
  <c r="AD65" i="31"/>
  <c r="AC66" i="31" s="1"/>
  <c r="Y66" i="31"/>
  <c r="AB66" i="31"/>
  <c r="AD66" i="31"/>
  <c r="AD74" i="31"/>
  <c r="AE66" i="31"/>
  <c r="AF66" i="31"/>
  <c r="AD67" i="31"/>
  <c r="AC68" i="31" s="1"/>
  <c r="Y68" i="31"/>
  <c r="AG68" i="31" s="1"/>
  <c r="AB68" i="31"/>
  <c r="AD68" i="31"/>
  <c r="AE68" i="31"/>
  <c r="AF68" i="31"/>
  <c r="AF74" i="31"/>
  <c r="AD69" i="31"/>
  <c r="Y70" i="31"/>
  <c r="AB70" i="31"/>
  <c r="AD70" i="31"/>
  <c r="AE70" i="31"/>
  <c r="AG70" i="31" s="1"/>
  <c r="AF70" i="31"/>
  <c r="Y74" i="31"/>
  <c r="AG74" i="31" s="1"/>
  <c r="AE74" i="31"/>
  <c r="Y78" i="31"/>
  <c r="AE78" i="31"/>
  <c r="AD77" i="31"/>
  <c r="AB78" i="31"/>
  <c r="AD78" i="31"/>
  <c r="AF78" i="31"/>
  <c r="P19" i="27"/>
  <c r="P2" i="29" s="1"/>
  <c r="P18" i="27"/>
  <c r="P17" i="27"/>
  <c r="P16" i="27"/>
  <c r="P15" i="27"/>
  <c r="P14" i="27"/>
  <c r="P13" i="27"/>
  <c r="P12" i="27"/>
  <c r="P11" i="27"/>
  <c r="P10" i="27"/>
  <c r="P9" i="27"/>
  <c r="P8" i="27"/>
  <c r="P19" i="29"/>
  <c r="P18" i="29"/>
  <c r="P17" i="29"/>
  <c r="P16" i="29"/>
  <c r="P15" i="29"/>
  <c r="P14" i="29"/>
  <c r="P13" i="29"/>
  <c r="P12" i="29"/>
  <c r="P11" i="29"/>
  <c r="P10" i="29"/>
  <c r="P9" i="29"/>
  <c r="P26" i="29" s="1"/>
  <c r="P8" i="29"/>
  <c r="P19" i="24"/>
  <c r="P18" i="24"/>
  <c r="P17" i="24"/>
  <c r="P16" i="24"/>
  <c r="P15" i="24"/>
  <c r="P14" i="24"/>
  <c r="P30" i="24" s="1"/>
  <c r="P13" i="24"/>
  <c r="P12" i="24"/>
  <c r="P11" i="24"/>
  <c r="P26" i="24" s="1"/>
  <c r="P10" i="24"/>
  <c r="P9" i="24"/>
  <c r="P8" i="24"/>
  <c r="L19" i="27"/>
  <c r="J19" i="27" s="1"/>
  <c r="L18" i="27"/>
  <c r="J18" i="27"/>
  <c r="I18" i="27" s="1"/>
  <c r="H18" i="27" s="1"/>
  <c r="L17" i="27"/>
  <c r="J17" i="27"/>
  <c r="L16" i="27"/>
  <c r="J16" i="27" s="1"/>
  <c r="I16" i="27" s="1"/>
  <c r="H16" i="27" s="1"/>
  <c r="U16" i="27" s="1"/>
  <c r="L15" i="27"/>
  <c r="J15" i="27" s="1"/>
  <c r="I15" i="27" s="1"/>
  <c r="H15" i="27" s="1"/>
  <c r="L14" i="27"/>
  <c r="L13" i="27"/>
  <c r="J13" i="27" s="1"/>
  <c r="I13" i="27" s="1"/>
  <c r="H13" i="27" s="1"/>
  <c r="Z58" i="27" s="1"/>
  <c r="L12" i="27"/>
  <c r="J12" i="27" s="1"/>
  <c r="I12" i="27" s="1"/>
  <c r="H12" i="27" s="1"/>
  <c r="L11" i="27"/>
  <c r="J11" i="27" s="1"/>
  <c r="I11" i="27" s="1"/>
  <c r="H11" i="27" s="1"/>
  <c r="L10" i="27"/>
  <c r="J10" i="27"/>
  <c r="I10" i="27" s="1"/>
  <c r="H10" i="27" s="1"/>
  <c r="L9" i="27"/>
  <c r="L8" i="27"/>
  <c r="J8" i="27" s="1"/>
  <c r="I8" i="27" s="1"/>
  <c r="H8" i="27" s="1"/>
  <c r="M7" i="29"/>
  <c r="M35" i="29" s="1"/>
  <c r="N7" i="29"/>
  <c r="L7" i="29"/>
  <c r="L19" i="29"/>
  <c r="L18" i="29"/>
  <c r="L17" i="29"/>
  <c r="L16" i="29"/>
  <c r="V16" i="29" s="1"/>
  <c r="L15" i="29"/>
  <c r="L14" i="29"/>
  <c r="L13" i="29"/>
  <c r="L12" i="29"/>
  <c r="V12" i="29" s="1"/>
  <c r="L11" i="29"/>
  <c r="H11" i="29" s="1"/>
  <c r="L10" i="29"/>
  <c r="L9" i="29"/>
  <c r="L8" i="29"/>
  <c r="L19" i="24"/>
  <c r="L18" i="24"/>
  <c r="L17" i="24"/>
  <c r="L2" i="27" s="1"/>
  <c r="L16" i="24"/>
  <c r="L15" i="24"/>
  <c r="L14" i="24"/>
  <c r="L13" i="24"/>
  <c r="L12" i="24"/>
  <c r="L11" i="24"/>
  <c r="J11" i="24" s="1"/>
  <c r="I11" i="24" s="1"/>
  <c r="H11" i="24" s="1"/>
  <c r="L10" i="24"/>
  <c r="J10" i="24" s="1"/>
  <c r="I10" i="24" s="1"/>
  <c r="H10" i="24" s="1"/>
  <c r="L9" i="24"/>
  <c r="L8" i="24"/>
  <c r="J8" i="24" s="1"/>
  <c r="I19" i="29"/>
  <c r="I18" i="29"/>
  <c r="H18" i="29" s="1"/>
  <c r="Z68" i="29" s="1"/>
  <c r="I17" i="29"/>
  <c r="H17" i="29" s="1"/>
  <c r="Z66" i="29" s="1"/>
  <c r="I16" i="29"/>
  <c r="H16" i="29" s="1"/>
  <c r="I15" i="29"/>
  <c r="H15" i="29" s="1"/>
  <c r="U15" i="29" s="1"/>
  <c r="I14" i="29"/>
  <c r="I13" i="29"/>
  <c r="I12" i="29"/>
  <c r="H12" i="29"/>
  <c r="I11" i="29"/>
  <c r="I10" i="29"/>
  <c r="I9" i="29"/>
  <c r="I8" i="29"/>
  <c r="I14" i="24"/>
  <c r="H14" i="24"/>
  <c r="I13" i="24"/>
  <c r="H13" i="24" s="1"/>
  <c r="V13" i="24" s="1"/>
  <c r="J12" i="24"/>
  <c r="I12" i="24" s="1"/>
  <c r="H12" i="24" s="1"/>
  <c r="J9" i="24"/>
  <c r="I9" i="24" s="1"/>
  <c r="H9" i="24" s="1"/>
  <c r="P19" i="23"/>
  <c r="P18" i="23"/>
  <c r="P2" i="24" s="1"/>
  <c r="P17" i="23"/>
  <c r="P16" i="23"/>
  <c r="P15" i="23"/>
  <c r="P14" i="23"/>
  <c r="P13" i="23"/>
  <c r="P12" i="23"/>
  <c r="P11" i="23"/>
  <c r="P10" i="23"/>
  <c r="P25" i="23" s="1"/>
  <c r="P9" i="23"/>
  <c r="P8" i="23"/>
  <c r="L19" i="23"/>
  <c r="L18" i="23"/>
  <c r="L17" i="23"/>
  <c r="L2" i="24" s="1"/>
  <c r="L16" i="23"/>
  <c r="L15" i="23"/>
  <c r="L14" i="23"/>
  <c r="L13" i="23"/>
  <c r="L12" i="23"/>
  <c r="L11" i="23"/>
  <c r="L10" i="23"/>
  <c r="L9" i="23"/>
  <c r="L8" i="23"/>
  <c r="I19" i="23"/>
  <c r="I18" i="23"/>
  <c r="I17" i="23"/>
  <c r="H17" i="23"/>
  <c r="I16" i="23"/>
  <c r="H16" i="23" s="1"/>
  <c r="U16" i="23" s="1"/>
  <c r="I15" i="23"/>
  <c r="H15" i="23"/>
  <c r="I14" i="23"/>
  <c r="I13" i="23"/>
  <c r="H13" i="23"/>
  <c r="I12" i="23"/>
  <c r="I11" i="23"/>
  <c r="I10" i="23"/>
  <c r="H10" i="23"/>
  <c r="U10" i="23" s="1"/>
  <c r="I9" i="23"/>
  <c r="H9" i="23" s="1"/>
  <c r="U9" i="23" s="1"/>
  <c r="I8" i="23"/>
  <c r="S7" i="29"/>
  <c r="S35" i="29" s="1"/>
  <c r="R7" i="29"/>
  <c r="Q7" i="29"/>
  <c r="O7" i="29"/>
  <c r="K7" i="29"/>
  <c r="G7" i="29"/>
  <c r="F7" i="29"/>
  <c r="C7" i="29"/>
  <c r="C35" i="29" s="1"/>
  <c r="S7" i="27"/>
  <c r="R7" i="27"/>
  <c r="R35" i="27" s="1"/>
  <c r="Q7" i="27"/>
  <c r="Q35" i="27" s="1"/>
  <c r="O7" i="27"/>
  <c r="O35" i="27" s="1"/>
  <c r="O36" i="27" s="1"/>
  <c r="N7" i="27"/>
  <c r="M7" i="27"/>
  <c r="G7" i="27"/>
  <c r="F7" i="27"/>
  <c r="C7" i="27"/>
  <c r="S7" i="24"/>
  <c r="S35" i="24" s="1"/>
  <c r="S36" i="24" s="1"/>
  <c r="R7" i="24"/>
  <c r="Q7" i="24"/>
  <c r="O7" i="24"/>
  <c r="O35" i="24" s="1"/>
  <c r="O36" i="24" s="1"/>
  <c r="N7" i="24"/>
  <c r="M7" i="24"/>
  <c r="M35" i="24" s="1"/>
  <c r="M36" i="24" s="1"/>
  <c r="K7" i="24"/>
  <c r="I7" i="24" s="1"/>
  <c r="J7" i="24"/>
  <c r="G7" i="24"/>
  <c r="F7" i="24"/>
  <c r="C7" i="24"/>
  <c r="T7" i="27"/>
  <c r="C7" i="23"/>
  <c r="M7" i="23"/>
  <c r="N7" i="23"/>
  <c r="J7" i="23"/>
  <c r="J35" i="23" s="1"/>
  <c r="J36" i="23" s="1"/>
  <c r="K7" i="23"/>
  <c r="O7" i="23"/>
  <c r="Q7" i="23"/>
  <c r="Q35" i="23" s="1"/>
  <c r="Q36" i="23" s="1"/>
  <c r="S7" i="23"/>
  <c r="R7" i="23"/>
  <c r="G7" i="23"/>
  <c r="F7" i="23"/>
  <c r="E19" i="29"/>
  <c r="D19" i="29" s="1"/>
  <c r="I9" i="6"/>
  <c r="H9" i="6" s="1"/>
  <c r="L9" i="6"/>
  <c r="I8" i="6"/>
  <c r="L8" i="6"/>
  <c r="I10" i="6"/>
  <c r="L10" i="6"/>
  <c r="I11" i="6"/>
  <c r="H11" i="6" s="1"/>
  <c r="L11" i="6"/>
  <c r="I12" i="6"/>
  <c r="L12" i="6"/>
  <c r="I13" i="6"/>
  <c r="L13" i="6"/>
  <c r="H13" i="6"/>
  <c r="I14" i="6"/>
  <c r="H14" i="6" s="1"/>
  <c r="L14" i="6"/>
  <c r="I15" i="6"/>
  <c r="L15" i="6"/>
  <c r="I16" i="6"/>
  <c r="L16" i="6"/>
  <c r="H16" i="6"/>
  <c r="I17" i="6"/>
  <c r="H17" i="6" s="1"/>
  <c r="L17" i="6"/>
  <c r="I18" i="6"/>
  <c r="L18" i="6"/>
  <c r="I19" i="6"/>
  <c r="L19" i="6"/>
  <c r="C20" i="6"/>
  <c r="C21" i="6"/>
  <c r="P20" i="6"/>
  <c r="P21" i="6"/>
  <c r="AM4" i="23" s="1"/>
  <c r="O20" i="6"/>
  <c r="O21" i="6"/>
  <c r="I9" i="7"/>
  <c r="L9" i="7"/>
  <c r="H9" i="7" s="1"/>
  <c r="L8" i="7"/>
  <c r="I10" i="7"/>
  <c r="L10" i="7"/>
  <c r="H10" i="7" s="1"/>
  <c r="I11" i="7"/>
  <c r="L11" i="7"/>
  <c r="I12" i="7"/>
  <c r="L12" i="7"/>
  <c r="I13" i="7"/>
  <c r="L13" i="7"/>
  <c r="I14" i="7"/>
  <c r="L14" i="7"/>
  <c r="I15" i="7"/>
  <c r="L15" i="7"/>
  <c r="H15" i="7"/>
  <c r="I16" i="7"/>
  <c r="L16" i="7"/>
  <c r="I17" i="7"/>
  <c r="H17" i="7" s="1"/>
  <c r="L17" i="7"/>
  <c r="I18" i="7"/>
  <c r="H18" i="7" s="1"/>
  <c r="L18" i="7"/>
  <c r="I19" i="7"/>
  <c r="H19" i="7" s="1"/>
  <c r="AK19" i="27" s="1"/>
  <c r="L19" i="7"/>
  <c r="C20" i="7"/>
  <c r="C21" i="7"/>
  <c r="P20" i="7"/>
  <c r="P21" i="7"/>
  <c r="O20" i="7"/>
  <c r="O21" i="7"/>
  <c r="I8" i="8"/>
  <c r="L8" i="8"/>
  <c r="I9" i="8"/>
  <c r="L9" i="8"/>
  <c r="I10" i="8"/>
  <c r="H10" i="8" s="1"/>
  <c r="L10" i="8"/>
  <c r="I11" i="8"/>
  <c r="L11" i="8"/>
  <c r="I12" i="8"/>
  <c r="L12" i="8"/>
  <c r="I13" i="8"/>
  <c r="L13" i="8"/>
  <c r="I14" i="8"/>
  <c r="L14" i="8"/>
  <c r="I15" i="8"/>
  <c r="L15" i="8"/>
  <c r="I16" i="8"/>
  <c r="L16" i="8"/>
  <c r="I17" i="8"/>
  <c r="H17" i="8" s="1"/>
  <c r="L17" i="8"/>
  <c r="I18" i="8"/>
  <c r="L18" i="8"/>
  <c r="I19" i="8"/>
  <c r="L19" i="8"/>
  <c r="H19" i="8"/>
  <c r="C20" i="8"/>
  <c r="C21" i="8" s="1"/>
  <c r="AL6" i="29" s="1"/>
  <c r="P20" i="8"/>
  <c r="P21" i="8" s="1"/>
  <c r="O20" i="8"/>
  <c r="O21" i="8" s="1"/>
  <c r="I9" i="9"/>
  <c r="L9" i="9"/>
  <c r="I8" i="9"/>
  <c r="H8" i="9" s="1"/>
  <c r="L8" i="9"/>
  <c r="I10" i="9"/>
  <c r="L10" i="9"/>
  <c r="H10" i="9"/>
  <c r="I11" i="9"/>
  <c r="H11" i="9" s="1"/>
  <c r="L11" i="9"/>
  <c r="I12" i="9"/>
  <c r="L12" i="9"/>
  <c r="I14" i="9"/>
  <c r="L14" i="9"/>
  <c r="H14" i="9"/>
  <c r="I15" i="9"/>
  <c r="L15" i="9"/>
  <c r="I16" i="9"/>
  <c r="L16" i="9"/>
  <c r="I18" i="9"/>
  <c r="L18" i="9"/>
  <c r="I19" i="9"/>
  <c r="L19" i="9"/>
  <c r="C20" i="9"/>
  <c r="C21" i="9" s="1"/>
  <c r="P9" i="9"/>
  <c r="P8" i="9"/>
  <c r="P21" i="9"/>
  <c r="P10" i="9"/>
  <c r="P11" i="9"/>
  <c r="P12" i="9"/>
  <c r="P13" i="9"/>
  <c r="P14" i="9"/>
  <c r="P15" i="9"/>
  <c r="P16" i="9"/>
  <c r="P17" i="9"/>
  <c r="P18" i="9"/>
  <c r="P19" i="9"/>
  <c r="O20" i="9"/>
  <c r="O21" i="9"/>
  <c r="E66" i="31" s="1"/>
  <c r="I9" i="10"/>
  <c r="L9" i="10"/>
  <c r="H9" i="10"/>
  <c r="I8" i="10"/>
  <c r="L8" i="10"/>
  <c r="I10" i="10"/>
  <c r="H10" i="10" s="1"/>
  <c r="L10" i="10"/>
  <c r="I11" i="10"/>
  <c r="H11" i="10" s="1"/>
  <c r="L11" i="10"/>
  <c r="I12" i="10"/>
  <c r="H12" i="10" s="1"/>
  <c r="L12" i="10"/>
  <c r="I13" i="10"/>
  <c r="L13" i="10"/>
  <c r="I14" i="10"/>
  <c r="L14" i="10"/>
  <c r="H14" i="10"/>
  <c r="I15" i="10"/>
  <c r="L15" i="10"/>
  <c r="I16" i="10"/>
  <c r="L16" i="10"/>
  <c r="I17" i="10"/>
  <c r="L17" i="10"/>
  <c r="I18" i="10"/>
  <c r="L18" i="10"/>
  <c r="I19" i="10"/>
  <c r="L19" i="10"/>
  <c r="H19" i="10" s="1"/>
  <c r="C20" i="10"/>
  <c r="C21" i="10"/>
  <c r="P9" i="10"/>
  <c r="P8" i="10"/>
  <c r="P21" i="10"/>
  <c r="P10" i="10"/>
  <c r="P11" i="10"/>
  <c r="P12" i="10"/>
  <c r="P13" i="10"/>
  <c r="P14" i="10"/>
  <c r="P15" i="10"/>
  <c r="P16" i="10"/>
  <c r="P17" i="10"/>
  <c r="P18" i="10"/>
  <c r="P19" i="10"/>
  <c r="O20" i="10"/>
  <c r="O21" i="10" s="1"/>
  <c r="I9" i="11"/>
  <c r="L9" i="11"/>
  <c r="L8" i="11"/>
  <c r="I10" i="11"/>
  <c r="L10" i="11"/>
  <c r="I11" i="11"/>
  <c r="H11" i="11" s="1"/>
  <c r="L11" i="11"/>
  <c r="I12" i="11"/>
  <c r="L12" i="11"/>
  <c r="H12" i="11" s="1"/>
  <c r="I13" i="11"/>
  <c r="L13" i="11"/>
  <c r="I14" i="11"/>
  <c r="L14" i="11"/>
  <c r="I15" i="11"/>
  <c r="H15" i="11" s="1"/>
  <c r="L15" i="11"/>
  <c r="I16" i="11"/>
  <c r="L16" i="11"/>
  <c r="H16" i="11" s="1"/>
  <c r="I17" i="11"/>
  <c r="L17" i="11"/>
  <c r="H17" i="11"/>
  <c r="I18" i="11"/>
  <c r="H18" i="11" s="1"/>
  <c r="L18" i="11"/>
  <c r="I19" i="11"/>
  <c r="L19" i="11"/>
  <c r="C20" i="11"/>
  <c r="C21" i="11" s="1"/>
  <c r="P9" i="11"/>
  <c r="P8" i="11"/>
  <c r="P21" i="11"/>
  <c r="P10" i="11"/>
  <c r="P11" i="11"/>
  <c r="P12" i="11"/>
  <c r="P13" i="11"/>
  <c r="P14" i="11"/>
  <c r="P15" i="11"/>
  <c r="P16" i="11"/>
  <c r="P17" i="11"/>
  <c r="P18" i="11"/>
  <c r="P19" i="11"/>
  <c r="AM23" i="29" s="1"/>
  <c r="O20" i="11"/>
  <c r="O21" i="11"/>
  <c r="K27" i="8"/>
  <c r="K27" i="9"/>
  <c r="K27" i="10"/>
  <c r="K27" i="11"/>
  <c r="K35" i="8"/>
  <c r="K36" i="8" s="1"/>
  <c r="K35" i="9"/>
  <c r="K36" i="9" s="1"/>
  <c r="D45" i="34" s="1"/>
  <c r="K35" i="10"/>
  <c r="K36" i="10"/>
  <c r="K35" i="11"/>
  <c r="K36" i="11"/>
  <c r="F2" i="29"/>
  <c r="F37" i="29" s="1"/>
  <c r="G2" i="29"/>
  <c r="K2" i="29"/>
  <c r="L2" i="29"/>
  <c r="M2" i="29"/>
  <c r="N2" i="29"/>
  <c r="O2" i="29"/>
  <c r="Q2" i="29"/>
  <c r="Q37" i="29" s="1"/>
  <c r="R2" i="29"/>
  <c r="S2" i="29"/>
  <c r="F2" i="27"/>
  <c r="G2" i="27"/>
  <c r="K2" i="27"/>
  <c r="M2" i="27"/>
  <c r="N2" i="27"/>
  <c r="O2" i="27"/>
  <c r="P2" i="27"/>
  <c r="Q2" i="27"/>
  <c r="R2" i="27"/>
  <c r="S2" i="27"/>
  <c r="F2" i="24"/>
  <c r="F37" i="24" s="1"/>
  <c r="G2" i="24"/>
  <c r="J2" i="24"/>
  <c r="K2" i="24"/>
  <c r="M2" i="24"/>
  <c r="N2" i="24"/>
  <c r="O2" i="24"/>
  <c r="Q2" i="24"/>
  <c r="R2" i="24"/>
  <c r="S2" i="24"/>
  <c r="Q2" i="23"/>
  <c r="R2" i="23"/>
  <c r="S2" i="23"/>
  <c r="R35" i="24"/>
  <c r="R36" i="24" s="1"/>
  <c r="S35" i="27"/>
  <c r="S36" i="27" s="1"/>
  <c r="C35" i="27"/>
  <c r="R36" i="27"/>
  <c r="S36" i="29"/>
  <c r="C36" i="29"/>
  <c r="S35" i="23"/>
  <c r="S36" i="23" s="1"/>
  <c r="R35" i="23"/>
  <c r="R36" i="23" s="1"/>
  <c r="C2" i="23"/>
  <c r="H2" i="23"/>
  <c r="L17" i="20"/>
  <c r="L2" i="23" s="1"/>
  <c r="L18" i="20"/>
  <c r="L19" i="20"/>
  <c r="L38" i="23"/>
  <c r="R31" i="29"/>
  <c r="T31" i="29" s="1"/>
  <c r="R37" i="29"/>
  <c r="R38" i="29"/>
  <c r="C31" i="29"/>
  <c r="S31" i="29"/>
  <c r="S38" i="29"/>
  <c r="L38" i="29"/>
  <c r="C31" i="27"/>
  <c r="L31" i="27"/>
  <c r="L38" i="27"/>
  <c r="L38" i="24"/>
  <c r="Q35" i="24"/>
  <c r="Q36" i="24" s="1"/>
  <c r="N35" i="24"/>
  <c r="N36" i="24" s="1"/>
  <c r="K35" i="24"/>
  <c r="K36" i="24" s="1"/>
  <c r="G35" i="24"/>
  <c r="G36" i="24" s="1"/>
  <c r="D8" i="24"/>
  <c r="Q36" i="27"/>
  <c r="N35" i="27"/>
  <c r="N36" i="27" s="1"/>
  <c r="M35" i="27"/>
  <c r="M36" i="27" s="1"/>
  <c r="K35" i="27"/>
  <c r="K36" i="27" s="1"/>
  <c r="G35" i="27"/>
  <c r="G36" i="27" s="1"/>
  <c r="E9" i="27"/>
  <c r="E10" i="27"/>
  <c r="D10" i="27" s="1"/>
  <c r="D9" i="27"/>
  <c r="E11" i="27"/>
  <c r="D11" i="27" s="1"/>
  <c r="O35" i="29"/>
  <c r="O36" i="29" s="1"/>
  <c r="N35" i="29"/>
  <c r="N36" i="29" s="1"/>
  <c r="M36" i="29"/>
  <c r="K35" i="29"/>
  <c r="K36" i="29" s="1"/>
  <c r="G35" i="29"/>
  <c r="G36" i="29" s="1"/>
  <c r="F35" i="29"/>
  <c r="F36" i="29" s="1"/>
  <c r="E8" i="29"/>
  <c r="E9" i="29"/>
  <c r="E10" i="29"/>
  <c r="D10" i="29" s="1"/>
  <c r="E11" i="29"/>
  <c r="D11" i="29"/>
  <c r="E12" i="29"/>
  <c r="E13" i="29"/>
  <c r="D13" i="29" s="1"/>
  <c r="E14" i="29"/>
  <c r="E15" i="29"/>
  <c r="D15" i="29" s="1"/>
  <c r="E16" i="29"/>
  <c r="D16" i="29" s="1"/>
  <c r="E17" i="29"/>
  <c r="D17" i="29" s="1"/>
  <c r="E18" i="29"/>
  <c r="D18" i="29" s="1"/>
  <c r="D8" i="29"/>
  <c r="D23" i="29" s="1"/>
  <c r="N35" i="23"/>
  <c r="N36" i="23" s="1"/>
  <c r="K35" i="23"/>
  <c r="K36" i="23" s="1"/>
  <c r="G35" i="23"/>
  <c r="G36" i="23" s="1"/>
  <c r="F35" i="23"/>
  <c r="F36" i="23" s="1"/>
  <c r="S20" i="23"/>
  <c r="S21" i="23"/>
  <c r="R20" i="23"/>
  <c r="Q20" i="23"/>
  <c r="O20" i="23"/>
  <c r="N20" i="23"/>
  <c r="M20" i="23"/>
  <c r="K20" i="23"/>
  <c r="J20" i="23"/>
  <c r="G20" i="23"/>
  <c r="F20" i="23"/>
  <c r="C20" i="23"/>
  <c r="E19" i="23"/>
  <c r="D19" i="23"/>
  <c r="E18" i="23"/>
  <c r="D18" i="23"/>
  <c r="E17" i="23"/>
  <c r="E16" i="23"/>
  <c r="D16" i="23" s="1"/>
  <c r="E15" i="23"/>
  <c r="D15" i="23" s="1"/>
  <c r="E14" i="23"/>
  <c r="D14" i="23" s="1"/>
  <c r="E13" i="23"/>
  <c r="D13" i="23" s="1"/>
  <c r="E12" i="23"/>
  <c r="D12" i="23" s="1"/>
  <c r="E11" i="23"/>
  <c r="D11" i="23"/>
  <c r="E10" i="23"/>
  <c r="D10" i="23" s="1"/>
  <c r="E9" i="23"/>
  <c r="D9" i="23" s="1"/>
  <c r="E8" i="23"/>
  <c r="L21" i="23"/>
  <c r="C21" i="23"/>
  <c r="R21" i="23"/>
  <c r="T20" i="23"/>
  <c r="T19" i="23"/>
  <c r="T18" i="23"/>
  <c r="U17" i="23"/>
  <c r="T17" i="23"/>
  <c r="T16" i="23"/>
  <c r="U15" i="23"/>
  <c r="T15" i="23"/>
  <c r="T14" i="23"/>
  <c r="T13" i="23"/>
  <c r="T12" i="23"/>
  <c r="T11" i="23"/>
  <c r="T10" i="23"/>
  <c r="T9" i="23"/>
  <c r="T8" i="23"/>
  <c r="T7" i="23"/>
  <c r="L32" i="23"/>
  <c r="T25" i="23"/>
  <c r="S34" i="23"/>
  <c r="R34" i="23"/>
  <c r="Q34" i="23"/>
  <c r="O34" i="23"/>
  <c r="N34" i="23"/>
  <c r="M34" i="23"/>
  <c r="K34" i="23"/>
  <c r="J34" i="23"/>
  <c r="G34" i="23"/>
  <c r="F34" i="23"/>
  <c r="S33" i="23"/>
  <c r="R33" i="23"/>
  <c r="T33" i="23" s="1"/>
  <c r="Q33" i="23"/>
  <c r="O33" i="23"/>
  <c r="N33" i="23"/>
  <c r="M33" i="23"/>
  <c r="K33" i="23"/>
  <c r="J33" i="23"/>
  <c r="G33" i="23"/>
  <c r="F33" i="23"/>
  <c r="S32" i="23"/>
  <c r="R32" i="23"/>
  <c r="Q32" i="23"/>
  <c r="O32" i="23"/>
  <c r="N32" i="23"/>
  <c r="M32" i="23"/>
  <c r="K32" i="23"/>
  <c r="J32" i="23"/>
  <c r="G32" i="23"/>
  <c r="F32" i="23"/>
  <c r="S31" i="23"/>
  <c r="S38" i="23"/>
  <c r="R31" i="23"/>
  <c r="R37" i="23" s="1"/>
  <c r="R38" i="23"/>
  <c r="Q31" i="23"/>
  <c r="O31" i="23"/>
  <c r="N31" i="23"/>
  <c r="M31" i="23"/>
  <c r="K31" i="23"/>
  <c r="J31" i="23"/>
  <c r="G31" i="23"/>
  <c r="F31" i="23"/>
  <c r="S30" i="23"/>
  <c r="R30" i="23"/>
  <c r="Q30" i="23"/>
  <c r="O30" i="23"/>
  <c r="N30" i="23"/>
  <c r="M30" i="23"/>
  <c r="K30" i="23"/>
  <c r="J30" i="23"/>
  <c r="G30" i="23"/>
  <c r="F30" i="23"/>
  <c r="S29" i="23"/>
  <c r="R29" i="23"/>
  <c r="Q29" i="23"/>
  <c r="O29" i="23"/>
  <c r="N29" i="23"/>
  <c r="M29" i="23"/>
  <c r="K29" i="23"/>
  <c r="J29" i="23"/>
  <c r="G29" i="23"/>
  <c r="F29" i="23"/>
  <c r="S28" i="23"/>
  <c r="R28" i="23"/>
  <c r="Q28" i="23"/>
  <c r="O28" i="23"/>
  <c r="N28" i="23"/>
  <c r="M28" i="23"/>
  <c r="K28" i="23"/>
  <c r="J28" i="23"/>
  <c r="G28" i="23"/>
  <c r="F28" i="23"/>
  <c r="S27" i="23"/>
  <c r="R27" i="23"/>
  <c r="Q27" i="23"/>
  <c r="O27" i="23"/>
  <c r="N27" i="23"/>
  <c r="M27" i="23"/>
  <c r="K27" i="23"/>
  <c r="J27" i="23"/>
  <c r="G27" i="23"/>
  <c r="F27" i="23"/>
  <c r="S26" i="23"/>
  <c r="R26" i="23"/>
  <c r="Q26" i="23"/>
  <c r="O26" i="23"/>
  <c r="N26" i="23"/>
  <c r="M26" i="23"/>
  <c r="K26" i="23"/>
  <c r="J26" i="23"/>
  <c r="G26" i="23"/>
  <c r="F26" i="23"/>
  <c r="S25" i="23"/>
  <c r="R25" i="23"/>
  <c r="Q25" i="23"/>
  <c r="O25" i="23"/>
  <c r="N25" i="23"/>
  <c r="M25" i="23"/>
  <c r="K25" i="23"/>
  <c r="J25" i="23"/>
  <c r="G25" i="23"/>
  <c r="F25" i="23"/>
  <c r="E25" i="23"/>
  <c r="S24" i="23"/>
  <c r="R24" i="23"/>
  <c r="Q24" i="23"/>
  <c r="P24" i="23"/>
  <c r="O24" i="23"/>
  <c r="N24" i="23"/>
  <c r="M24" i="23"/>
  <c r="K24" i="23"/>
  <c r="J24" i="23"/>
  <c r="G24" i="23"/>
  <c r="F24" i="23"/>
  <c r="S23" i="23"/>
  <c r="R23" i="23"/>
  <c r="Q23" i="23"/>
  <c r="O23" i="23"/>
  <c r="N23" i="23"/>
  <c r="M23" i="23"/>
  <c r="K23" i="23"/>
  <c r="J23" i="23"/>
  <c r="G23" i="23"/>
  <c r="F23" i="23"/>
  <c r="C34" i="23"/>
  <c r="T34" i="23" s="1"/>
  <c r="C33" i="23"/>
  <c r="C32" i="23"/>
  <c r="T32" i="23"/>
  <c r="C31" i="23"/>
  <c r="C30" i="23"/>
  <c r="T30" i="23"/>
  <c r="C29" i="23"/>
  <c r="T29" i="23" s="1"/>
  <c r="C28" i="23"/>
  <c r="C27" i="23"/>
  <c r="T27" i="23" s="1"/>
  <c r="C26" i="23"/>
  <c r="C25" i="23"/>
  <c r="C24" i="23"/>
  <c r="T24" i="23" s="1"/>
  <c r="C23" i="23"/>
  <c r="E8" i="27"/>
  <c r="E12" i="27"/>
  <c r="E13" i="27"/>
  <c r="D13" i="27" s="1"/>
  <c r="E14" i="27"/>
  <c r="D14" i="27" s="1"/>
  <c r="E15" i="27"/>
  <c r="D15" i="27" s="1"/>
  <c r="E16" i="27"/>
  <c r="D16" i="27" s="1"/>
  <c r="E17" i="27"/>
  <c r="E18" i="27"/>
  <c r="D18" i="27" s="1"/>
  <c r="E9" i="24"/>
  <c r="E10" i="24"/>
  <c r="D10" i="24" s="1"/>
  <c r="E11" i="24"/>
  <c r="D11" i="24" s="1"/>
  <c r="E12" i="24"/>
  <c r="D12" i="24" s="1"/>
  <c r="E13" i="24"/>
  <c r="D13" i="24" s="1"/>
  <c r="E14" i="24"/>
  <c r="E15" i="24"/>
  <c r="D15" i="24" s="1"/>
  <c r="E16" i="24"/>
  <c r="E17" i="24"/>
  <c r="E18" i="24"/>
  <c r="D18" i="24" s="1"/>
  <c r="S20" i="29"/>
  <c r="R20" i="29"/>
  <c r="C20" i="29"/>
  <c r="T20" i="29"/>
  <c r="V15" i="29"/>
  <c r="V17" i="29"/>
  <c r="V18" i="29"/>
  <c r="U17" i="29"/>
  <c r="U18" i="29"/>
  <c r="T9" i="29"/>
  <c r="T10" i="29"/>
  <c r="T11" i="29"/>
  <c r="T12" i="29"/>
  <c r="T13" i="29"/>
  <c r="T14" i="29"/>
  <c r="T15" i="29"/>
  <c r="T16" i="29"/>
  <c r="T17" i="29"/>
  <c r="T18" i="29"/>
  <c r="T19" i="29"/>
  <c r="E21" i="29"/>
  <c r="F20" i="29"/>
  <c r="G20" i="29"/>
  <c r="G21" i="29"/>
  <c r="J20" i="29"/>
  <c r="J21" i="29"/>
  <c r="K20" i="29"/>
  <c r="M20" i="29"/>
  <c r="N20" i="29"/>
  <c r="O20" i="29"/>
  <c r="Q20" i="29"/>
  <c r="E19" i="27"/>
  <c r="D19" i="27" s="1"/>
  <c r="C2" i="29"/>
  <c r="C37" i="29" s="1"/>
  <c r="AL4" i="29"/>
  <c r="AM4" i="29"/>
  <c r="AN5" i="29"/>
  <c r="T8" i="29"/>
  <c r="AM8" i="29"/>
  <c r="AN8" i="29"/>
  <c r="AM9" i="29"/>
  <c r="AN9" i="29"/>
  <c r="AM10" i="29"/>
  <c r="AM13" i="29" s="1"/>
  <c r="H21" i="29"/>
  <c r="C21" i="29"/>
  <c r="AL11" i="29" s="1"/>
  <c r="S21" i="29"/>
  <c r="AM11" i="29" s="1"/>
  <c r="R21" i="29"/>
  <c r="AN11" i="29"/>
  <c r="AL18" i="29"/>
  <c r="AM18" i="29"/>
  <c r="AN18" i="29"/>
  <c r="AP18" i="29" s="1"/>
  <c r="AL19" i="29"/>
  <c r="AP19" i="29" s="1"/>
  <c r="AM19" i="29"/>
  <c r="AN19" i="29"/>
  <c r="AL20" i="29"/>
  <c r="AM20" i="29"/>
  <c r="AN20" i="29"/>
  <c r="D21" i="29"/>
  <c r="F21" i="29"/>
  <c r="I21" i="29"/>
  <c r="K21" i="29"/>
  <c r="L21" i="29"/>
  <c r="M21" i="29"/>
  <c r="N21" i="29"/>
  <c r="O21" i="29"/>
  <c r="P21" i="29"/>
  <c r="Q21" i="29"/>
  <c r="AL21" i="29"/>
  <c r="AM21" i="29"/>
  <c r="AN21" i="29"/>
  <c r="AL22" i="29"/>
  <c r="AM22" i="29"/>
  <c r="AN22" i="29"/>
  <c r="AP22" i="29" s="1"/>
  <c r="C23" i="29"/>
  <c r="E23" i="29"/>
  <c r="F23" i="29"/>
  <c r="G23" i="29"/>
  <c r="J23" i="29"/>
  <c r="K23" i="29"/>
  <c r="L23" i="29"/>
  <c r="M23" i="29"/>
  <c r="N23" i="29"/>
  <c r="O23" i="29"/>
  <c r="P23" i="29"/>
  <c r="Q23" i="29"/>
  <c r="R23" i="29"/>
  <c r="T23" i="29" s="1"/>
  <c r="S23" i="29"/>
  <c r="AL23" i="29"/>
  <c r="AN23" i="29"/>
  <c r="AP23" i="29" s="1"/>
  <c r="AR23" i="29"/>
  <c r="C24" i="29"/>
  <c r="F24" i="29"/>
  <c r="G24" i="29"/>
  <c r="I24" i="29"/>
  <c r="J24" i="29"/>
  <c r="K24" i="29"/>
  <c r="L24" i="29"/>
  <c r="M24" i="29"/>
  <c r="N24" i="29"/>
  <c r="O24" i="29"/>
  <c r="Q24" i="29"/>
  <c r="R24" i="29"/>
  <c r="S24" i="29"/>
  <c r="AL24" i="29"/>
  <c r="AM24" i="29"/>
  <c r="AN24" i="29"/>
  <c r="AP24" i="29" s="1"/>
  <c r="AR24" i="29" s="1"/>
  <c r="C25" i="29"/>
  <c r="F25" i="29"/>
  <c r="G25" i="29"/>
  <c r="J25" i="29"/>
  <c r="K25" i="29"/>
  <c r="L25" i="29"/>
  <c r="M25" i="29"/>
  <c r="N25" i="29"/>
  <c r="O25" i="29"/>
  <c r="P25" i="29"/>
  <c r="Q25" i="29"/>
  <c r="R25" i="29"/>
  <c r="T25" i="29" s="1"/>
  <c r="S25" i="29"/>
  <c r="C26" i="29"/>
  <c r="F26" i="29"/>
  <c r="G26" i="29"/>
  <c r="J26" i="29"/>
  <c r="K26" i="29"/>
  <c r="L26" i="29"/>
  <c r="M26" i="29"/>
  <c r="N26" i="29"/>
  <c r="O26" i="29"/>
  <c r="Q26" i="29"/>
  <c r="R26" i="29"/>
  <c r="T26" i="29" s="1"/>
  <c r="S26" i="29"/>
  <c r="AL26" i="29"/>
  <c r="AM26" i="29"/>
  <c r="C27" i="29"/>
  <c r="F27" i="29"/>
  <c r="G27" i="29"/>
  <c r="J27" i="29"/>
  <c r="K27" i="29"/>
  <c r="G43" i="29" s="1"/>
  <c r="M27" i="29"/>
  <c r="N27" i="29"/>
  <c r="O27" i="29"/>
  <c r="Q27" i="29"/>
  <c r="R27" i="29"/>
  <c r="T27" i="29" s="1"/>
  <c r="S27" i="29"/>
  <c r="C28" i="29"/>
  <c r="T28" i="29" s="1"/>
  <c r="F28" i="29"/>
  <c r="G28" i="29"/>
  <c r="J28" i="29"/>
  <c r="K28" i="29"/>
  <c r="M28" i="29"/>
  <c r="N28" i="29"/>
  <c r="O28" i="29"/>
  <c r="Q28" i="29"/>
  <c r="R28" i="29"/>
  <c r="S28" i="29"/>
  <c r="C29" i="29"/>
  <c r="F29" i="29"/>
  <c r="G29" i="29"/>
  <c r="J29" i="29"/>
  <c r="K29" i="29"/>
  <c r="M29" i="29"/>
  <c r="N29" i="29"/>
  <c r="O29" i="29"/>
  <c r="Q29" i="29"/>
  <c r="R29" i="29"/>
  <c r="S29" i="29"/>
  <c r="C30" i="29"/>
  <c r="F30" i="29"/>
  <c r="G30" i="29"/>
  <c r="J30" i="29"/>
  <c r="K30" i="29"/>
  <c r="M30" i="29"/>
  <c r="N30" i="29"/>
  <c r="O30" i="29"/>
  <c r="Q30" i="29"/>
  <c r="R30" i="29"/>
  <c r="S30" i="29"/>
  <c r="F31" i="29"/>
  <c r="G31" i="29"/>
  <c r="J31" i="29"/>
  <c r="K31" i="29"/>
  <c r="M31" i="29"/>
  <c r="N31" i="29"/>
  <c r="N37" i="29" s="1"/>
  <c r="O31" i="29"/>
  <c r="Q31" i="29"/>
  <c r="C32" i="29"/>
  <c r="F32" i="29"/>
  <c r="G32" i="29"/>
  <c r="J32" i="29"/>
  <c r="K32" i="29"/>
  <c r="M32" i="29"/>
  <c r="N32" i="29"/>
  <c r="O32" i="29"/>
  <c r="Q32" i="29"/>
  <c r="R32" i="29"/>
  <c r="S32" i="29"/>
  <c r="C33" i="29"/>
  <c r="F33" i="29"/>
  <c r="G33" i="29"/>
  <c r="J33" i="29"/>
  <c r="K33" i="29"/>
  <c r="M33" i="29"/>
  <c r="N33" i="29"/>
  <c r="O33" i="29"/>
  <c r="Q33" i="29"/>
  <c r="R33" i="29"/>
  <c r="S33" i="29"/>
  <c r="C34" i="29"/>
  <c r="F34" i="29"/>
  <c r="G34" i="29"/>
  <c r="J34" i="29"/>
  <c r="K34" i="29"/>
  <c r="M34" i="29"/>
  <c r="N34" i="29"/>
  <c r="O34" i="29"/>
  <c r="Q34" i="29"/>
  <c r="R34" i="29"/>
  <c r="S34" i="29"/>
  <c r="G37" i="29"/>
  <c r="K37" i="29"/>
  <c r="M37" i="29"/>
  <c r="F38" i="29"/>
  <c r="G38" i="29"/>
  <c r="K38" i="29"/>
  <c r="M38" i="29"/>
  <c r="N38" i="29"/>
  <c r="O38" i="29"/>
  <c r="P38" i="29"/>
  <c r="Q38" i="29"/>
  <c r="M43" i="29"/>
  <c r="L43" i="29"/>
  <c r="K44" i="29"/>
  <c r="L44" i="29"/>
  <c r="M44" i="29"/>
  <c r="N44" i="29" s="1"/>
  <c r="Z44" i="29"/>
  <c r="C45" i="29"/>
  <c r="D45" i="29"/>
  <c r="E45" i="29"/>
  <c r="F45" i="29"/>
  <c r="L47" i="29"/>
  <c r="M47" i="29"/>
  <c r="N47" i="29" s="1"/>
  <c r="AD47" i="29"/>
  <c r="Y48" i="29"/>
  <c r="AG48" i="29" s="1"/>
  <c r="AB48" i="29"/>
  <c r="AD48" i="29"/>
  <c r="AE48" i="29"/>
  <c r="AF48" i="29"/>
  <c r="AF76" i="29" s="1"/>
  <c r="AD49" i="29"/>
  <c r="Y50" i="29"/>
  <c r="AG50" i="29" s="1"/>
  <c r="AB50" i="29"/>
  <c r="AD50" i="29"/>
  <c r="AE50" i="29"/>
  <c r="AF50" i="29"/>
  <c r="AD51" i="29"/>
  <c r="AC52" i="29" s="1"/>
  <c r="Y52" i="29"/>
  <c r="AG52" i="29" s="1"/>
  <c r="AB52" i="29"/>
  <c r="AD52" i="29"/>
  <c r="AE52" i="29"/>
  <c r="AF52" i="29"/>
  <c r="AD53" i="29"/>
  <c r="AC54" i="29" s="1"/>
  <c r="C54" i="29"/>
  <c r="D54" i="29"/>
  <c r="D55" i="29" s="1"/>
  <c r="E54" i="29"/>
  <c r="F54" i="29"/>
  <c r="G54" i="29"/>
  <c r="H54" i="29"/>
  <c r="H55" i="29" s="1"/>
  <c r="Y54" i="29"/>
  <c r="Z54" i="29"/>
  <c r="AI54" i="29" s="1"/>
  <c r="AB54" i="29"/>
  <c r="AD54" i="29"/>
  <c r="AE54" i="29"/>
  <c r="AF54" i="29"/>
  <c r="N55" i="29"/>
  <c r="AD55" i="29"/>
  <c r="F56" i="29"/>
  <c r="G56" i="29"/>
  <c r="N56" i="29"/>
  <c r="Y56" i="29"/>
  <c r="AB56" i="29"/>
  <c r="AD56" i="29"/>
  <c r="AE56" i="29"/>
  <c r="AG56" i="29" s="1"/>
  <c r="AF56" i="29"/>
  <c r="AD57" i="29"/>
  <c r="AC58" i="29"/>
  <c r="Y58" i="29"/>
  <c r="AG58" i="29" s="1"/>
  <c r="AB58" i="29"/>
  <c r="AD58" i="29"/>
  <c r="AE58" i="29"/>
  <c r="AF58" i="29"/>
  <c r="AF74" i="29"/>
  <c r="K59" i="29"/>
  <c r="L59" i="29"/>
  <c r="M59" i="29"/>
  <c r="N59" i="29"/>
  <c r="R59" i="29"/>
  <c r="S59" i="29"/>
  <c r="AD59" i="29"/>
  <c r="Y60" i="29"/>
  <c r="AB60" i="29"/>
  <c r="AD60" i="29"/>
  <c r="AE60" i="29"/>
  <c r="AF60" i="29"/>
  <c r="K61" i="29"/>
  <c r="L61" i="29"/>
  <c r="M61" i="29"/>
  <c r="N61" i="29"/>
  <c r="R61" i="29"/>
  <c r="S61" i="29"/>
  <c r="AD61" i="29"/>
  <c r="Y62" i="29"/>
  <c r="Z62" i="29"/>
  <c r="AB62" i="29"/>
  <c r="AD62" i="29"/>
  <c r="AC62" i="29" s="1"/>
  <c r="AI62" i="29" s="1"/>
  <c r="AE62" i="29"/>
  <c r="AF62" i="29"/>
  <c r="K63" i="29"/>
  <c r="L63" i="29"/>
  <c r="M63" i="29"/>
  <c r="N63" i="29"/>
  <c r="R63" i="29"/>
  <c r="S63" i="29"/>
  <c r="AD63" i="29"/>
  <c r="C64" i="29"/>
  <c r="D64" i="29"/>
  <c r="E64" i="29"/>
  <c r="F64" i="29"/>
  <c r="G64" i="29"/>
  <c r="H64" i="29"/>
  <c r="Y64" i="29"/>
  <c r="AB64" i="29"/>
  <c r="AD64" i="29"/>
  <c r="AC64" i="29"/>
  <c r="AE64" i="29"/>
  <c r="AF64" i="29"/>
  <c r="E65" i="29"/>
  <c r="AD65" i="29"/>
  <c r="AC66" i="29" s="1"/>
  <c r="AI66" i="29" s="1"/>
  <c r="F66" i="29"/>
  <c r="Y66" i="29"/>
  <c r="AB66" i="29"/>
  <c r="AD66" i="29"/>
  <c r="AE66" i="29"/>
  <c r="AG66" i="29" s="1"/>
  <c r="AF66" i="29"/>
  <c r="AD67" i="29"/>
  <c r="Y68" i="29"/>
  <c r="AB68" i="29"/>
  <c r="AD68" i="29"/>
  <c r="AE68" i="29"/>
  <c r="AF68" i="29"/>
  <c r="AD69" i="29"/>
  <c r="Y70" i="29"/>
  <c r="AB70" i="29"/>
  <c r="AD70" i="29"/>
  <c r="AC70" i="29" s="1"/>
  <c r="AE70" i="29"/>
  <c r="AF70" i="29"/>
  <c r="AG70" i="29"/>
  <c r="E75" i="29"/>
  <c r="G75" i="29"/>
  <c r="AD77" i="29"/>
  <c r="AD78" i="29"/>
  <c r="AF78" i="29"/>
  <c r="T10" i="27"/>
  <c r="E19" i="24"/>
  <c r="D19" i="24" s="1"/>
  <c r="C2" i="24"/>
  <c r="J8" i="20"/>
  <c r="J9" i="20"/>
  <c r="J10" i="20"/>
  <c r="J11" i="20"/>
  <c r="J12" i="20"/>
  <c r="J15" i="24"/>
  <c r="J16" i="24"/>
  <c r="J17" i="24"/>
  <c r="J18" i="24"/>
  <c r="I18" i="24" s="1"/>
  <c r="H18" i="24" s="1"/>
  <c r="Z68" i="24" s="1"/>
  <c r="J19" i="24"/>
  <c r="C2" i="27"/>
  <c r="C37" i="27" s="1"/>
  <c r="C38" i="27"/>
  <c r="AL4" i="27"/>
  <c r="AM4" i="27"/>
  <c r="AM13" i="27" s="1"/>
  <c r="J8" i="7"/>
  <c r="I8" i="7" s="1"/>
  <c r="AM5" i="27"/>
  <c r="AN5" i="27"/>
  <c r="AL6" i="27"/>
  <c r="T8" i="27"/>
  <c r="U8" i="27"/>
  <c r="AN8" i="27"/>
  <c r="T9" i="27"/>
  <c r="AM9" i="27"/>
  <c r="AN9" i="27"/>
  <c r="J8" i="11"/>
  <c r="I8" i="11" s="1"/>
  <c r="H8" i="11" s="1"/>
  <c r="AL10" i="27"/>
  <c r="AM10" i="27"/>
  <c r="T11" i="27"/>
  <c r="U11" i="27"/>
  <c r="V11" i="27"/>
  <c r="C20" i="27"/>
  <c r="C21" i="27"/>
  <c r="S20" i="27"/>
  <c r="S21" i="27"/>
  <c r="AM11" i="27" s="1"/>
  <c r="R20" i="27"/>
  <c r="R21" i="27"/>
  <c r="AN11" i="27" s="1"/>
  <c r="T12" i="27"/>
  <c r="T13" i="27"/>
  <c r="U13" i="27"/>
  <c r="V13" i="27"/>
  <c r="T14" i="27"/>
  <c r="T15" i="27"/>
  <c r="U15" i="27"/>
  <c r="T16" i="27"/>
  <c r="V16" i="27"/>
  <c r="T17" i="27"/>
  <c r="T18" i="27"/>
  <c r="V18" i="27"/>
  <c r="AL18" i="27"/>
  <c r="AM18" i="27"/>
  <c r="AN18" i="27"/>
  <c r="AP18" i="27" s="1"/>
  <c r="T19" i="27"/>
  <c r="AL19" i="27"/>
  <c r="AP19" i="27" s="1"/>
  <c r="AM19" i="27"/>
  <c r="AN19" i="27"/>
  <c r="F20" i="27"/>
  <c r="G20" i="27"/>
  <c r="K20" i="27"/>
  <c r="M20" i="27"/>
  <c r="N20" i="27"/>
  <c r="O20" i="27"/>
  <c r="P20" i="27"/>
  <c r="Q20" i="27"/>
  <c r="T20" i="27"/>
  <c r="AK20" i="27"/>
  <c r="AO20" i="27" s="1"/>
  <c r="AL20" i="27"/>
  <c r="AM20" i="27"/>
  <c r="AN20" i="27"/>
  <c r="E21" i="27"/>
  <c r="F21" i="27"/>
  <c r="G21" i="27"/>
  <c r="K21" i="27"/>
  <c r="L21" i="27"/>
  <c r="M21" i="27"/>
  <c r="N21" i="27"/>
  <c r="O21" i="27"/>
  <c r="P21" i="27"/>
  <c r="Q21" i="27"/>
  <c r="AL21" i="27"/>
  <c r="AM21" i="27"/>
  <c r="AN21" i="27"/>
  <c r="AP21" i="27" s="1"/>
  <c r="AK22" i="27"/>
  <c r="AL22" i="27"/>
  <c r="AM22" i="27"/>
  <c r="AN22" i="27"/>
  <c r="C23" i="27"/>
  <c r="F23" i="27"/>
  <c r="G23" i="27"/>
  <c r="H23" i="27"/>
  <c r="U23" i="27" s="1"/>
  <c r="I23" i="27"/>
  <c r="J23" i="27"/>
  <c r="K23" i="27"/>
  <c r="L23" i="27"/>
  <c r="M23" i="27"/>
  <c r="N23" i="27"/>
  <c r="O23" i="27"/>
  <c r="Q23" i="27"/>
  <c r="R23" i="27"/>
  <c r="S23" i="27"/>
  <c r="AL23" i="27"/>
  <c r="AM23" i="27"/>
  <c r="AN23" i="27"/>
  <c r="AP23" i="27" s="1"/>
  <c r="C24" i="27"/>
  <c r="T24" i="27" s="1"/>
  <c r="E24" i="27"/>
  <c r="F24" i="27"/>
  <c r="G24" i="27"/>
  <c r="K24" i="27"/>
  <c r="L24" i="27"/>
  <c r="M24" i="27"/>
  <c r="N24" i="27"/>
  <c r="O24" i="27"/>
  <c r="Q24" i="27"/>
  <c r="R24" i="27"/>
  <c r="S24" i="27"/>
  <c r="AL24" i="27"/>
  <c r="AM24" i="27"/>
  <c r="AN24" i="27"/>
  <c r="C25" i="27"/>
  <c r="F25" i="27"/>
  <c r="G25" i="27"/>
  <c r="K25" i="27"/>
  <c r="M25" i="27"/>
  <c r="N25" i="27"/>
  <c r="O25" i="27"/>
  <c r="Q25" i="27"/>
  <c r="R25" i="27"/>
  <c r="T25" i="27" s="1"/>
  <c r="S25" i="27"/>
  <c r="C26" i="27"/>
  <c r="T26" i="27" s="1"/>
  <c r="E26" i="27"/>
  <c r="F26" i="27"/>
  <c r="G26" i="27"/>
  <c r="K26" i="27"/>
  <c r="M26" i="27"/>
  <c r="N26" i="27"/>
  <c r="O26" i="27"/>
  <c r="Q26" i="27"/>
  <c r="R26" i="27"/>
  <c r="S26" i="27"/>
  <c r="C27" i="27"/>
  <c r="T27" i="27" s="1"/>
  <c r="F27" i="27"/>
  <c r="G27" i="27"/>
  <c r="K27" i="27"/>
  <c r="G43" i="27" s="1"/>
  <c r="L27" i="27"/>
  <c r="M27" i="27"/>
  <c r="N27" i="27"/>
  <c r="O27" i="27"/>
  <c r="Q27" i="27"/>
  <c r="R27" i="27"/>
  <c r="S27" i="27"/>
  <c r="C28" i="27"/>
  <c r="F28" i="27"/>
  <c r="G28" i="27"/>
  <c r="K28" i="27"/>
  <c r="L28" i="27"/>
  <c r="M28" i="27"/>
  <c r="N28" i="27"/>
  <c r="O28" i="27"/>
  <c r="P28" i="27"/>
  <c r="Q28" i="27"/>
  <c r="R28" i="27"/>
  <c r="S28" i="27"/>
  <c r="C29" i="27"/>
  <c r="T29" i="27" s="1"/>
  <c r="F29" i="27"/>
  <c r="G29" i="27"/>
  <c r="K29" i="27"/>
  <c r="M29" i="27"/>
  <c r="N29" i="27"/>
  <c r="O29" i="27"/>
  <c r="Q29" i="27"/>
  <c r="R29" i="27"/>
  <c r="S29" i="27"/>
  <c r="C30" i="27"/>
  <c r="T30" i="27" s="1"/>
  <c r="F30" i="27"/>
  <c r="G30" i="27"/>
  <c r="K30" i="27"/>
  <c r="M30" i="27"/>
  <c r="N30" i="27"/>
  <c r="O30" i="27"/>
  <c r="Q30" i="27"/>
  <c r="R30" i="27"/>
  <c r="S30" i="27"/>
  <c r="F31" i="27"/>
  <c r="F37" i="27" s="1"/>
  <c r="F38" i="27"/>
  <c r="G31" i="27"/>
  <c r="G37" i="27" s="1"/>
  <c r="K31" i="27"/>
  <c r="K38" i="27"/>
  <c r="M31" i="27"/>
  <c r="M37" i="27" s="1"/>
  <c r="N31" i="27"/>
  <c r="N38" i="27"/>
  <c r="O31" i="27"/>
  <c r="O37" i="27" s="1"/>
  <c r="P31" i="27"/>
  <c r="P37" i="27" s="1"/>
  <c r="P38" i="27"/>
  <c r="Q31" i="27"/>
  <c r="Q37" i="27" s="1"/>
  <c r="R31" i="27"/>
  <c r="S31" i="27"/>
  <c r="S37" i="27" s="1"/>
  <c r="S38" i="27"/>
  <c r="T31" i="27"/>
  <c r="C32" i="27"/>
  <c r="F32" i="27"/>
  <c r="G32" i="27"/>
  <c r="K32" i="27"/>
  <c r="L32" i="27"/>
  <c r="M32" i="27"/>
  <c r="N32" i="27"/>
  <c r="O32" i="27"/>
  <c r="Q32" i="27"/>
  <c r="R32" i="27"/>
  <c r="S32" i="27"/>
  <c r="C33" i="27"/>
  <c r="F33" i="27"/>
  <c r="G33" i="27"/>
  <c r="K33" i="27"/>
  <c r="M33" i="27"/>
  <c r="N33" i="27"/>
  <c r="O33" i="27"/>
  <c r="Q33" i="27"/>
  <c r="R33" i="27"/>
  <c r="T33" i="27" s="1"/>
  <c r="S33" i="27"/>
  <c r="C34" i="27"/>
  <c r="F34" i="27"/>
  <c r="G34" i="27"/>
  <c r="K34" i="27"/>
  <c r="M34" i="27"/>
  <c r="N34" i="27"/>
  <c r="O34" i="27"/>
  <c r="Q34" i="27"/>
  <c r="R34" i="27"/>
  <c r="S34" i="27"/>
  <c r="C19" i="18"/>
  <c r="G19" i="18"/>
  <c r="G35" i="20" s="1"/>
  <c r="F19" i="18"/>
  <c r="F35" i="20" s="1"/>
  <c r="K19" i="18"/>
  <c r="M19" i="18"/>
  <c r="M35" i="20" s="1"/>
  <c r="N19" i="18"/>
  <c r="G38" i="27"/>
  <c r="M38" i="27"/>
  <c r="O38" i="27"/>
  <c r="Q38" i="27"/>
  <c r="M43" i="27"/>
  <c r="N43" i="27" s="1"/>
  <c r="D43" i="27"/>
  <c r="F43" i="27"/>
  <c r="L43" i="27"/>
  <c r="K44" i="27"/>
  <c r="L44" i="27"/>
  <c r="M44" i="27"/>
  <c r="N44" i="27"/>
  <c r="R44" i="27" s="1"/>
  <c r="Z44" i="27"/>
  <c r="D45" i="27"/>
  <c r="E45" i="27"/>
  <c r="F45" i="27"/>
  <c r="L47" i="27"/>
  <c r="M47" i="27"/>
  <c r="N47" i="27" s="1"/>
  <c r="R47" i="27" s="1"/>
  <c r="AD47" i="27"/>
  <c r="Y48" i="27"/>
  <c r="Z48" i="27"/>
  <c r="AB48" i="27"/>
  <c r="AD48" i="27"/>
  <c r="AE48" i="27"/>
  <c r="AF48" i="27"/>
  <c r="AD49" i="27"/>
  <c r="Y50" i="27"/>
  <c r="AG50" i="27"/>
  <c r="AB50" i="27"/>
  <c r="AD50" i="27"/>
  <c r="AE50" i="27"/>
  <c r="AF50" i="27"/>
  <c r="AD51" i="27"/>
  <c r="Y52" i="27"/>
  <c r="AG52" i="27" s="1"/>
  <c r="AB52" i="27"/>
  <c r="AD52" i="27"/>
  <c r="AE52" i="27"/>
  <c r="AF52" i="27"/>
  <c r="AD53" i="27"/>
  <c r="C54" i="27"/>
  <c r="D55" i="27"/>
  <c r="D54" i="27"/>
  <c r="E54" i="27"/>
  <c r="F54" i="27"/>
  <c r="F55" i="27" s="1"/>
  <c r="G54" i="27"/>
  <c r="H54" i="27"/>
  <c r="Y54" i="27"/>
  <c r="AG54" i="27" s="1"/>
  <c r="Z54" i="27"/>
  <c r="AB54" i="27"/>
  <c r="AD54" i="27"/>
  <c r="AC54" i="27"/>
  <c r="AI54" i="27" s="1"/>
  <c r="AE54" i="27"/>
  <c r="AF54" i="27"/>
  <c r="N55" i="27"/>
  <c r="AD55" i="27"/>
  <c r="C56" i="27"/>
  <c r="F56" i="27"/>
  <c r="G58" i="27" s="1"/>
  <c r="G56" i="27"/>
  <c r="N56" i="27"/>
  <c r="Y56" i="27"/>
  <c r="AB56" i="27"/>
  <c r="AD56" i="27"/>
  <c r="AE56" i="27"/>
  <c r="AF56" i="27"/>
  <c r="F57" i="27"/>
  <c r="G60" i="27" s="1"/>
  <c r="AD57" i="27"/>
  <c r="Y58" i="27"/>
  <c r="AG58" i="27" s="1"/>
  <c r="AB58" i="27"/>
  <c r="AD58" i="27"/>
  <c r="AE58" i="27"/>
  <c r="AF58" i="27"/>
  <c r="K59" i="27"/>
  <c r="L59" i="27"/>
  <c r="M59" i="27"/>
  <c r="N59" i="27"/>
  <c r="R59" i="27"/>
  <c r="S59" i="27"/>
  <c r="AD59" i="27"/>
  <c r="AC60" i="27" s="1"/>
  <c r="Y60" i="27"/>
  <c r="AB60" i="27"/>
  <c r="AD60" i="27"/>
  <c r="AE60" i="27"/>
  <c r="AF60" i="27"/>
  <c r="K61" i="27"/>
  <c r="L61" i="27"/>
  <c r="M61" i="27"/>
  <c r="N61" i="27"/>
  <c r="R61" i="27"/>
  <c r="S61" i="27"/>
  <c r="AD61" i="27"/>
  <c r="Y62" i="27"/>
  <c r="AG62" i="27" s="1"/>
  <c r="Z62" i="27"/>
  <c r="AH62" i="27" s="1"/>
  <c r="AB62" i="27"/>
  <c r="AD62" i="27"/>
  <c r="AC62" i="27"/>
  <c r="AI62" i="27" s="1"/>
  <c r="AE62" i="27"/>
  <c r="AF62" i="27"/>
  <c r="K63" i="27"/>
  <c r="L63" i="27"/>
  <c r="M63" i="27"/>
  <c r="N63" i="27"/>
  <c r="R63" i="27"/>
  <c r="S63" i="27"/>
  <c r="AD63" i="27"/>
  <c r="C64" i="27"/>
  <c r="D64" i="27"/>
  <c r="E64" i="27"/>
  <c r="F64" i="27"/>
  <c r="G64" i="27"/>
  <c r="H65" i="27" s="1"/>
  <c r="H64" i="27"/>
  <c r="Y64" i="27"/>
  <c r="AB64" i="27"/>
  <c r="AD64" i="27"/>
  <c r="AE64" i="27"/>
  <c r="AF64" i="27"/>
  <c r="AD65" i="27"/>
  <c r="C66" i="27"/>
  <c r="E66" i="27"/>
  <c r="F66" i="27"/>
  <c r="F68" i="27" s="1"/>
  <c r="G66" i="27"/>
  <c r="Y66" i="27"/>
  <c r="AB66" i="27"/>
  <c r="AD66" i="27"/>
  <c r="AE66" i="27"/>
  <c r="AG66" i="27" s="1"/>
  <c r="AF66" i="27"/>
  <c r="AD67" i="27"/>
  <c r="Y68" i="27"/>
  <c r="AB68" i="27"/>
  <c r="AD68" i="27"/>
  <c r="AE68" i="27"/>
  <c r="AF68" i="27"/>
  <c r="AG68" i="27"/>
  <c r="AD69" i="27"/>
  <c r="Y70" i="27"/>
  <c r="AB70" i="27"/>
  <c r="AD70" i="27"/>
  <c r="AC70" i="27"/>
  <c r="AE70" i="27"/>
  <c r="AF70" i="27"/>
  <c r="AE74" i="27"/>
  <c r="D75" i="27"/>
  <c r="E75" i="27"/>
  <c r="G75" i="27"/>
  <c r="E17" i="20"/>
  <c r="D17" i="20" s="1"/>
  <c r="E18" i="20"/>
  <c r="E19" i="20"/>
  <c r="D19" i="20" s="1"/>
  <c r="I17" i="20"/>
  <c r="I18" i="20"/>
  <c r="I19" i="20"/>
  <c r="P17" i="20"/>
  <c r="P18" i="20"/>
  <c r="P19" i="20"/>
  <c r="J19" i="18"/>
  <c r="I19" i="18"/>
  <c r="S20" i="24"/>
  <c r="S21" i="24"/>
  <c r="AM11" i="24" s="1"/>
  <c r="R20" i="24"/>
  <c r="G20" i="24"/>
  <c r="F20" i="24"/>
  <c r="F21" i="24"/>
  <c r="T12" i="24"/>
  <c r="U12" i="24"/>
  <c r="T13" i="24"/>
  <c r="U13" i="24"/>
  <c r="AL4" i="24"/>
  <c r="AM4" i="24"/>
  <c r="AM5" i="24"/>
  <c r="AN5" i="24"/>
  <c r="AL6" i="24"/>
  <c r="T8" i="24"/>
  <c r="AN8" i="24"/>
  <c r="T9" i="24"/>
  <c r="AL9" i="24"/>
  <c r="AM9" i="24"/>
  <c r="T10" i="24"/>
  <c r="U10" i="24"/>
  <c r="V10" i="24"/>
  <c r="AM10" i="24"/>
  <c r="T11" i="24"/>
  <c r="U11" i="24"/>
  <c r="V11" i="24"/>
  <c r="C20" i="24"/>
  <c r="C21" i="24"/>
  <c r="AL11" i="24"/>
  <c r="R21" i="24"/>
  <c r="AN11" i="24" s="1"/>
  <c r="T14" i="24"/>
  <c r="T15" i="24"/>
  <c r="T16" i="24"/>
  <c r="T17" i="24"/>
  <c r="T18" i="24"/>
  <c r="U18" i="24"/>
  <c r="V18" i="24"/>
  <c r="AL18" i="24"/>
  <c r="AP18" i="24" s="1"/>
  <c r="AM18" i="24"/>
  <c r="AN18" i="24"/>
  <c r="T19" i="24"/>
  <c r="AL19" i="24"/>
  <c r="AM19" i="24"/>
  <c r="AN19" i="24"/>
  <c r="AP19" i="24" s="1"/>
  <c r="K20" i="24"/>
  <c r="L20" i="24"/>
  <c r="M20" i="24"/>
  <c r="N20" i="24"/>
  <c r="O20" i="24"/>
  <c r="P20" i="24"/>
  <c r="Q20" i="24"/>
  <c r="T20" i="24"/>
  <c r="AK20" i="24"/>
  <c r="AL20" i="24"/>
  <c r="AM20" i="24"/>
  <c r="AN20" i="24"/>
  <c r="AP20" i="24" s="1"/>
  <c r="E21" i="24"/>
  <c r="G21" i="24"/>
  <c r="J21" i="24"/>
  <c r="K21" i="24"/>
  <c r="L21" i="24"/>
  <c r="M21" i="24"/>
  <c r="N21" i="24"/>
  <c r="O21" i="24"/>
  <c r="P21" i="24"/>
  <c r="Q21" i="24"/>
  <c r="T21" i="24"/>
  <c r="AL21" i="24"/>
  <c r="AM21" i="24"/>
  <c r="AN21" i="24"/>
  <c r="AK22" i="24"/>
  <c r="AL22" i="24"/>
  <c r="AM22" i="24"/>
  <c r="AN22" i="24"/>
  <c r="AO22" i="24"/>
  <c r="C23" i="24"/>
  <c r="D23" i="24"/>
  <c r="E23" i="24"/>
  <c r="F23" i="24"/>
  <c r="G23" i="24"/>
  <c r="J23" i="24"/>
  <c r="K23" i="24"/>
  <c r="L23" i="24"/>
  <c r="M23" i="24"/>
  <c r="N23" i="24"/>
  <c r="O23" i="24"/>
  <c r="P23" i="24"/>
  <c r="Q23" i="24"/>
  <c r="R23" i="24"/>
  <c r="S23" i="24"/>
  <c r="AL23" i="24"/>
  <c r="AL26" i="24" s="1"/>
  <c r="AM23" i="24"/>
  <c r="AN23" i="24"/>
  <c r="C24" i="24"/>
  <c r="E24" i="24"/>
  <c r="F24" i="24"/>
  <c r="G24" i="24"/>
  <c r="K24" i="24"/>
  <c r="L24" i="24"/>
  <c r="M24" i="24"/>
  <c r="N24" i="24"/>
  <c r="O24" i="24"/>
  <c r="P24" i="24"/>
  <c r="Q24" i="24"/>
  <c r="R24" i="24"/>
  <c r="S24" i="24"/>
  <c r="AK24" i="24"/>
  <c r="AL24" i="24"/>
  <c r="AM24" i="24"/>
  <c r="AO24" i="24" s="1"/>
  <c r="AN24" i="24"/>
  <c r="AP24" i="24" s="1"/>
  <c r="C25" i="24"/>
  <c r="T25" i="24" s="1"/>
  <c r="F25" i="24"/>
  <c r="G25" i="24"/>
  <c r="J25" i="24"/>
  <c r="K25" i="24"/>
  <c r="L25" i="24"/>
  <c r="M25" i="24"/>
  <c r="N25" i="24"/>
  <c r="O25" i="24"/>
  <c r="P25" i="24"/>
  <c r="Q25" i="24"/>
  <c r="R25" i="24"/>
  <c r="S25" i="24"/>
  <c r="C26" i="24"/>
  <c r="T26" i="24" s="1"/>
  <c r="F26" i="24"/>
  <c r="G26" i="24"/>
  <c r="J26" i="24"/>
  <c r="K26" i="24"/>
  <c r="L26" i="24"/>
  <c r="M26" i="24"/>
  <c r="N26" i="24"/>
  <c r="O26" i="24"/>
  <c r="Q26" i="24"/>
  <c r="R26" i="24"/>
  <c r="S26" i="24"/>
  <c r="C27" i="24"/>
  <c r="E27" i="24"/>
  <c r="F27" i="24"/>
  <c r="G27" i="24"/>
  <c r="J27" i="24"/>
  <c r="K27" i="24"/>
  <c r="L27" i="24"/>
  <c r="M27" i="24"/>
  <c r="N27" i="24"/>
  <c r="O27" i="24"/>
  <c r="P27" i="24"/>
  <c r="Q27" i="24"/>
  <c r="R27" i="24"/>
  <c r="S27" i="24"/>
  <c r="C28" i="24"/>
  <c r="E28" i="24"/>
  <c r="F28" i="24"/>
  <c r="G28" i="24"/>
  <c r="J28" i="24"/>
  <c r="K28" i="24"/>
  <c r="L28" i="24"/>
  <c r="M28" i="24"/>
  <c r="N28" i="24"/>
  <c r="O28" i="24"/>
  <c r="P28" i="24"/>
  <c r="Q28" i="24"/>
  <c r="R28" i="24"/>
  <c r="S28" i="24"/>
  <c r="C29" i="24"/>
  <c r="F29" i="24"/>
  <c r="G29" i="24"/>
  <c r="J29" i="24"/>
  <c r="K29" i="24"/>
  <c r="L29" i="24"/>
  <c r="M29" i="24"/>
  <c r="N29" i="24"/>
  <c r="O29" i="24"/>
  <c r="P29" i="24"/>
  <c r="Q29" i="24"/>
  <c r="R29" i="24"/>
  <c r="S29" i="24"/>
  <c r="C30" i="24"/>
  <c r="T30" i="24" s="1"/>
  <c r="F30" i="24"/>
  <c r="G30" i="24"/>
  <c r="J30" i="24"/>
  <c r="K30" i="24"/>
  <c r="L30" i="24"/>
  <c r="M30" i="24"/>
  <c r="N30" i="24"/>
  <c r="O30" i="24"/>
  <c r="Q30" i="24"/>
  <c r="R30" i="24"/>
  <c r="S30" i="24"/>
  <c r="C31" i="24"/>
  <c r="F31" i="24"/>
  <c r="F38" i="24"/>
  <c r="G31" i="24"/>
  <c r="G37" i="24" s="1"/>
  <c r="K31" i="24"/>
  <c r="K38" i="24"/>
  <c r="M31" i="24"/>
  <c r="M37" i="24" s="1"/>
  <c r="N31" i="24"/>
  <c r="N37" i="24" s="1"/>
  <c r="N38" i="24"/>
  <c r="O31" i="24"/>
  <c r="O37" i="24" s="1"/>
  <c r="P31" i="24"/>
  <c r="P37" i="24" s="1"/>
  <c r="P38" i="24"/>
  <c r="Q31" i="24"/>
  <c r="R31" i="24"/>
  <c r="R38" i="24"/>
  <c r="S31" i="24"/>
  <c r="C32" i="24"/>
  <c r="F32" i="24"/>
  <c r="G32" i="24"/>
  <c r="K32" i="24"/>
  <c r="L32" i="24"/>
  <c r="M32" i="24"/>
  <c r="N32" i="24"/>
  <c r="O32" i="24"/>
  <c r="P32" i="24"/>
  <c r="Q32" i="24"/>
  <c r="R32" i="24"/>
  <c r="S32" i="24"/>
  <c r="C33" i="24"/>
  <c r="F33" i="24"/>
  <c r="G33" i="24"/>
  <c r="K33" i="24"/>
  <c r="L33" i="24"/>
  <c r="M33" i="24"/>
  <c r="N33" i="24"/>
  <c r="O33" i="24"/>
  <c r="Q33" i="24"/>
  <c r="R33" i="24"/>
  <c r="S33" i="24"/>
  <c r="C34" i="24"/>
  <c r="T34" i="24" s="1"/>
  <c r="F34" i="24"/>
  <c r="G34" i="24"/>
  <c r="K34" i="24"/>
  <c r="L34" i="24"/>
  <c r="M34" i="24"/>
  <c r="N34" i="24"/>
  <c r="O34" i="24"/>
  <c r="Q34" i="24"/>
  <c r="R34" i="24"/>
  <c r="S34" i="24"/>
  <c r="G38" i="24"/>
  <c r="J38" i="24"/>
  <c r="M38" i="24"/>
  <c r="O38" i="24"/>
  <c r="Q38" i="24"/>
  <c r="M43" i="24"/>
  <c r="N43" i="24"/>
  <c r="R43" i="24" s="1"/>
  <c r="R42" i="24" s="1"/>
  <c r="D43" i="24"/>
  <c r="F43" i="24"/>
  <c r="G43" i="24"/>
  <c r="L43" i="24"/>
  <c r="K44" i="24"/>
  <c r="L44" i="24"/>
  <c r="M44" i="24"/>
  <c r="N44" i="24"/>
  <c r="Z44" i="24"/>
  <c r="D45" i="24"/>
  <c r="E45" i="24"/>
  <c r="F45" i="24"/>
  <c r="L47" i="24"/>
  <c r="M47" i="24"/>
  <c r="N47" i="24" s="1"/>
  <c r="AD47" i="24"/>
  <c r="Y48" i="24"/>
  <c r="AG48" i="24" s="1"/>
  <c r="AB48" i="24"/>
  <c r="AD48" i="24"/>
  <c r="AC48" i="24"/>
  <c r="AE48" i="24"/>
  <c r="AE78" i="24"/>
  <c r="AF48" i="24"/>
  <c r="AD49" i="24"/>
  <c r="Y50" i="24"/>
  <c r="Y74" i="24"/>
  <c r="Z50" i="24"/>
  <c r="AB50" i="24"/>
  <c r="AD50" i="24"/>
  <c r="AC50" i="24" s="1"/>
  <c r="AI50" i="24" s="1"/>
  <c r="AE50" i="24"/>
  <c r="AE74" i="24"/>
  <c r="AF50" i="24"/>
  <c r="AG50" i="24"/>
  <c r="AD51" i="24"/>
  <c r="Y52" i="24"/>
  <c r="Z52" i="24"/>
  <c r="AB52" i="24"/>
  <c r="AD52" i="24"/>
  <c r="AE52" i="24"/>
  <c r="AF52" i="24"/>
  <c r="AH52" i="24" s="1"/>
  <c r="AD53" i="24"/>
  <c r="AC54" i="24" s="1"/>
  <c r="D54" i="24"/>
  <c r="E54" i="24"/>
  <c r="F55" i="24" s="1"/>
  <c r="F54" i="24"/>
  <c r="G54" i="24"/>
  <c r="H54" i="24"/>
  <c r="Y54" i="24"/>
  <c r="Z54" i="24"/>
  <c r="AH54" i="24" s="1"/>
  <c r="AB54" i="24"/>
  <c r="AD54" i="24"/>
  <c r="AE54" i="24"/>
  <c r="AF54" i="24"/>
  <c r="AF74" i="24"/>
  <c r="H55" i="24"/>
  <c r="N55" i="24"/>
  <c r="AD55" i="24"/>
  <c r="C56" i="24"/>
  <c r="F56" i="24"/>
  <c r="G56" i="24"/>
  <c r="N56" i="24"/>
  <c r="Y56" i="24"/>
  <c r="AB56" i="24"/>
  <c r="AD56" i="24"/>
  <c r="AC56" i="24" s="1"/>
  <c r="AE56" i="24"/>
  <c r="AF56" i="24"/>
  <c r="AD57" i="24"/>
  <c r="Y58" i="24"/>
  <c r="Z58" i="24"/>
  <c r="AB58" i="24"/>
  <c r="AD58" i="24"/>
  <c r="AC58" i="24" s="1"/>
  <c r="AI58" i="24" s="1"/>
  <c r="AE58" i="24"/>
  <c r="AF58" i="24"/>
  <c r="K59" i="24"/>
  <c r="L59" i="24"/>
  <c r="M59" i="24"/>
  <c r="N59" i="24"/>
  <c r="R59" i="24"/>
  <c r="S59" i="24"/>
  <c r="AD59" i="24"/>
  <c r="Y60" i="24"/>
  <c r="Z60" i="24"/>
  <c r="AB60" i="24"/>
  <c r="AD60" i="24"/>
  <c r="AE60" i="24"/>
  <c r="AF60" i="24"/>
  <c r="K61" i="24"/>
  <c r="L61" i="24"/>
  <c r="M61" i="24"/>
  <c r="N61" i="24"/>
  <c r="R61" i="24"/>
  <c r="S61" i="24"/>
  <c r="AD61" i="24"/>
  <c r="AC62" i="24" s="1"/>
  <c r="Y62" i="24"/>
  <c r="AG62" i="24" s="1"/>
  <c r="AB62" i="24"/>
  <c r="AD62" i="24"/>
  <c r="AE62" i="24"/>
  <c r="AF62" i="24"/>
  <c r="K63" i="24"/>
  <c r="L63" i="24"/>
  <c r="M63" i="24"/>
  <c r="N63" i="24"/>
  <c r="R63" i="24"/>
  <c r="S63" i="24"/>
  <c r="AD63" i="24"/>
  <c r="D64" i="24"/>
  <c r="E64" i="24"/>
  <c r="F64" i="24"/>
  <c r="F65" i="24" s="1"/>
  <c r="G64" i="24"/>
  <c r="H64" i="24"/>
  <c r="Y64" i="24"/>
  <c r="AB64" i="24"/>
  <c r="AD64" i="24"/>
  <c r="AC64" i="24"/>
  <c r="AE64" i="24"/>
  <c r="AG64" i="24" s="1"/>
  <c r="AF64" i="24"/>
  <c r="AD65" i="24"/>
  <c r="C66" i="24"/>
  <c r="C67" i="24" s="1"/>
  <c r="D70" i="24" s="1"/>
  <c r="E66" i="24"/>
  <c r="Y66" i="24"/>
  <c r="AB66" i="24"/>
  <c r="AD66" i="24"/>
  <c r="AC66" i="24"/>
  <c r="AE66" i="24"/>
  <c r="AF66" i="24"/>
  <c r="AD67" i="24"/>
  <c r="Y68" i="24"/>
  <c r="AB68" i="24"/>
  <c r="AD68" i="24"/>
  <c r="AC68" i="24" s="1"/>
  <c r="AE68" i="24"/>
  <c r="AF68" i="24"/>
  <c r="AG68" i="24"/>
  <c r="AD69" i="24"/>
  <c r="Y70" i="24"/>
  <c r="AG70" i="24" s="1"/>
  <c r="AB70" i="24"/>
  <c r="AD70" i="24"/>
  <c r="AE70" i="24"/>
  <c r="AF70" i="24"/>
  <c r="E75" i="24"/>
  <c r="G75" i="24"/>
  <c r="AD77" i="24"/>
  <c r="AD78" i="24"/>
  <c r="AF78" i="24"/>
  <c r="Q21" i="23"/>
  <c r="O21" i="23"/>
  <c r="N21" i="23"/>
  <c r="M21" i="23"/>
  <c r="K21" i="23"/>
  <c r="J21" i="23"/>
  <c r="G21" i="23"/>
  <c r="F21" i="23"/>
  <c r="P38" i="23"/>
  <c r="O2" i="23"/>
  <c r="O37" i="23" s="1"/>
  <c r="N2" i="23"/>
  <c r="N37" i="23"/>
  <c r="N38" i="23"/>
  <c r="M2" i="23"/>
  <c r="M37" i="23" s="1"/>
  <c r="K2" i="23"/>
  <c r="K37" i="23"/>
  <c r="K38" i="23"/>
  <c r="J2" i="23"/>
  <c r="I38" i="23"/>
  <c r="G2" i="23"/>
  <c r="F2" i="23"/>
  <c r="F37" i="23"/>
  <c r="F38" i="23"/>
  <c r="AL4" i="23"/>
  <c r="AP4" i="23" s="1"/>
  <c r="AN4" i="23"/>
  <c r="AM5" i="23"/>
  <c r="AN5" i="23"/>
  <c r="AL6" i="23"/>
  <c r="AN8" i="23"/>
  <c r="AL9" i="23"/>
  <c r="AM9" i="23"/>
  <c r="AN9" i="23"/>
  <c r="AM10" i="23"/>
  <c r="AL11" i="23"/>
  <c r="AP11" i="23" s="1"/>
  <c r="AM11" i="23"/>
  <c r="AN11" i="23"/>
  <c r="AL18" i="23"/>
  <c r="AL26" i="23" s="1"/>
  <c r="AM18" i="23"/>
  <c r="AN18" i="23"/>
  <c r="AL19" i="23"/>
  <c r="AM19" i="23"/>
  <c r="AN19" i="23"/>
  <c r="AP19" i="23"/>
  <c r="AK20" i="23"/>
  <c r="AL20" i="23"/>
  <c r="AM20" i="23"/>
  <c r="AN20" i="23"/>
  <c r="I21" i="23"/>
  <c r="P21" i="23"/>
  <c r="AL21" i="23"/>
  <c r="AM21" i="23"/>
  <c r="AN21" i="23"/>
  <c r="AP21" i="23" s="1"/>
  <c r="AK22" i="23"/>
  <c r="AL22" i="23"/>
  <c r="AM22" i="23"/>
  <c r="AN22" i="23"/>
  <c r="AO22" i="23"/>
  <c r="AL23" i="23"/>
  <c r="AM23" i="23"/>
  <c r="AM26" i="23" s="1"/>
  <c r="AN23" i="23"/>
  <c r="AP23" i="23" s="1"/>
  <c r="AL24" i="23"/>
  <c r="AM24" i="23"/>
  <c r="AN24" i="23"/>
  <c r="AN26" i="23"/>
  <c r="G37" i="23"/>
  <c r="J37" i="23"/>
  <c r="Q37" i="23"/>
  <c r="E38" i="23"/>
  <c r="G38" i="23"/>
  <c r="J38" i="23"/>
  <c r="M38" i="23"/>
  <c r="O38" i="23"/>
  <c r="Q38" i="23"/>
  <c r="M43" i="23"/>
  <c r="N43" i="23"/>
  <c r="R43" i="23" s="1"/>
  <c r="R42" i="23" s="1"/>
  <c r="D43" i="23"/>
  <c r="E43" i="23"/>
  <c r="E46" i="23" s="1"/>
  <c r="F43" i="23"/>
  <c r="G43" i="23"/>
  <c r="L43" i="23"/>
  <c r="G44" i="23"/>
  <c r="K44" i="23"/>
  <c r="L44" i="23"/>
  <c r="M44" i="23"/>
  <c r="N44" i="23"/>
  <c r="R44" i="23" s="1"/>
  <c r="Z44" i="23"/>
  <c r="D45" i="23"/>
  <c r="E45" i="23"/>
  <c r="E47" i="23" s="1"/>
  <c r="L47" i="23"/>
  <c r="M47" i="23"/>
  <c r="N47" i="23"/>
  <c r="R47" i="23"/>
  <c r="AD47" i="23"/>
  <c r="Y48" i="23"/>
  <c r="AB48" i="23"/>
  <c r="AD48" i="23"/>
  <c r="AE48" i="23"/>
  <c r="AF48" i="23"/>
  <c r="AF78" i="23"/>
  <c r="AD49" i="23"/>
  <c r="Y50" i="23"/>
  <c r="Z50" i="23"/>
  <c r="AB50" i="23"/>
  <c r="AD50" i="23"/>
  <c r="AD74" i="23"/>
  <c r="AE50" i="23"/>
  <c r="AF50" i="23"/>
  <c r="AF74" i="23"/>
  <c r="AD51" i="23"/>
  <c r="Y52" i="23"/>
  <c r="Z52" i="23"/>
  <c r="AB52" i="23"/>
  <c r="AD52" i="23"/>
  <c r="AC52" i="23" s="1"/>
  <c r="AE52" i="23"/>
  <c r="AF52" i="23"/>
  <c r="AH52" i="23"/>
  <c r="AD53" i="23"/>
  <c r="C54" i="23"/>
  <c r="D54" i="23"/>
  <c r="E54" i="23"/>
  <c r="F54" i="23"/>
  <c r="G54" i="23"/>
  <c r="G55" i="23" s="1"/>
  <c r="H54" i="23"/>
  <c r="Y54" i="23"/>
  <c r="AB54" i="23"/>
  <c r="AD54" i="23"/>
  <c r="AE54" i="23"/>
  <c r="AF54" i="23"/>
  <c r="AG54" i="23"/>
  <c r="F55" i="23"/>
  <c r="H55" i="23"/>
  <c r="N55" i="23"/>
  <c r="AD55" i="23"/>
  <c r="AC56" i="23" s="1"/>
  <c r="C56" i="23"/>
  <c r="F56" i="23"/>
  <c r="F57" i="23" s="1"/>
  <c r="G56" i="23"/>
  <c r="N56" i="23"/>
  <c r="Y56" i="23"/>
  <c r="AG56" i="23" s="1"/>
  <c r="AB56" i="23"/>
  <c r="AD56" i="23"/>
  <c r="AE56" i="23"/>
  <c r="AF56" i="23"/>
  <c r="AD57" i="23"/>
  <c r="Y58" i="23"/>
  <c r="AB58" i="23"/>
  <c r="AD58" i="23"/>
  <c r="AE58" i="23"/>
  <c r="AE74" i="23"/>
  <c r="AF58" i="23"/>
  <c r="K59" i="23"/>
  <c r="L59" i="23"/>
  <c r="M59" i="23"/>
  <c r="N59" i="23"/>
  <c r="R59" i="23"/>
  <c r="S59" i="23"/>
  <c r="AD59" i="23"/>
  <c r="AC60" i="23" s="1"/>
  <c r="Y60" i="23"/>
  <c r="AG60" i="23" s="1"/>
  <c r="AB60" i="23"/>
  <c r="AD60" i="23"/>
  <c r="AE60" i="23"/>
  <c r="AF60" i="23"/>
  <c r="K61" i="23"/>
  <c r="L61" i="23"/>
  <c r="M61" i="23"/>
  <c r="N61" i="23"/>
  <c r="R61" i="23"/>
  <c r="S61" i="23"/>
  <c r="AD61" i="23"/>
  <c r="AC62" i="23" s="1"/>
  <c r="Y62" i="23"/>
  <c r="AG62" i="23" s="1"/>
  <c r="Z62" i="23"/>
  <c r="AB62" i="23"/>
  <c r="AD62" i="23"/>
  <c r="AE62" i="23"/>
  <c r="AF62" i="23"/>
  <c r="K63" i="23"/>
  <c r="L63" i="23"/>
  <c r="M63" i="23"/>
  <c r="N63" i="23"/>
  <c r="R63" i="23"/>
  <c r="S63" i="23"/>
  <c r="AD63" i="23"/>
  <c r="C64" i="23"/>
  <c r="D64" i="23"/>
  <c r="E64" i="23"/>
  <c r="F64" i="23"/>
  <c r="F65" i="23" s="1"/>
  <c r="G65" i="23"/>
  <c r="G64" i="23"/>
  <c r="H64" i="23"/>
  <c r="Y64" i="23"/>
  <c r="Z64" i="23"/>
  <c r="AB64" i="23"/>
  <c r="AD64" i="23"/>
  <c r="AE64" i="23"/>
  <c r="AF64" i="23"/>
  <c r="AG64" i="23"/>
  <c r="H65" i="23"/>
  <c r="AD65" i="23"/>
  <c r="C66" i="23"/>
  <c r="D66" i="23"/>
  <c r="D68" i="23" s="1"/>
  <c r="E66" i="23"/>
  <c r="E67" i="23" s="1"/>
  <c r="F70" i="23" s="1"/>
  <c r="F66" i="23"/>
  <c r="Y66" i="23"/>
  <c r="Z66" i="23"/>
  <c r="AB66" i="23"/>
  <c r="AD66" i="23"/>
  <c r="AE66" i="23"/>
  <c r="AF66" i="23"/>
  <c r="AG66" i="23"/>
  <c r="C67" i="23"/>
  <c r="D70" i="23" s="1"/>
  <c r="AD67" i="23"/>
  <c r="Y68" i="23"/>
  <c r="AG68" i="23" s="1"/>
  <c r="AB68" i="23"/>
  <c r="AD68" i="23"/>
  <c r="AC68" i="23" s="1"/>
  <c r="AE68" i="23"/>
  <c r="AF68" i="23"/>
  <c r="AD69" i="23"/>
  <c r="Y70" i="23"/>
  <c r="AB70" i="23"/>
  <c r="AD70" i="23"/>
  <c r="AE70" i="23"/>
  <c r="AF70" i="23"/>
  <c r="AG70" i="23"/>
  <c r="AB74" i="23"/>
  <c r="D75" i="23"/>
  <c r="E75" i="23"/>
  <c r="G75" i="23"/>
  <c r="Y78" i="23"/>
  <c r="AE78" i="23"/>
  <c r="I13" i="18"/>
  <c r="L13" i="18"/>
  <c r="I14" i="18"/>
  <c r="L14" i="18"/>
  <c r="I15" i="18"/>
  <c r="L15" i="18"/>
  <c r="H15" i="18"/>
  <c r="I16" i="18"/>
  <c r="L16" i="18"/>
  <c r="I17" i="18"/>
  <c r="L17" i="18"/>
  <c r="J18" i="18"/>
  <c r="J2" i="20" s="1"/>
  <c r="K18" i="18"/>
  <c r="K2" i="20" s="1"/>
  <c r="K37" i="20" s="1"/>
  <c r="M18" i="18"/>
  <c r="N18" i="18"/>
  <c r="L9" i="18"/>
  <c r="L8" i="18"/>
  <c r="L10" i="18"/>
  <c r="L11" i="18"/>
  <c r="L12" i="18"/>
  <c r="C18" i="18"/>
  <c r="C20" i="18" s="1"/>
  <c r="C21" i="18" s="1"/>
  <c r="G18" i="18"/>
  <c r="F18" i="18"/>
  <c r="E8" i="18"/>
  <c r="S35" i="20"/>
  <c r="R35" i="18"/>
  <c r="R35" i="20"/>
  <c r="T35" i="20" s="1"/>
  <c r="J35" i="20"/>
  <c r="K35" i="20"/>
  <c r="K36" i="20" s="1"/>
  <c r="L8" i="20"/>
  <c r="L9" i="20"/>
  <c r="L10" i="20"/>
  <c r="L11" i="20"/>
  <c r="L28" i="20" s="1"/>
  <c r="L12" i="20"/>
  <c r="L32" i="20" s="1"/>
  <c r="L13" i="20"/>
  <c r="H13" i="20" s="1"/>
  <c r="L14" i="20"/>
  <c r="V14" i="20"/>
  <c r="L15" i="20"/>
  <c r="L16" i="20"/>
  <c r="V16" i="20" s="1"/>
  <c r="N35" i="20"/>
  <c r="I8" i="20"/>
  <c r="I9" i="20"/>
  <c r="I10" i="20"/>
  <c r="H10" i="20" s="1"/>
  <c r="I11" i="20"/>
  <c r="I12" i="20"/>
  <c r="I13" i="20"/>
  <c r="I14" i="20"/>
  <c r="I15" i="20"/>
  <c r="H15" i="20" s="1"/>
  <c r="U15" i="20" s="1"/>
  <c r="I16" i="20"/>
  <c r="H9" i="20"/>
  <c r="U9" i="20" s="1"/>
  <c r="H12" i="20"/>
  <c r="E9" i="20"/>
  <c r="D9" i="20"/>
  <c r="E8" i="20"/>
  <c r="E23" i="20" s="1"/>
  <c r="E10" i="20"/>
  <c r="D10" i="20" s="1"/>
  <c r="E11" i="20"/>
  <c r="D11" i="20" s="1"/>
  <c r="E12" i="20"/>
  <c r="D12" i="20" s="1"/>
  <c r="E13" i="20"/>
  <c r="E14" i="20"/>
  <c r="D14" i="20" s="1"/>
  <c r="E15" i="20"/>
  <c r="D15" i="20" s="1"/>
  <c r="E16" i="20"/>
  <c r="D16" i="20"/>
  <c r="E19" i="12"/>
  <c r="D19" i="12" s="1"/>
  <c r="D8" i="18"/>
  <c r="E9" i="18"/>
  <c r="D9" i="18"/>
  <c r="E10" i="18"/>
  <c r="D10" i="18"/>
  <c r="E11" i="18"/>
  <c r="D11" i="18"/>
  <c r="E12" i="18"/>
  <c r="D12" i="18" s="1"/>
  <c r="E13" i="18"/>
  <c r="D13" i="18"/>
  <c r="E14" i="18"/>
  <c r="D14" i="18" s="1"/>
  <c r="E15" i="18"/>
  <c r="D15" i="18" s="1"/>
  <c r="E16" i="18"/>
  <c r="D16" i="18" s="1"/>
  <c r="E17" i="18"/>
  <c r="D17" i="18"/>
  <c r="D8" i="20"/>
  <c r="D23" i="20" s="1"/>
  <c r="C35" i="20"/>
  <c r="O2" i="20"/>
  <c r="O37" i="20" s="1"/>
  <c r="P17" i="18"/>
  <c r="P18" i="18"/>
  <c r="P19" i="18"/>
  <c r="P2" i="20" s="1"/>
  <c r="Q2" i="20"/>
  <c r="Q38" i="20"/>
  <c r="R2" i="20"/>
  <c r="S2" i="20"/>
  <c r="S37" i="20"/>
  <c r="S38" i="20"/>
  <c r="C38" i="20"/>
  <c r="C2" i="18"/>
  <c r="AL4" i="20"/>
  <c r="AM4" i="20"/>
  <c r="AN4" i="20"/>
  <c r="AL5" i="20"/>
  <c r="AM5" i="20"/>
  <c r="AN5" i="20"/>
  <c r="AL6" i="20"/>
  <c r="AM6" i="20"/>
  <c r="P8" i="20"/>
  <c r="P21" i="20"/>
  <c r="T8" i="20"/>
  <c r="AN8" i="20"/>
  <c r="P9" i="20"/>
  <c r="T9" i="20"/>
  <c r="AL9" i="20"/>
  <c r="AM9" i="20"/>
  <c r="AN9" i="20"/>
  <c r="P10" i="20"/>
  <c r="T10" i="20"/>
  <c r="AM10" i="20"/>
  <c r="AN10" i="20"/>
  <c r="AN13" i="20" s="1"/>
  <c r="P11" i="20"/>
  <c r="T11" i="20"/>
  <c r="H21" i="20"/>
  <c r="C20" i="20"/>
  <c r="C21" i="20" s="1"/>
  <c r="AL11" i="20" s="1"/>
  <c r="S20" i="20"/>
  <c r="S21" i="20" s="1"/>
  <c r="AM11" i="20" s="1"/>
  <c r="R20" i="20"/>
  <c r="P12" i="20"/>
  <c r="T12" i="20"/>
  <c r="P13" i="20"/>
  <c r="T13" i="20"/>
  <c r="P14" i="20"/>
  <c r="P30" i="20" s="1"/>
  <c r="T14" i="20"/>
  <c r="U14" i="20"/>
  <c r="P15" i="20"/>
  <c r="T15" i="20"/>
  <c r="P16" i="20"/>
  <c r="T16" i="20"/>
  <c r="U16" i="20"/>
  <c r="T17" i="20"/>
  <c r="U17" i="20"/>
  <c r="V17" i="20"/>
  <c r="T18" i="20"/>
  <c r="U18" i="20"/>
  <c r="V18" i="20"/>
  <c r="AL18" i="20"/>
  <c r="AM18" i="20"/>
  <c r="AM26" i="20"/>
  <c r="AN18" i="20"/>
  <c r="AP18" i="20"/>
  <c r="AR19" i="20" s="1"/>
  <c r="T19" i="20"/>
  <c r="U19" i="20"/>
  <c r="V19" i="20"/>
  <c r="AL19" i="20"/>
  <c r="AM19" i="20"/>
  <c r="AN19" i="20"/>
  <c r="AP19" i="20" s="1"/>
  <c r="F20" i="20"/>
  <c r="G20" i="20"/>
  <c r="G21" i="20" s="1"/>
  <c r="K20" i="20"/>
  <c r="K21" i="20" s="1"/>
  <c r="M20" i="20"/>
  <c r="M21" i="20" s="1"/>
  <c r="N20" i="20"/>
  <c r="O20" i="20"/>
  <c r="O21" i="20"/>
  <c r="Q20" i="20"/>
  <c r="Q21" i="20" s="1"/>
  <c r="AK20" i="20"/>
  <c r="AL20" i="20"/>
  <c r="AP20" i="20" s="1"/>
  <c r="AM20" i="20"/>
  <c r="AN20" i="20"/>
  <c r="AO20" i="20"/>
  <c r="F21" i="20"/>
  <c r="N21" i="20"/>
  <c r="AL21" i="20"/>
  <c r="AM21" i="20"/>
  <c r="AN21" i="20"/>
  <c r="AK22" i="20"/>
  <c r="AL22" i="20"/>
  <c r="AM22" i="20"/>
  <c r="AO22" i="20" s="1"/>
  <c r="AN22" i="20"/>
  <c r="C23" i="20"/>
  <c r="F23" i="20"/>
  <c r="G23" i="20"/>
  <c r="J23" i="20"/>
  <c r="K23" i="20"/>
  <c r="M23" i="20"/>
  <c r="N23" i="20"/>
  <c r="O23" i="20"/>
  <c r="Q23" i="20"/>
  <c r="R23" i="20"/>
  <c r="T23" i="20" s="1"/>
  <c r="S23" i="20"/>
  <c r="AL23" i="20"/>
  <c r="AM23" i="20"/>
  <c r="AN23" i="20"/>
  <c r="C24" i="20"/>
  <c r="F24" i="20"/>
  <c r="G24" i="20"/>
  <c r="J24" i="20"/>
  <c r="K24" i="20"/>
  <c r="L24" i="20"/>
  <c r="M24" i="20"/>
  <c r="N24" i="20"/>
  <c r="O24" i="20"/>
  <c r="P24" i="20"/>
  <c r="Q24" i="20"/>
  <c r="R24" i="20"/>
  <c r="S24" i="20"/>
  <c r="AK24" i="20"/>
  <c r="AL24" i="20"/>
  <c r="AM24" i="20"/>
  <c r="AN24" i="20"/>
  <c r="AP24" i="20" s="1"/>
  <c r="C25" i="20"/>
  <c r="T25" i="20" s="1"/>
  <c r="F25" i="20"/>
  <c r="G25" i="20"/>
  <c r="J25" i="20"/>
  <c r="K25" i="20"/>
  <c r="L25" i="20"/>
  <c r="M25" i="20"/>
  <c r="N25" i="20"/>
  <c r="O25" i="20"/>
  <c r="P25" i="20"/>
  <c r="Q25" i="20"/>
  <c r="R25" i="20"/>
  <c r="S25" i="20"/>
  <c r="C26" i="20"/>
  <c r="F26" i="20"/>
  <c r="G26" i="20"/>
  <c r="J26" i="20"/>
  <c r="K26" i="20"/>
  <c r="M26" i="20"/>
  <c r="N26" i="20"/>
  <c r="O26" i="20"/>
  <c r="Q26" i="20"/>
  <c r="R26" i="20"/>
  <c r="S26" i="20"/>
  <c r="AL26" i="20"/>
  <c r="AN26" i="20"/>
  <c r="C27" i="20"/>
  <c r="F27" i="20"/>
  <c r="G27" i="20"/>
  <c r="J27" i="20"/>
  <c r="K27" i="20"/>
  <c r="G43" i="20" s="1"/>
  <c r="G44" i="20" s="1"/>
  <c r="M27" i="20"/>
  <c r="N27" i="20"/>
  <c r="O27" i="20"/>
  <c r="Q27" i="20"/>
  <c r="R27" i="20"/>
  <c r="S27" i="20"/>
  <c r="C28" i="20"/>
  <c r="T28" i="20" s="1"/>
  <c r="F28" i="20"/>
  <c r="G28" i="20"/>
  <c r="J28" i="20"/>
  <c r="K28" i="20"/>
  <c r="M28" i="20"/>
  <c r="N28" i="20"/>
  <c r="O28" i="20"/>
  <c r="Q28" i="20"/>
  <c r="R28" i="20"/>
  <c r="S28" i="20"/>
  <c r="C29" i="20"/>
  <c r="F29" i="20"/>
  <c r="G29" i="20"/>
  <c r="J29" i="20"/>
  <c r="K29" i="20"/>
  <c r="L29" i="20"/>
  <c r="M29" i="20"/>
  <c r="N29" i="20"/>
  <c r="O29" i="20"/>
  <c r="Q29" i="20"/>
  <c r="R29" i="20"/>
  <c r="S29" i="20"/>
  <c r="T29" i="20"/>
  <c r="C30" i="20"/>
  <c r="T30" i="20" s="1"/>
  <c r="F30" i="20"/>
  <c r="G30" i="20"/>
  <c r="J30" i="20"/>
  <c r="K30" i="20"/>
  <c r="M30" i="20"/>
  <c r="N30" i="20"/>
  <c r="O30" i="20"/>
  <c r="Q30" i="20"/>
  <c r="R30" i="20"/>
  <c r="S30" i="20"/>
  <c r="C31" i="20"/>
  <c r="F31" i="20"/>
  <c r="F38" i="20"/>
  <c r="G31" i="20"/>
  <c r="J31" i="20"/>
  <c r="K31" i="20"/>
  <c r="M31" i="20"/>
  <c r="N31" i="20"/>
  <c r="O31" i="20"/>
  <c r="Q31" i="20"/>
  <c r="Q37" i="20" s="1"/>
  <c r="R31" i="20"/>
  <c r="S31" i="20"/>
  <c r="C32" i="20"/>
  <c r="F32" i="20"/>
  <c r="G32" i="20"/>
  <c r="J32" i="20"/>
  <c r="K32" i="20"/>
  <c r="M32" i="20"/>
  <c r="N32" i="20"/>
  <c r="O32" i="20"/>
  <c r="Q32" i="20"/>
  <c r="R32" i="20"/>
  <c r="S32" i="20"/>
  <c r="C33" i="20"/>
  <c r="F33" i="20"/>
  <c r="G33" i="20"/>
  <c r="J33" i="20"/>
  <c r="K33" i="20"/>
  <c r="M33" i="20"/>
  <c r="N33" i="20"/>
  <c r="O33" i="20"/>
  <c r="Q33" i="20"/>
  <c r="R33" i="20"/>
  <c r="T33" i="20" s="1"/>
  <c r="S33" i="20"/>
  <c r="C34" i="20"/>
  <c r="F34" i="20"/>
  <c r="G34" i="20"/>
  <c r="J34" i="20"/>
  <c r="K34" i="20"/>
  <c r="M34" i="20"/>
  <c r="N34" i="20"/>
  <c r="O34" i="20"/>
  <c r="Q34" i="20"/>
  <c r="R34" i="20"/>
  <c r="S34" i="20"/>
  <c r="G38" i="20"/>
  <c r="J38" i="20"/>
  <c r="K38" i="20"/>
  <c r="M38" i="20"/>
  <c r="N38" i="20"/>
  <c r="O38" i="20"/>
  <c r="P38" i="20"/>
  <c r="R38" i="20"/>
  <c r="M43" i="20"/>
  <c r="N43" i="20"/>
  <c r="R43" i="20" s="1"/>
  <c r="R42" i="20" s="1"/>
  <c r="C43" i="20"/>
  <c r="D43" i="20"/>
  <c r="D44" i="20"/>
  <c r="F43" i="20"/>
  <c r="L43" i="20"/>
  <c r="K44" i="20"/>
  <c r="L44" i="20"/>
  <c r="M44" i="20"/>
  <c r="N44" i="20" s="1"/>
  <c r="Z44" i="20"/>
  <c r="C45" i="20"/>
  <c r="C46" i="20" s="1"/>
  <c r="D45" i="20"/>
  <c r="E45" i="20"/>
  <c r="F45" i="20"/>
  <c r="E47" i="20"/>
  <c r="L47" i="20"/>
  <c r="M47" i="20"/>
  <c r="N47" i="20" s="1"/>
  <c r="AD47" i="20"/>
  <c r="Y48" i="20"/>
  <c r="AB48" i="20"/>
  <c r="AD48" i="20"/>
  <c r="AE48" i="20"/>
  <c r="AF48" i="20"/>
  <c r="AD49" i="20"/>
  <c r="Y50" i="20"/>
  <c r="AB50" i="20"/>
  <c r="AD50" i="20"/>
  <c r="AE50" i="20"/>
  <c r="AF50" i="20"/>
  <c r="AG50" i="20"/>
  <c r="AD51" i="20"/>
  <c r="Y52" i="20"/>
  <c r="AG52" i="20" s="1"/>
  <c r="AB52" i="20"/>
  <c r="AD52" i="20"/>
  <c r="AE52" i="20"/>
  <c r="AF52" i="20"/>
  <c r="AD53" i="20"/>
  <c r="C54" i="20"/>
  <c r="D54" i="20"/>
  <c r="D55" i="20" s="1"/>
  <c r="E54" i="20"/>
  <c r="F54" i="20"/>
  <c r="G54" i="20"/>
  <c r="G55" i="20" s="1"/>
  <c r="H54" i="20"/>
  <c r="H55" i="20" s="1"/>
  <c r="Y54" i="20"/>
  <c r="AB54" i="20"/>
  <c r="AD54" i="20"/>
  <c r="AE54" i="20"/>
  <c r="AF54" i="20"/>
  <c r="N55" i="20"/>
  <c r="AD55" i="20"/>
  <c r="C56" i="20"/>
  <c r="C57" i="20" s="1"/>
  <c r="D60" i="20" s="1"/>
  <c r="F56" i="20"/>
  <c r="G56" i="20"/>
  <c r="N56" i="20"/>
  <c r="Y56" i="20"/>
  <c r="AB56" i="20"/>
  <c r="AD56" i="20"/>
  <c r="AE56" i="20"/>
  <c r="AF56" i="20"/>
  <c r="AD57" i="20"/>
  <c r="Y58" i="20"/>
  <c r="AB58" i="20"/>
  <c r="AD58" i="20"/>
  <c r="AE58" i="20"/>
  <c r="AE74" i="20"/>
  <c r="AF58" i="20"/>
  <c r="AG58" i="20"/>
  <c r="K59" i="20"/>
  <c r="L59" i="20"/>
  <c r="M59" i="20"/>
  <c r="N59" i="20"/>
  <c r="R59" i="20"/>
  <c r="S59" i="20"/>
  <c r="AD59" i="20"/>
  <c r="Y60" i="20"/>
  <c r="Z60" i="20"/>
  <c r="AB60" i="20"/>
  <c r="AD60" i="20"/>
  <c r="AE60" i="20"/>
  <c r="AF60" i="20"/>
  <c r="AG60" i="20"/>
  <c r="K61" i="20"/>
  <c r="L61" i="20"/>
  <c r="M61" i="20"/>
  <c r="N61" i="20"/>
  <c r="R61" i="20"/>
  <c r="S61" i="20"/>
  <c r="AD61" i="20"/>
  <c r="Y62" i="20"/>
  <c r="AB62" i="20"/>
  <c r="AD62" i="20"/>
  <c r="AE62" i="20"/>
  <c r="AF62" i="20"/>
  <c r="K63" i="20"/>
  <c r="L63" i="20"/>
  <c r="M63" i="20"/>
  <c r="N63" i="20"/>
  <c r="R63" i="20"/>
  <c r="S63" i="20"/>
  <c r="AD63" i="20"/>
  <c r="C64" i="20"/>
  <c r="D64" i="20"/>
  <c r="E64" i="20"/>
  <c r="F64" i="20"/>
  <c r="F65" i="20" s="1"/>
  <c r="G64" i="20"/>
  <c r="H64" i="20"/>
  <c r="H65" i="20" s="1"/>
  <c r="Y64" i="20"/>
  <c r="Z64" i="20"/>
  <c r="AB64" i="20"/>
  <c r="AD64" i="20"/>
  <c r="AE64" i="20"/>
  <c r="AF64" i="20"/>
  <c r="D65" i="20"/>
  <c r="AD65" i="20"/>
  <c r="AC66" i="20" s="1"/>
  <c r="C66" i="20"/>
  <c r="E66" i="20"/>
  <c r="F66" i="20"/>
  <c r="Y66" i="20"/>
  <c r="Z66" i="20"/>
  <c r="AB66" i="20"/>
  <c r="AD66" i="20"/>
  <c r="AI66" i="20"/>
  <c r="AE66" i="20"/>
  <c r="AF66" i="20"/>
  <c r="C67" i="20"/>
  <c r="D70" i="20"/>
  <c r="AD67" i="20"/>
  <c r="Y68" i="20"/>
  <c r="Z68" i="20"/>
  <c r="AB68" i="20"/>
  <c r="AB74" i="20"/>
  <c r="AD68" i="20"/>
  <c r="AC68" i="20"/>
  <c r="AI68" i="20" s="1"/>
  <c r="AE68" i="20"/>
  <c r="AG68" i="20" s="1"/>
  <c r="AF68" i="20"/>
  <c r="AH68" i="20"/>
  <c r="AD69" i="20"/>
  <c r="Y70" i="20"/>
  <c r="AG70" i="20" s="1"/>
  <c r="Z70" i="20"/>
  <c r="AB70" i="20"/>
  <c r="AD70" i="20"/>
  <c r="AE70" i="20"/>
  <c r="AF70" i="20"/>
  <c r="E75" i="20"/>
  <c r="G75" i="20"/>
  <c r="Y78" i="20"/>
  <c r="P19" i="12"/>
  <c r="S35" i="18"/>
  <c r="N35" i="18"/>
  <c r="L19" i="12"/>
  <c r="J19" i="12" s="1"/>
  <c r="K35" i="18"/>
  <c r="I8" i="18"/>
  <c r="I9" i="18"/>
  <c r="I10" i="18"/>
  <c r="I11" i="18"/>
  <c r="I12" i="18"/>
  <c r="G35" i="18"/>
  <c r="C31" i="18"/>
  <c r="C37" i="18" s="1"/>
  <c r="O20" i="18"/>
  <c r="O21" i="18"/>
  <c r="H5" i="14"/>
  <c r="G5" i="14"/>
  <c r="K5" i="14"/>
  <c r="J5" i="14" s="1"/>
  <c r="L5" i="14"/>
  <c r="N5" i="14"/>
  <c r="O5" i="14"/>
  <c r="P5" i="14"/>
  <c r="Q5" i="14"/>
  <c r="H6" i="14"/>
  <c r="G6" i="14"/>
  <c r="G105" i="14" s="1"/>
  <c r="K6" i="14"/>
  <c r="L6" i="14"/>
  <c r="L198" i="14" s="1"/>
  <c r="N6" i="14"/>
  <c r="O6" i="14"/>
  <c r="P6" i="14"/>
  <c r="Q6" i="14"/>
  <c r="H7" i="14"/>
  <c r="G7" i="14"/>
  <c r="G104" i="14" s="1"/>
  <c r="K7" i="14"/>
  <c r="L7" i="14"/>
  <c r="J7" i="14"/>
  <c r="N7" i="14"/>
  <c r="M7" i="14" s="1"/>
  <c r="O7" i="14"/>
  <c r="P7" i="14"/>
  <c r="Q7" i="14"/>
  <c r="H8" i="14"/>
  <c r="G8" i="14"/>
  <c r="K8" i="14"/>
  <c r="L8" i="14"/>
  <c r="L104" i="14" s="1"/>
  <c r="N8" i="14"/>
  <c r="O8" i="14"/>
  <c r="P8" i="14"/>
  <c r="Q8" i="14"/>
  <c r="Q286" i="14" s="1"/>
  <c r="H9" i="14"/>
  <c r="G9" i="14"/>
  <c r="K9" i="14"/>
  <c r="L9" i="14"/>
  <c r="N9" i="14"/>
  <c r="N107" i="14" s="1"/>
  <c r="O9" i="14"/>
  <c r="P9" i="14"/>
  <c r="Q9" i="14"/>
  <c r="H10" i="14"/>
  <c r="G10" i="14"/>
  <c r="K10" i="14"/>
  <c r="L10" i="14"/>
  <c r="N10" i="14"/>
  <c r="M10" i="14" s="1"/>
  <c r="O10" i="14"/>
  <c r="P10" i="14"/>
  <c r="Q10" i="14"/>
  <c r="H11" i="14"/>
  <c r="G11" i="14"/>
  <c r="K11" i="14"/>
  <c r="L11" i="14"/>
  <c r="N11" i="14"/>
  <c r="O11" i="14"/>
  <c r="M11" i="14" s="1"/>
  <c r="P11" i="14"/>
  <c r="Q11" i="14"/>
  <c r="H12" i="14"/>
  <c r="G12" i="14"/>
  <c r="K12" i="14"/>
  <c r="J12" i="14" s="1"/>
  <c r="L12" i="14"/>
  <c r="I12" i="14"/>
  <c r="N12" i="14"/>
  <c r="O12" i="14"/>
  <c r="M12" i="14"/>
  <c r="P12" i="14"/>
  <c r="Q12" i="14"/>
  <c r="H13" i="14"/>
  <c r="G13" i="14"/>
  <c r="K13" i="14"/>
  <c r="L13" i="14"/>
  <c r="N13" i="14"/>
  <c r="O13" i="14"/>
  <c r="P13" i="14"/>
  <c r="Q13" i="14"/>
  <c r="H14" i="14"/>
  <c r="G14" i="14"/>
  <c r="K14" i="14"/>
  <c r="K289" i="14" s="1"/>
  <c r="L14" i="14"/>
  <c r="N14" i="14"/>
  <c r="O14" i="14"/>
  <c r="P14" i="14"/>
  <c r="Q14" i="14"/>
  <c r="H15" i="14"/>
  <c r="G15" i="14"/>
  <c r="K15" i="14"/>
  <c r="L15" i="14"/>
  <c r="L113" i="14" s="1"/>
  <c r="N15" i="14"/>
  <c r="O15" i="14"/>
  <c r="P15" i="14"/>
  <c r="Q15" i="14"/>
  <c r="H16" i="14"/>
  <c r="G16" i="14"/>
  <c r="K16" i="14"/>
  <c r="L16" i="14"/>
  <c r="N16" i="14"/>
  <c r="O16" i="14"/>
  <c r="M16" i="14"/>
  <c r="P16" i="14"/>
  <c r="Q16" i="14"/>
  <c r="H17" i="14"/>
  <c r="G17" i="14"/>
  <c r="K17" i="14"/>
  <c r="L17" i="14"/>
  <c r="J17" i="14"/>
  <c r="I17" i="14" s="1"/>
  <c r="S17" i="14" s="1"/>
  <c r="N17" i="14"/>
  <c r="N111" i="14" s="1"/>
  <c r="O17" i="14"/>
  <c r="M17" i="14"/>
  <c r="P17" i="14"/>
  <c r="Q17" i="14"/>
  <c r="H18" i="14"/>
  <c r="G18" i="14"/>
  <c r="K18" i="14"/>
  <c r="L18" i="14"/>
  <c r="N18" i="14"/>
  <c r="O18" i="14"/>
  <c r="P18" i="14"/>
  <c r="Q18" i="14"/>
  <c r="H19" i="14"/>
  <c r="G19" i="14"/>
  <c r="K19" i="14"/>
  <c r="L19" i="14"/>
  <c r="J19" i="14"/>
  <c r="N19" i="14"/>
  <c r="O19" i="14"/>
  <c r="P19" i="14"/>
  <c r="Q19" i="14"/>
  <c r="H20" i="14"/>
  <c r="H286" i="14" s="1"/>
  <c r="G20" i="14"/>
  <c r="K20" i="14"/>
  <c r="L20" i="14"/>
  <c r="N20" i="14"/>
  <c r="M20" i="14" s="1"/>
  <c r="O20" i="14"/>
  <c r="P20" i="14"/>
  <c r="Q20" i="14"/>
  <c r="H21" i="14"/>
  <c r="H120" i="14" s="1"/>
  <c r="G21" i="14"/>
  <c r="K21" i="14"/>
  <c r="J21" i="14" s="1"/>
  <c r="L21" i="14"/>
  <c r="N21" i="14"/>
  <c r="O21" i="14"/>
  <c r="M21" i="14"/>
  <c r="P21" i="14"/>
  <c r="Q21" i="14"/>
  <c r="H22" i="14"/>
  <c r="H214" i="14" s="1"/>
  <c r="G22" i="14"/>
  <c r="K22" i="14"/>
  <c r="J22" i="14" s="1"/>
  <c r="L22" i="14"/>
  <c r="N22" i="14"/>
  <c r="O22" i="14"/>
  <c r="M22" i="14"/>
  <c r="P22" i="14"/>
  <c r="P210" i="14" s="1"/>
  <c r="Q22" i="14"/>
  <c r="H23" i="14"/>
  <c r="G23" i="14"/>
  <c r="K23" i="14"/>
  <c r="L23" i="14"/>
  <c r="N23" i="14"/>
  <c r="O23" i="14"/>
  <c r="M23" i="14"/>
  <c r="P23" i="14"/>
  <c r="Q23" i="14"/>
  <c r="H24" i="14"/>
  <c r="G24" i="14"/>
  <c r="K24" i="14"/>
  <c r="L24" i="14"/>
  <c r="N24" i="14"/>
  <c r="O24" i="14"/>
  <c r="P24" i="14"/>
  <c r="Q24" i="14"/>
  <c r="H25" i="14"/>
  <c r="G25" i="14"/>
  <c r="K25" i="14"/>
  <c r="L25" i="14"/>
  <c r="N25" i="14"/>
  <c r="O25" i="14"/>
  <c r="O216" i="14" s="1"/>
  <c r="P25" i="14"/>
  <c r="Q25" i="14"/>
  <c r="H26" i="14"/>
  <c r="G26" i="14"/>
  <c r="K26" i="14"/>
  <c r="L26" i="14"/>
  <c r="N26" i="14"/>
  <c r="O26" i="14"/>
  <c r="P26" i="14"/>
  <c r="Q26" i="14"/>
  <c r="H27" i="14"/>
  <c r="G27" i="14"/>
  <c r="K27" i="14"/>
  <c r="J27" i="14" s="1"/>
  <c r="L27" i="14"/>
  <c r="N27" i="14"/>
  <c r="M27" i="14" s="1"/>
  <c r="O27" i="14"/>
  <c r="P27" i="14"/>
  <c r="Q27" i="14"/>
  <c r="H28" i="14"/>
  <c r="G28" i="14"/>
  <c r="K28" i="14"/>
  <c r="L28" i="14"/>
  <c r="N28" i="14"/>
  <c r="O28" i="14"/>
  <c r="P28" i="14"/>
  <c r="Q28" i="14"/>
  <c r="Q219" i="14" s="1"/>
  <c r="H29" i="14"/>
  <c r="G29" i="14"/>
  <c r="K29" i="14"/>
  <c r="L29" i="14"/>
  <c r="J29" i="14"/>
  <c r="N29" i="14"/>
  <c r="O29" i="14"/>
  <c r="P29" i="14"/>
  <c r="Q29" i="14"/>
  <c r="H30" i="14"/>
  <c r="G30" i="14"/>
  <c r="K30" i="14"/>
  <c r="L30" i="14"/>
  <c r="N30" i="14"/>
  <c r="O30" i="14"/>
  <c r="M30" i="14"/>
  <c r="P30" i="14"/>
  <c r="Q30" i="14"/>
  <c r="H31" i="14"/>
  <c r="G31" i="14"/>
  <c r="G128" i="14" s="1"/>
  <c r="K31" i="14"/>
  <c r="L31" i="14"/>
  <c r="N31" i="14"/>
  <c r="M31" i="14" s="1"/>
  <c r="O31" i="14"/>
  <c r="P31" i="14"/>
  <c r="Q31" i="14"/>
  <c r="H32" i="14"/>
  <c r="G32" i="14"/>
  <c r="K32" i="14"/>
  <c r="J32" i="14" s="1"/>
  <c r="L32" i="14"/>
  <c r="N32" i="14"/>
  <c r="O32" i="14"/>
  <c r="P32" i="14"/>
  <c r="Q32" i="14"/>
  <c r="H33" i="14"/>
  <c r="G33" i="14"/>
  <c r="K33" i="14"/>
  <c r="K131" i="14" s="1"/>
  <c r="L33" i="14"/>
  <c r="N33" i="14"/>
  <c r="O33" i="14"/>
  <c r="P33" i="14"/>
  <c r="P132" i="14" s="1"/>
  <c r="Q33" i="14"/>
  <c r="H34" i="14"/>
  <c r="G34" i="14"/>
  <c r="K34" i="14"/>
  <c r="L34" i="14"/>
  <c r="N34" i="14"/>
  <c r="O34" i="14"/>
  <c r="P34" i="14"/>
  <c r="P226" i="14" s="1"/>
  <c r="Q34" i="14"/>
  <c r="H35" i="14"/>
  <c r="G35" i="14"/>
  <c r="K35" i="14"/>
  <c r="L35" i="14"/>
  <c r="J35" i="14"/>
  <c r="N35" i="14"/>
  <c r="O35" i="14"/>
  <c r="P35" i="14"/>
  <c r="Q35" i="14"/>
  <c r="H36" i="14"/>
  <c r="H135" i="14" s="1"/>
  <c r="G36" i="14"/>
  <c r="K36" i="14"/>
  <c r="L36" i="14"/>
  <c r="N36" i="14"/>
  <c r="O36" i="14"/>
  <c r="P36" i="14"/>
  <c r="Q36" i="14"/>
  <c r="H37" i="14"/>
  <c r="G37" i="14"/>
  <c r="K37" i="14"/>
  <c r="J37" i="14" s="1"/>
  <c r="L37" i="14"/>
  <c r="N37" i="14"/>
  <c r="O37" i="14"/>
  <c r="P37" i="14"/>
  <c r="Q37" i="14"/>
  <c r="H38" i="14"/>
  <c r="G38" i="14"/>
  <c r="K38" i="14"/>
  <c r="L38" i="14"/>
  <c r="N38" i="14"/>
  <c r="O38" i="14"/>
  <c r="O223" i="14" s="1"/>
  <c r="P38" i="14"/>
  <c r="Q38" i="14"/>
  <c r="H39" i="14"/>
  <c r="G39" i="14"/>
  <c r="K39" i="14"/>
  <c r="L39" i="14"/>
  <c r="J39" i="14" s="1"/>
  <c r="N39" i="14"/>
  <c r="M39" i="14" s="1"/>
  <c r="O39" i="14"/>
  <c r="P39" i="14"/>
  <c r="Q39" i="14"/>
  <c r="H40" i="14"/>
  <c r="H138" i="14" s="1"/>
  <c r="G40" i="14"/>
  <c r="K40" i="14"/>
  <c r="L40" i="14"/>
  <c r="N40" i="14"/>
  <c r="O40" i="14"/>
  <c r="M40" i="14"/>
  <c r="P40" i="14"/>
  <c r="Q40" i="14"/>
  <c r="Q224" i="14" s="1"/>
  <c r="H41" i="14"/>
  <c r="G41" i="14"/>
  <c r="K41" i="14"/>
  <c r="L41" i="14"/>
  <c r="N41" i="14"/>
  <c r="O41" i="14"/>
  <c r="P41" i="14"/>
  <c r="P137" i="14" s="1"/>
  <c r="Q41" i="14"/>
  <c r="H42" i="14"/>
  <c r="G42" i="14"/>
  <c r="K42" i="14"/>
  <c r="J42" i="14" s="1"/>
  <c r="L42" i="14"/>
  <c r="N42" i="14"/>
  <c r="O42" i="14"/>
  <c r="M42" i="14"/>
  <c r="P42" i="14"/>
  <c r="Q42" i="14"/>
  <c r="Q234" i="14" s="1"/>
  <c r="H43" i="14"/>
  <c r="G43" i="14"/>
  <c r="K43" i="14"/>
  <c r="L43" i="14"/>
  <c r="J43" i="14"/>
  <c r="N43" i="14"/>
  <c r="O43" i="14"/>
  <c r="P43" i="14"/>
  <c r="Q43" i="14"/>
  <c r="H44" i="14"/>
  <c r="G44" i="14"/>
  <c r="K44" i="14"/>
  <c r="L44" i="14"/>
  <c r="N44" i="14"/>
  <c r="N139" i="14" s="1"/>
  <c r="O44" i="14"/>
  <c r="M44" i="14"/>
  <c r="P44" i="14"/>
  <c r="Q44" i="14"/>
  <c r="H45" i="14"/>
  <c r="G45" i="14"/>
  <c r="K45" i="14"/>
  <c r="L45" i="14"/>
  <c r="J45" i="14"/>
  <c r="N45" i="14"/>
  <c r="O45" i="14"/>
  <c r="O144" i="14" s="1"/>
  <c r="P45" i="14"/>
  <c r="Q45" i="14"/>
  <c r="H46" i="14"/>
  <c r="G46" i="14"/>
  <c r="K46" i="14"/>
  <c r="L46" i="14"/>
  <c r="N46" i="14"/>
  <c r="M46" i="14" s="1"/>
  <c r="O46" i="14"/>
  <c r="P46" i="14"/>
  <c r="Q46" i="14"/>
  <c r="H47" i="14"/>
  <c r="G47" i="14"/>
  <c r="G144" i="14" s="1"/>
  <c r="K47" i="14"/>
  <c r="J47" i="14" s="1"/>
  <c r="L47" i="14"/>
  <c r="N47" i="14"/>
  <c r="M47" i="14" s="1"/>
  <c r="O47" i="14"/>
  <c r="P47" i="14"/>
  <c r="Q47" i="14"/>
  <c r="H48" i="14"/>
  <c r="G48" i="14"/>
  <c r="K48" i="14"/>
  <c r="J48" i="14" s="1"/>
  <c r="L48" i="14"/>
  <c r="N48" i="14"/>
  <c r="M48" i="14" s="1"/>
  <c r="O48" i="14"/>
  <c r="P48" i="14"/>
  <c r="Q48" i="14"/>
  <c r="H49" i="14"/>
  <c r="G49" i="14"/>
  <c r="K49" i="14"/>
  <c r="J49" i="14" s="1"/>
  <c r="L49" i="14"/>
  <c r="N49" i="14"/>
  <c r="O49" i="14"/>
  <c r="P49" i="14"/>
  <c r="Q49" i="14"/>
  <c r="H50" i="14"/>
  <c r="G50" i="14"/>
  <c r="K50" i="14"/>
  <c r="J50" i="14" s="1"/>
  <c r="L50" i="14"/>
  <c r="N50" i="14"/>
  <c r="O50" i="14"/>
  <c r="M50" i="14" s="1"/>
  <c r="P50" i="14"/>
  <c r="Q50" i="14"/>
  <c r="H51" i="14"/>
  <c r="G51" i="14"/>
  <c r="K51" i="14"/>
  <c r="L51" i="14"/>
  <c r="J51" i="14"/>
  <c r="N51" i="14"/>
  <c r="O51" i="14"/>
  <c r="P51" i="14"/>
  <c r="Q51" i="14"/>
  <c r="H52" i="14"/>
  <c r="H242" i="14" s="1"/>
  <c r="G52" i="14"/>
  <c r="K52" i="14"/>
  <c r="L52" i="14"/>
  <c r="N52" i="14"/>
  <c r="O52" i="14"/>
  <c r="P52" i="14"/>
  <c r="Q52" i="14"/>
  <c r="D53" i="14"/>
  <c r="F53" i="14" s="1"/>
  <c r="E53" i="14" s="1"/>
  <c r="H53" i="14"/>
  <c r="G53" i="14"/>
  <c r="K53" i="14"/>
  <c r="L53" i="14"/>
  <c r="L239" i="14" s="1"/>
  <c r="N53" i="14"/>
  <c r="O53" i="14"/>
  <c r="P53" i="14"/>
  <c r="Q53" i="14"/>
  <c r="R53" i="14"/>
  <c r="D54" i="14"/>
  <c r="H54" i="14"/>
  <c r="G54" i="14"/>
  <c r="F54" i="14"/>
  <c r="E54" i="14" s="1"/>
  <c r="K54" i="14"/>
  <c r="J54" i="14" s="1"/>
  <c r="L54" i="14"/>
  <c r="N54" i="14"/>
  <c r="M54" i="14" s="1"/>
  <c r="O54" i="14"/>
  <c r="P54" i="14"/>
  <c r="Q54" i="14"/>
  <c r="D55" i="14"/>
  <c r="H55" i="14"/>
  <c r="G55" i="14"/>
  <c r="G154" i="14" s="1"/>
  <c r="K55" i="14"/>
  <c r="L55" i="14"/>
  <c r="N55" i="14"/>
  <c r="N154" i="14" s="1"/>
  <c r="O55" i="14"/>
  <c r="P55" i="14"/>
  <c r="Q55" i="14"/>
  <c r="D56" i="14"/>
  <c r="H56" i="14"/>
  <c r="G56" i="14"/>
  <c r="F56" i="14"/>
  <c r="E56" i="14" s="1"/>
  <c r="K56" i="14"/>
  <c r="L56" i="14"/>
  <c r="N56" i="14"/>
  <c r="O56" i="14"/>
  <c r="M56" i="14"/>
  <c r="P56" i="14"/>
  <c r="R56" i="14" s="1"/>
  <c r="Q56" i="14"/>
  <c r="D57" i="14"/>
  <c r="H57" i="14"/>
  <c r="G57" i="14"/>
  <c r="K57" i="14"/>
  <c r="L57" i="14"/>
  <c r="N57" i="14"/>
  <c r="O57" i="14"/>
  <c r="P57" i="14"/>
  <c r="Q57" i="14"/>
  <c r="D58" i="14"/>
  <c r="H58" i="14"/>
  <c r="F58" i="14" s="1"/>
  <c r="E58" i="14" s="1"/>
  <c r="G58" i="14"/>
  <c r="G157" i="14" s="1"/>
  <c r="K58" i="14"/>
  <c r="J58" i="14" s="1"/>
  <c r="L58" i="14"/>
  <c r="L157" i="14" s="1"/>
  <c r="N58" i="14"/>
  <c r="O58" i="14"/>
  <c r="M58" i="14"/>
  <c r="P58" i="14"/>
  <c r="R58" i="14" s="1"/>
  <c r="Q58" i="14"/>
  <c r="D59" i="14"/>
  <c r="H59" i="14"/>
  <c r="H334" i="14" s="1"/>
  <c r="G59" i="14"/>
  <c r="K59" i="14"/>
  <c r="L59" i="14"/>
  <c r="N59" i="14"/>
  <c r="O59" i="14"/>
  <c r="P59" i="14"/>
  <c r="Q59" i="14"/>
  <c r="D60" i="14"/>
  <c r="H60" i="14"/>
  <c r="G60" i="14"/>
  <c r="F60" i="14"/>
  <c r="E60" i="14" s="1"/>
  <c r="K60" i="14"/>
  <c r="L60" i="14"/>
  <c r="N60" i="14"/>
  <c r="M60" i="14" s="1"/>
  <c r="O60" i="14"/>
  <c r="P60" i="14"/>
  <c r="R60" i="14" s="1"/>
  <c r="Q60" i="14"/>
  <c r="D61" i="14"/>
  <c r="H61" i="14"/>
  <c r="G61" i="14"/>
  <c r="K61" i="14"/>
  <c r="J61" i="14" s="1"/>
  <c r="L61" i="14"/>
  <c r="N61" i="14"/>
  <c r="O61" i="14"/>
  <c r="O158" i="14" s="1"/>
  <c r="P61" i="14"/>
  <c r="Q61" i="14"/>
  <c r="D62" i="14"/>
  <c r="H62" i="14"/>
  <c r="G62" i="14"/>
  <c r="K62" i="14"/>
  <c r="L62" i="14"/>
  <c r="N62" i="14"/>
  <c r="M62" i="14" s="1"/>
  <c r="O62" i="14"/>
  <c r="P62" i="14"/>
  <c r="Q62" i="14"/>
  <c r="D63" i="14"/>
  <c r="H63" i="14"/>
  <c r="G63" i="14"/>
  <c r="K63" i="14"/>
  <c r="J63" i="14" s="1"/>
  <c r="L63" i="14"/>
  <c r="N63" i="14"/>
  <c r="O63" i="14"/>
  <c r="P63" i="14"/>
  <c r="P162" i="14" s="1"/>
  <c r="Q63" i="14"/>
  <c r="D64" i="14"/>
  <c r="F64" i="14" s="1"/>
  <c r="E64" i="14" s="1"/>
  <c r="H64" i="14"/>
  <c r="G64" i="14"/>
  <c r="K64" i="14"/>
  <c r="L64" i="14"/>
  <c r="N64" i="14"/>
  <c r="N161" i="14" s="1"/>
  <c r="O64" i="14"/>
  <c r="P64" i="14"/>
  <c r="Q64" i="14"/>
  <c r="D65" i="14"/>
  <c r="H65" i="14"/>
  <c r="G65" i="14"/>
  <c r="G163" i="14" s="1"/>
  <c r="K65" i="14"/>
  <c r="L65" i="14"/>
  <c r="N65" i="14"/>
  <c r="O65" i="14"/>
  <c r="P65" i="14"/>
  <c r="Q65" i="14"/>
  <c r="D66" i="14"/>
  <c r="F66" i="14" s="1"/>
  <c r="E66" i="14" s="1"/>
  <c r="H66" i="14"/>
  <c r="G66" i="14"/>
  <c r="K66" i="14"/>
  <c r="L66" i="14"/>
  <c r="L164" i="14" s="1"/>
  <c r="N66" i="14"/>
  <c r="M66" i="14" s="1"/>
  <c r="O66" i="14"/>
  <c r="P66" i="14"/>
  <c r="Q66" i="14"/>
  <c r="D67" i="14"/>
  <c r="H67" i="14"/>
  <c r="F67" i="14" s="1"/>
  <c r="E67" i="14" s="1"/>
  <c r="G67" i="14"/>
  <c r="K67" i="14"/>
  <c r="L67" i="14"/>
  <c r="N67" i="14"/>
  <c r="O67" i="14"/>
  <c r="P67" i="14"/>
  <c r="Q67" i="14"/>
  <c r="R67" i="14"/>
  <c r="D68" i="14"/>
  <c r="H68" i="14"/>
  <c r="G68" i="14"/>
  <c r="G166" i="14" s="1"/>
  <c r="K68" i="14"/>
  <c r="L68" i="14"/>
  <c r="J68" i="14"/>
  <c r="N68" i="14"/>
  <c r="O68" i="14"/>
  <c r="M68" i="14"/>
  <c r="P68" i="14"/>
  <c r="Q68" i="14"/>
  <c r="D69" i="14"/>
  <c r="H69" i="14"/>
  <c r="G69" i="14"/>
  <c r="K69" i="14"/>
  <c r="J69" i="14" s="1"/>
  <c r="L69" i="14"/>
  <c r="L168" i="14" s="1"/>
  <c r="N69" i="14"/>
  <c r="M69" i="14" s="1"/>
  <c r="O69" i="14"/>
  <c r="P69" i="14"/>
  <c r="Q69" i="14"/>
  <c r="R69" i="14"/>
  <c r="D70" i="14"/>
  <c r="H70" i="14"/>
  <c r="G70" i="14"/>
  <c r="K70" i="14"/>
  <c r="J70" i="14" s="1"/>
  <c r="L70" i="14"/>
  <c r="N70" i="14"/>
  <c r="O70" i="14"/>
  <c r="M70" i="14" s="1"/>
  <c r="P70" i="14"/>
  <c r="Q70" i="14"/>
  <c r="D71" i="14"/>
  <c r="F71" i="14" s="1"/>
  <c r="E71" i="14" s="1"/>
  <c r="H71" i="14"/>
  <c r="G71" i="14"/>
  <c r="K71" i="14"/>
  <c r="J71" i="14" s="1"/>
  <c r="L71" i="14"/>
  <c r="N71" i="14"/>
  <c r="M71" i="14" s="1"/>
  <c r="O71" i="14"/>
  <c r="P71" i="14"/>
  <c r="R71" i="14" s="1"/>
  <c r="Q71" i="14"/>
  <c r="D72" i="14"/>
  <c r="H72" i="14"/>
  <c r="G72" i="14"/>
  <c r="G170" i="14" s="1"/>
  <c r="K72" i="14"/>
  <c r="K167" i="14" s="1"/>
  <c r="L72" i="14"/>
  <c r="N72" i="14"/>
  <c r="O72" i="14"/>
  <c r="M72" i="14"/>
  <c r="P72" i="14"/>
  <c r="Q72" i="14"/>
  <c r="Q254" i="14" s="1"/>
  <c r="D73" i="14"/>
  <c r="F73" i="14"/>
  <c r="E73" i="14" s="1"/>
  <c r="H73" i="14"/>
  <c r="G73" i="14"/>
  <c r="K73" i="14"/>
  <c r="J73" i="14" s="1"/>
  <c r="L73" i="14"/>
  <c r="N73" i="14"/>
  <c r="O73" i="14"/>
  <c r="O170" i="14" s="1"/>
  <c r="P73" i="14"/>
  <c r="Q73" i="14"/>
  <c r="D74" i="14"/>
  <c r="H74" i="14"/>
  <c r="G74" i="14"/>
  <c r="K74" i="14"/>
  <c r="J74" i="14" s="1"/>
  <c r="L74" i="14"/>
  <c r="N74" i="14"/>
  <c r="N173" i="14" s="1"/>
  <c r="O74" i="14"/>
  <c r="P74" i="14"/>
  <c r="Q74" i="14"/>
  <c r="R74" i="14"/>
  <c r="D75" i="14"/>
  <c r="H75" i="14"/>
  <c r="G75" i="14"/>
  <c r="K75" i="14"/>
  <c r="J75" i="14" s="1"/>
  <c r="L75" i="14"/>
  <c r="N75" i="14"/>
  <c r="M75" i="14" s="1"/>
  <c r="O75" i="14"/>
  <c r="P75" i="14"/>
  <c r="Q75" i="14"/>
  <c r="D76" i="14"/>
  <c r="H76" i="14"/>
  <c r="G76" i="14"/>
  <c r="K76" i="14"/>
  <c r="J76" i="14" s="1"/>
  <c r="L76" i="14"/>
  <c r="N76" i="14"/>
  <c r="O76" i="14"/>
  <c r="P76" i="14"/>
  <c r="Q76" i="14"/>
  <c r="D77" i="14"/>
  <c r="H77" i="14"/>
  <c r="G77" i="14"/>
  <c r="L77" i="14"/>
  <c r="N77" i="14"/>
  <c r="M77" i="14" s="1"/>
  <c r="O77" i="14"/>
  <c r="P77" i="14"/>
  <c r="P269" i="14" s="1"/>
  <c r="Q77" i="14"/>
  <c r="D78" i="14"/>
  <c r="H78" i="14"/>
  <c r="H176" i="14" s="1"/>
  <c r="G78" i="14"/>
  <c r="K78" i="14"/>
  <c r="L78" i="14"/>
  <c r="N78" i="14"/>
  <c r="O78" i="14"/>
  <c r="P78" i="14"/>
  <c r="Q78" i="14"/>
  <c r="D79" i="14"/>
  <c r="R79" i="14" s="1"/>
  <c r="H79" i="14"/>
  <c r="G79" i="14"/>
  <c r="K79" i="14"/>
  <c r="L79" i="14"/>
  <c r="N79" i="14"/>
  <c r="O79" i="14"/>
  <c r="M79" i="14"/>
  <c r="P79" i="14"/>
  <c r="Q79" i="14"/>
  <c r="Q173" i="14" s="1"/>
  <c r="D80" i="14"/>
  <c r="H80" i="14"/>
  <c r="G80" i="14"/>
  <c r="K80" i="14"/>
  <c r="L80" i="14"/>
  <c r="J80" i="14"/>
  <c r="N80" i="14"/>
  <c r="O80" i="14"/>
  <c r="P80" i="14"/>
  <c r="Q80" i="14"/>
  <c r="D81" i="14"/>
  <c r="H81" i="14"/>
  <c r="G81" i="14"/>
  <c r="G178" i="14" s="1"/>
  <c r="K81" i="14"/>
  <c r="L81" i="14"/>
  <c r="N81" i="14"/>
  <c r="M81" i="14" s="1"/>
  <c r="O81" i="14"/>
  <c r="O178" i="14" s="1"/>
  <c r="P81" i="14"/>
  <c r="Q81" i="14"/>
  <c r="R81" i="14"/>
  <c r="D82" i="14"/>
  <c r="H82" i="14"/>
  <c r="G82" i="14"/>
  <c r="K82" i="14"/>
  <c r="L82" i="14"/>
  <c r="N82" i="14"/>
  <c r="O82" i="14"/>
  <c r="P82" i="14"/>
  <c r="Q82" i="14"/>
  <c r="Q339" i="14" s="1"/>
  <c r="D83" i="14"/>
  <c r="H83" i="14"/>
  <c r="G83" i="14"/>
  <c r="K83" i="14"/>
  <c r="L83" i="14"/>
  <c r="N83" i="14"/>
  <c r="O83" i="14"/>
  <c r="P83" i="14"/>
  <c r="Q83" i="14"/>
  <c r="R83" i="14"/>
  <c r="D84" i="14"/>
  <c r="H84" i="14"/>
  <c r="G84" i="14"/>
  <c r="K84" i="14"/>
  <c r="K183" i="14" s="1"/>
  <c r="L84" i="14"/>
  <c r="J84" i="14"/>
  <c r="N84" i="14"/>
  <c r="O84" i="14"/>
  <c r="P84" i="14"/>
  <c r="Q84" i="14"/>
  <c r="D85" i="14"/>
  <c r="H85" i="14"/>
  <c r="G85" i="14"/>
  <c r="K85" i="14"/>
  <c r="J85" i="14" s="1"/>
  <c r="L85" i="14"/>
  <c r="N85" i="14"/>
  <c r="N353" i="14" s="1"/>
  <c r="O85" i="14"/>
  <c r="P85" i="14"/>
  <c r="P276" i="14" s="1"/>
  <c r="Q85" i="14"/>
  <c r="D86" i="14"/>
  <c r="D419" i="14" s="1"/>
  <c r="H86" i="14"/>
  <c r="G86" i="14"/>
  <c r="K86" i="14"/>
  <c r="L86" i="14"/>
  <c r="J86" i="14"/>
  <c r="N86" i="14"/>
  <c r="O86" i="14"/>
  <c r="P86" i="14"/>
  <c r="Q86" i="14"/>
  <c r="D87" i="14"/>
  <c r="R87" i="14" s="1"/>
  <c r="H87" i="14"/>
  <c r="G87" i="14"/>
  <c r="K87" i="14"/>
  <c r="K185" i="14" s="1"/>
  <c r="L87" i="14"/>
  <c r="L184" i="14" s="1"/>
  <c r="N87" i="14"/>
  <c r="O87" i="14"/>
  <c r="M87" i="14" s="1"/>
  <c r="P87" i="14"/>
  <c r="Q87" i="14"/>
  <c r="D88" i="14"/>
  <c r="H88" i="14"/>
  <c r="G88" i="14"/>
  <c r="K88" i="14"/>
  <c r="K187" i="14" s="1"/>
  <c r="L88" i="14"/>
  <c r="N88" i="14"/>
  <c r="O88" i="14"/>
  <c r="P88" i="14"/>
  <c r="Q88" i="14"/>
  <c r="Q184" i="14" s="1"/>
  <c r="D89" i="14"/>
  <c r="H89" i="14"/>
  <c r="H187" i="14" s="1"/>
  <c r="G89" i="14"/>
  <c r="K89" i="14"/>
  <c r="J89" i="14" s="1"/>
  <c r="L89" i="14"/>
  <c r="N89" i="14"/>
  <c r="O89" i="14"/>
  <c r="M89" i="14"/>
  <c r="P89" i="14"/>
  <c r="Q89" i="14"/>
  <c r="D90" i="14"/>
  <c r="D186" i="14" s="1"/>
  <c r="H90" i="14"/>
  <c r="G90" i="14"/>
  <c r="K90" i="14"/>
  <c r="L90" i="14"/>
  <c r="J90" i="14"/>
  <c r="N90" i="14"/>
  <c r="N278" i="14" s="1"/>
  <c r="O90" i="14"/>
  <c r="P90" i="14"/>
  <c r="Q90" i="14"/>
  <c r="D91" i="14"/>
  <c r="H91" i="14"/>
  <c r="G91" i="14"/>
  <c r="K91" i="14"/>
  <c r="L91" i="14"/>
  <c r="N91" i="14"/>
  <c r="O91" i="14"/>
  <c r="O416" i="14" s="1"/>
  <c r="P91" i="14"/>
  <c r="Q91" i="14"/>
  <c r="R91" i="14"/>
  <c r="D92" i="14"/>
  <c r="H92" i="14"/>
  <c r="H189" i="14" s="1"/>
  <c r="G92" i="14"/>
  <c r="K92" i="14"/>
  <c r="L92" i="14"/>
  <c r="J92" i="14"/>
  <c r="N92" i="14"/>
  <c r="O92" i="14"/>
  <c r="O191" i="14" s="1"/>
  <c r="P92" i="14"/>
  <c r="Q92" i="14"/>
  <c r="D93" i="14"/>
  <c r="H93" i="14"/>
  <c r="G93" i="14"/>
  <c r="K93" i="14"/>
  <c r="L93" i="14"/>
  <c r="N93" i="14"/>
  <c r="O93" i="14"/>
  <c r="M93" i="14"/>
  <c r="P93" i="14"/>
  <c r="P190" i="14" s="1"/>
  <c r="Q93" i="14"/>
  <c r="D94" i="14"/>
  <c r="H94" i="14"/>
  <c r="G94" i="14"/>
  <c r="K94" i="14"/>
  <c r="L94" i="14"/>
  <c r="N94" i="14"/>
  <c r="O94" i="14"/>
  <c r="P94" i="14"/>
  <c r="Q94" i="14"/>
  <c r="Q418" i="14" s="1"/>
  <c r="D95" i="14"/>
  <c r="H95" i="14"/>
  <c r="G95" i="14"/>
  <c r="K95" i="14"/>
  <c r="L95" i="14"/>
  <c r="N95" i="14"/>
  <c r="O95" i="14"/>
  <c r="M95" i="14"/>
  <c r="P95" i="14"/>
  <c r="P419" i="14" s="1"/>
  <c r="Q95" i="14"/>
  <c r="D96" i="14"/>
  <c r="H96" i="14"/>
  <c r="G96" i="14"/>
  <c r="K96" i="14"/>
  <c r="L96" i="14"/>
  <c r="L416" i="14" s="1"/>
  <c r="N96" i="14"/>
  <c r="O96" i="14"/>
  <c r="P96" i="14"/>
  <c r="Q96" i="14"/>
  <c r="D97" i="14"/>
  <c r="H97" i="14"/>
  <c r="G97" i="14"/>
  <c r="K97" i="14"/>
  <c r="J97" i="14" s="1"/>
  <c r="L97" i="14"/>
  <c r="N97" i="14"/>
  <c r="M97" i="14" s="1"/>
  <c r="O97" i="14"/>
  <c r="P97" i="14"/>
  <c r="Q97" i="14"/>
  <c r="R97" i="14"/>
  <c r="D98" i="14"/>
  <c r="H98" i="14"/>
  <c r="H419" i="14" s="1"/>
  <c r="G98" i="14"/>
  <c r="K98" i="14"/>
  <c r="J98" i="14" s="1"/>
  <c r="L98" i="14"/>
  <c r="N98" i="14"/>
  <c r="M98" i="14" s="1"/>
  <c r="O98" i="14"/>
  <c r="P98" i="14"/>
  <c r="Q98" i="14"/>
  <c r="D99" i="14"/>
  <c r="H99" i="14"/>
  <c r="G99" i="14"/>
  <c r="K99" i="14"/>
  <c r="J99" i="14" s="1"/>
  <c r="L99" i="14"/>
  <c r="N99" i="14"/>
  <c r="O99" i="14"/>
  <c r="P99" i="14"/>
  <c r="Q99" i="14"/>
  <c r="D100" i="14"/>
  <c r="H100" i="14"/>
  <c r="G100" i="14"/>
  <c r="K100" i="14"/>
  <c r="L100" i="14"/>
  <c r="J100" i="14" s="1"/>
  <c r="N100" i="14"/>
  <c r="M100" i="14" s="1"/>
  <c r="O100" i="14"/>
  <c r="P100" i="14"/>
  <c r="R100" i="14" s="1"/>
  <c r="Q100" i="14"/>
  <c r="Q194" i="14" s="1"/>
  <c r="L106" i="14"/>
  <c r="H107" i="14"/>
  <c r="H108" i="14"/>
  <c r="N109" i="14"/>
  <c r="L110" i="14"/>
  <c r="P110" i="14"/>
  <c r="L111" i="14"/>
  <c r="N113" i="14"/>
  <c r="L114" i="14"/>
  <c r="K115" i="14"/>
  <c r="N115" i="14"/>
  <c r="P116" i="14"/>
  <c r="P118" i="14"/>
  <c r="N121" i="14"/>
  <c r="H122" i="14"/>
  <c r="P123" i="14"/>
  <c r="H124" i="14"/>
  <c r="P124" i="14"/>
  <c r="P125" i="14"/>
  <c r="G126" i="14"/>
  <c r="K126" i="14"/>
  <c r="N127" i="14"/>
  <c r="H128" i="14"/>
  <c r="H129" i="14"/>
  <c r="O129" i="14"/>
  <c r="P129" i="14"/>
  <c r="G130" i="14"/>
  <c r="K130" i="14"/>
  <c r="O130" i="14"/>
  <c r="P130" i="14"/>
  <c r="H131" i="14"/>
  <c r="G132" i="14"/>
  <c r="H133" i="14"/>
  <c r="P133" i="14"/>
  <c r="H134" i="14"/>
  <c r="K134" i="14"/>
  <c r="K135" i="14"/>
  <c r="N135" i="14"/>
  <c r="P135" i="14"/>
  <c r="H136" i="14"/>
  <c r="G136" i="14"/>
  <c r="P136" i="14"/>
  <c r="H137" i="14"/>
  <c r="K137" i="14"/>
  <c r="K138" i="14"/>
  <c r="H139" i="14"/>
  <c r="K139" i="14"/>
  <c r="P139" i="14"/>
  <c r="H140" i="14"/>
  <c r="G140" i="14"/>
  <c r="K140" i="14"/>
  <c r="P140" i="14"/>
  <c r="O141" i="14"/>
  <c r="P141" i="14"/>
  <c r="G142" i="14"/>
  <c r="H143" i="14"/>
  <c r="N143" i="14"/>
  <c r="O143" i="14"/>
  <c r="H144" i="14"/>
  <c r="H145" i="14"/>
  <c r="O145" i="14"/>
  <c r="G146" i="14"/>
  <c r="K146" i="14"/>
  <c r="H149" i="14"/>
  <c r="N149" i="14"/>
  <c r="H150" i="14"/>
  <c r="N150" i="14"/>
  <c r="O150" i="14"/>
  <c r="H151" i="14"/>
  <c r="G151" i="14"/>
  <c r="N151" i="14"/>
  <c r="K152" i="14"/>
  <c r="N153" i="14"/>
  <c r="O153" i="14"/>
  <c r="D154" i="14"/>
  <c r="H154" i="14"/>
  <c r="G155" i="14"/>
  <c r="L155" i="14"/>
  <c r="O155" i="14"/>
  <c r="H156" i="14"/>
  <c r="H157" i="14"/>
  <c r="N157" i="14"/>
  <c r="O157" i="14"/>
  <c r="G158" i="14"/>
  <c r="L158" i="14"/>
  <c r="N158" i="14"/>
  <c r="G159" i="14"/>
  <c r="O159" i="14"/>
  <c r="H160" i="14"/>
  <c r="G160" i="14"/>
  <c r="L160" i="14"/>
  <c r="Q160" i="14"/>
  <c r="L161" i="14"/>
  <c r="Q161" i="14"/>
  <c r="H162" i="14"/>
  <c r="Q162" i="14"/>
  <c r="H163" i="14"/>
  <c r="O163" i="14"/>
  <c r="P163" i="14"/>
  <c r="H164" i="14"/>
  <c r="G164" i="14"/>
  <c r="N164" i="14"/>
  <c r="Q164" i="14"/>
  <c r="D165" i="14"/>
  <c r="H165" i="14"/>
  <c r="G165" i="14"/>
  <c r="L166" i="14"/>
  <c r="O166" i="14"/>
  <c r="G167" i="14"/>
  <c r="L167" i="14"/>
  <c r="O167" i="14"/>
  <c r="G168" i="14"/>
  <c r="O168" i="14"/>
  <c r="Q168" i="14"/>
  <c r="L169" i="14"/>
  <c r="P169" i="14"/>
  <c r="Q169" i="14"/>
  <c r="L170" i="14"/>
  <c r="Q170" i="14"/>
  <c r="D171" i="14"/>
  <c r="L171" i="14"/>
  <c r="H172" i="14"/>
  <c r="N172" i="14"/>
  <c r="O172" i="14"/>
  <c r="P174" i="14"/>
  <c r="P175" i="14"/>
  <c r="O176" i="14"/>
  <c r="P176" i="14"/>
  <c r="D177" i="14"/>
  <c r="H177" i="14"/>
  <c r="G177" i="14"/>
  <c r="Q177" i="14"/>
  <c r="D178" i="14"/>
  <c r="D179" i="14"/>
  <c r="O179" i="14"/>
  <c r="H181" i="14"/>
  <c r="K181" i="14"/>
  <c r="H182" i="14"/>
  <c r="P182" i="14"/>
  <c r="Q182" i="14"/>
  <c r="L183" i="14"/>
  <c r="K184" i="14"/>
  <c r="P184" i="14"/>
  <c r="G185" i="14"/>
  <c r="P185" i="14"/>
  <c r="Q185" i="14"/>
  <c r="P186" i="14"/>
  <c r="H188" i="14"/>
  <c r="P188" i="14"/>
  <c r="K189" i="14"/>
  <c r="H190" i="14"/>
  <c r="K190" i="14"/>
  <c r="K192" i="14"/>
  <c r="K194" i="14"/>
  <c r="N194" i="14"/>
  <c r="N197" i="14"/>
  <c r="P197" i="14"/>
  <c r="N198" i="14"/>
  <c r="N199" i="14"/>
  <c r="L200" i="14"/>
  <c r="N200" i="14"/>
  <c r="P200" i="14"/>
  <c r="K201" i="14"/>
  <c r="N202" i="14"/>
  <c r="O202" i="14"/>
  <c r="P202" i="14"/>
  <c r="H203" i="14"/>
  <c r="K203" i="14"/>
  <c r="N203" i="14"/>
  <c r="O203" i="14"/>
  <c r="K204" i="14"/>
  <c r="L204" i="14"/>
  <c r="O204" i="14"/>
  <c r="N205" i="14"/>
  <c r="O205" i="14"/>
  <c r="H206" i="14"/>
  <c r="K206" i="14"/>
  <c r="P206" i="14"/>
  <c r="H207" i="14"/>
  <c r="O207" i="14"/>
  <c r="H208" i="14"/>
  <c r="L208" i="14"/>
  <c r="O208" i="14"/>
  <c r="H209" i="14"/>
  <c r="K209" i="14"/>
  <c r="N209" i="14"/>
  <c r="H210" i="14"/>
  <c r="K210" i="14"/>
  <c r="L210" i="14"/>
  <c r="O210" i="14"/>
  <c r="K211" i="14"/>
  <c r="O211" i="14"/>
  <c r="P211" i="14"/>
  <c r="H212" i="14"/>
  <c r="K212" i="14"/>
  <c r="L212" i="14"/>
  <c r="O212" i="14"/>
  <c r="P212" i="14"/>
  <c r="Q212" i="14"/>
  <c r="H213" i="14"/>
  <c r="P213" i="14"/>
  <c r="Q213" i="14"/>
  <c r="K214" i="14"/>
  <c r="L214" i="14"/>
  <c r="Q214" i="14"/>
  <c r="H215" i="14"/>
  <c r="K215" i="14"/>
  <c r="L215" i="14"/>
  <c r="O215" i="14"/>
  <c r="P215" i="14"/>
  <c r="Q215" i="14"/>
  <c r="L216" i="14"/>
  <c r="Q216" i="14"/>
  <c r="L217" i="14"/>
  <c r="P217" i="14"/>
  <c r="Q217" i="14"/>
  <c r="K218" i="14"/>
  <c r="L218" i="14"/>
  <c r="O218" i="14"/>
  <c r="H219" i="14"/>
  <c r="K219" i="14"/>
  <c r="L219" i="14"/>
  <c r="O219" i="14"/>
  <c r="P219" i="14"/>
  <c r="H220" i="14"/>
  <c r="K220" i="14"/>
  <c r="L220" i="14"/>
  <c r="O220" i="14"/>
  <c r="P220" i="14"/>
  <c r="Q220" i="14"/>
  <c r="H221" i="14"/>
  <c r="L221" i="14"/>
  <c r="P221" i="14"/>
  <c r="Q221" i="14"/>
  <c r="K222" i="14"/>
  <c r="L222" i="14"/>
  <c r="P222" i="14"/>
  <c r="Q222" i="14"/>
  <c r="H223" i="14"/>
  <c r="K223" i="14"/>
  <c r="L223" i="14"/>
  <c r="P223" i="14"/>
  <c r="Q223" i="14"/>
  <c r="L224" i="14"/>
  <c r="O224" i="14"/>
  <c r="H225" i="14"/>
  <c r="L225" i="14"/>
  <c r="O225" i="14"/>
  <c r="P225" i="14"/>
  <c r="Q225" i="14"/>
  <c r="H226" i="14"/>
  <c r="K226" i="14"/>
  <c r="L226" i="14"/>
  <c r="O226" i="14"/>
  <c r="H227" i="14"/>
  <c r="K227" i="14"/>
  <c r="L227" i="14"/>
  <c r="O227" i="14"/>
  <c r="P227" i="14"/>
  <c r="H228" i="14"/>
  <c r="K228" i="14"/>
  <c r="L228" i="14"/>
  <c r="O228" i="14"/>
  <c r="P228" i="14"/>
  <c r="Q228" i="14"/>
  <c r="H229" i="14"/>
  <c r="K229" i="14"/>
  <c r="L229" i="14"/>
  <c r="P229" i="14"/>
  <c r="Q229" i="14"/>
  <c r="K230" i="14"/>
  <c r="L230" i="14"/>
  <c r="Q230" i="14"/>
  <c r="H231" i="14"/>
  <c r="K231" i="14"/>
  <c r="L231" i="14"/>
  <c r="O231" i="14"/>
  <c r="Q231" i="14"/>
  <c r="L232" i="14"/>
  <c r="O232" i="14"/>
  <c r="Q232" i="14"/>
  <c r="H233" i="14"/>
  <c r="L233" i="14"/>
  <c r="O233" i="14"/>
  <c r="H234" i="14"/>
  <c r="K234" i="14"/>
  <c r="L234" i="14"/>
  <c r="O234" i="14"/>
  <c r="H235" i="14"/>
  <c r="K235" i="14"/>
  <c r="L235" i="14"/>
  <c r="O235" i="14"/>
  <c r="Q235" i="14"/>
  <c r="K236" i="14"/>
  <c r="L236" i="14"/>
  <c r="O236" i="14"/>
  <c r="Q236" i="14"/>
  <c r="H237" i="14"/>
  <c r="L237" i="14"/>
  <c r="O237" i="14"/>
  <c r="Q237" i="14"/>
  <c r="K238" i="14"/>
  <c r="Q238" i="14"/>
  <c r="H239" i="14"/>
  <c r="K239" i="14"/>
  <c r="Q239" i="14"/>
  <c r="H240" i="14"/>
  <c r="L240" i="14"/>
  <c r="Q240" i="14"/>
  <c r="H241" i="14"/>
  <c r="L241" i="14"/>
  <c r="Q241" i="14"/>
  <c r="G242" i="14"/>
  <c r="N242" i="14"/>
  <c r="Q242" i="14"/>
  <c r="H243" i="14"/>
  <c r="G243" i="14"/>
  <c r="L243" i="14"/>
  <c r="Q243" i="14"/>
  <c r="H244" i="14"/>
  <c r="G244" i="14"/>
  <c r="L244" i="14"/>
  <c r="N244" i="14"/>
  <c r="Q244" i="14"/>
  <c r="D245" i="14"/>
  <c r="G245" i="14"/>
  <c r="Q245" i="14"/>
  <c r="H246" i="14"/>
  <c r="G246" i="14"/>
  <c r="Q246" i="14"/>
  <c r="H247" i="14"/>
  <c r="G247" i="14"/>
  <c r="L247" i="14"/>
  <c r="Q247" i="14"/>
  <c r="G248" i="14"/>
  <c r="L248" i="14"/>
  <c r="H249" i="14"/>
  <c r="G249" i="14"/>
  <c r="L249" i="14"/>
  <c r="Q249" i="14"/>
  <c r="H250" i="14"/>
  <c r="G250" i="14"/>
  <c r="L250" i="14"/>
  <c r="N250" i="14"/>
  <c r="Q250" i="14"/>
  <c r="L251" i="14"/>
  <c r="Q251" i="14"/>
  <c r="D252" i="14"/>
  <c r="G252" i="14"/>
  <c r="L252" i="14"/>
  <c r="H253" i="14"/>
  <c r="G253" i="14"/>
  <c r="L253" i="14"/>
  <c r="D254" i="14"/>
  <c r="G254" i="14"/>
  <c r="L254" i="14"/>
  <c r="N254" i="14"/>
  <c r="D255" i="14"/>
  <c r="H255" i="14"/>
  <c r="L255" i="14"/>
  <c r="Q255" i="14"/>
  <c r="D256" i="14"/>
  <c r="H256" i="14"/>
  <c r="N256" i="14"/>
  <c r="Q256" i="14"/>
  <c r="D257" i="14"/>
  <c r="L257" i="14"/>
  <c r="N257" i="14"/>
  <c r="Q257" i="14"/>
  <c r="D258" i="14"/>
  <c r="N258" i="14"/>
  <c r="O258" i="14"/>
  <c r="Q258" i="14"/>
  <c r="D259" i="14"/>
  <c r="H259" i="14"/>
  <c r="N259" i="14"/>
  <c r="P259" i="14"/>
  <c r="Q259" i="14"/>
  <c r="H260" i="14"/>
  <c r="L260" i="14"/>
  <c r="Q260" i="14"/>
  <c r="H261" i="14"/>
  <c r="G261" i="14"/>
  <c r="N261" i="14"/>
  <c r="H262" i="14"/>
  <c r="L262" i="14"/>
  <c r="N262" i="14"/>
  <c r="Q262" i="14"/>
  <c r="D263" i="14"/>
  <c r="H263" i="14"/>
  <c r="L263" i="14"/>
  <c r="P263" i="14"/>
  <c r="Q263" i="14"/>
  <c r="H264" i="14"/>
  <c r="Q264" i="14"/>
  <c r="G265" i="14"/>
  <c r="N265" i="14"/>
  <c r="H266" i="14"/>
  <c r="O266" i="14"/>
  <c r="P267" i="14"/>
  <c r="H268" i="14"/>
  <c r="L268" i="14"/>
  <c r="P268" i="14"/>
  <c r="Q268" i="14"/>
  <c r="H269" i="14"/>
  <c r="G269" i="14"/>
  <c r="N269" i="14"/>
  <c r="K270" i="14"/>
  <c r="N270" i="14"/>
  <c r="P270" i="14"/>
  <c r="N271" i="14"/>
  <c r="P271" i="14"/>
  <c r="H272" i="14"/>
  <c r="K272" i="14"/>
  <c r="N272" i="14"/>
  <c r="P272" i="14"/>
  <c r="K273" i="14"/>
  <c r="N273" i="14"/>
  <c r="P273" i="14"/>
  <c r="H274" i="14"/>
  <c r="N274" i="14"/>
  <c r="O274" i="14"/>
  <c r="H275" i="14"/>
  <c r="K275" i="14"/>
  <c r="N275" i="14"/>
  <c r="P275" i="14"/>
  <c r="H276" i="14"/>
  <c r="N276" i="14"/>
  <c r="O276" i="14"/>
  <c r="H277" i="14"/>
  <c r="H278" i="14"/>
  <c r="K278" i="14"/>
  <c r="K279" i="14"/>
  <c r="K280" i="14"/>
  <c r="N280" i="14"/>
  <c r="N281" i="14"/>
  <c r="N285" i="14"/>
  <c r="H285" i="14"/>
  <c r="K285" i="14"/>
  <c r="Q285" i="14"/>
  <c r="K286" i="14"/>
  <c r="L286" i="14"/>
  <c r="H287" i="14"/>
  <c r="K287" i="14"/>
  <c r="L287" i="14"/>
  <c r="Q287" i="14"/>
  <c r="H288" i="14"/>
  <c r="L288" i="14"/>
  <c r="Q288" i="14"/>
  <c r="H289" i="14"/>
  <c r="L289" i="14"/>
  <c r="O289" i="14"/>
  <c r="Q289" i="14"/>
  <c r="H290" i="14"/>
  <c r="O290" i="14"/>
  <c r="Q290" i="14"/>
  <c r="H291" i="14"/>
  <c r="K291" i="14"/>
  <c r="L291" i="14"/>
  <c r="Q291" i="14"/>
  <c r="H292" i="14"/>
  <c r="K292" i="14"/>
  <c r="L292" i="14"/>
  <c r="O292" i="14"/>
  <c r="Q292" i="14"/>
  <c r="H293" i="14"/>
  <c r="K293" i="14"/>
  <c r="L293" i="14"/>
  <c r="Q293" i="14"/>
  <c r="K294" i="14"/>
  <c r="L294" i="14"/>
  <c r="O294" i="14"/>
  <c r="H295" i="14"/>
  <c r="K295" i="14"/>
  <c r="L295" i="14"/>
  <c r="O295" i="14"/>
  <c r="Q295" i="14"/>
  <c r="H296" i="14"/>
  <c r="K296" i="14"/>
  <c r="L296" i="14"/>
  <c r="O296" i="14"/>
  <c r="H297" i="14"/>
  <c r="K297" i="14"/>
  <c r="L297" i="14"/>
  <c r="P297" i="14"/>
  <c r="H298" i="14"/>
  <c r="K298" i="14"/>
  <c r="L298" i="14"/>
  <c r="O298" i="14"/>
  <c r="P298" i="14"/>
  <c r="Q298" i="14"/>
  <c r="H299" i="14"/>
  <c r="K299" i="14"/>
  <c r="L299" i="14"/>
  <c r="P299" i="14"/>
  <c r="Q299" i="14"/>
  <c r="H300" i="14"/>
  <c r="K300" i="14"/>
  <c r="L300" i="14"/>
  <c r="P300" i="14"/>
  <c r="Q300" i="14"/>
  <c r="H301" i="14"/>
  <c r="K301" i="14"/>
  <c r="L301" i="14"/>
  <c r="O301" i="14"/>
  <c r="P301" i="14"/>
  <c r="Q301" i="14"/>
  <c r="H302" i="14"/>
  <c r="L302" i="14"/>
  <c r="O302" i="14"/>
  <c r="P302" i="14"/>
  <c r="Q302" i="14"/>
  <c r="H303" i="14"/>
  <c r="L303" i="14"/>
  <c r="O303" i="14"/>
  <c r="P303" i="14"/>
  <c r="Q303" i="14"/>
  <c r="H304" i="14"/>
  <c r="K304" i="14"/>
  <c r="L304" i="14"/>
  <c r="O304" i="14"/>
  <c r="P304" i="14"/>
  <c r="H305" i="14"/>
  <c r="K305" i="14"/>
  <c r="L305" i="14"/>
  <c r="O305" i="14"/>
  <c r="H306" i="14"/>
  <c r="K306" i="14"/>
  <c r="L306" i="14"/>
  <c r="O306" i="14"/>
  <c r="Q306" i="14"/>
  <c r="H307" i="14"/>
  <c r="K307" i="14"/>
  <c r="L307" i="14"/>
  <c r="Q307" i="14"/>
  <c r="H308" i="14"/>
  <c r="K308" i="14"/>
  <c r="L308" i="14"/>
  <c r="H309" i="14"/>
  <c r="K309" i="14"/>
  <c r="L309" i="14"/>
  <c r="O309" i="14"/>
  <c r="Q309" i="14"/>
  <c r="H310" i="14"/>
  <c r="L310" i="14"/>
  <c r="O310" i="14"/>
  <c r="Q310" i="14"/>
  <c r="H311" i="14"/>
  <c r="K311" i="14"/>
  <c r="O311" i="14"/>
  <c r="Q311" i="14"/>
  <c r="H312" i="14"/>
  <c r="K312" i="14"/>
  <c r="L312" i="14"/>
  <c r="O312" i="14"/>
  <c r="Q312" i="14"/>
  <c r="H313" i="14"/>
  <c r="K313" i="14"/>
  <c r="L313" i="14"/>
  <c r="N313" i="14"/>
  <c r="Q313" i="14"/>
  <c r="H314" i="14"/>
  <c r="L314" i="14"/>
  <c r="Q314" i="14"/>
  <c r="H315" i="14"/>
  <c r="L315" i="14"/>
  <c r="H316" i="14"/>
  <c r="L316" i="14"/>
  <c r="O316" i="14"/>
  <c r="H317" i="14"/>
  <c r="G317" i="14"/>
  <c r="L317" i="14"/>
  <c r="N317" i="14"/>
  <c r="Q317" i="14"/>
  <c r="L318" i="14"/>
  <c r="Q318" i="14"/>
  <c r="H319" i="14"/>
  <c r="L319" i="14"/>
  <c r="P319" i="14"/>
  <c r="Q319" i="14"/>
  <c r="H320" i="14"/>
  <c r="L320" i="14"/>
  <c r="O320" i="14"/>
  <c r="H321" i="14"/>
  <c r="G321" i="14"/>
  <c r="L321" i="14"/>
  <c r="Q321" i="14"/>
  <c r="L322" i="14"/>
  <c r="Q322" i="14"/>
  <c r="H323" i="14"/>
  <c r="L323" i="14"/>
  <c r="P323" i="14"/>
  <c r="Q323" i="14"/>
  <c r="H324" i="14"/>
  <c r="L324" i="14"/>
  <c r="O324" i="14"/>
  <c r="G325" i="14"/>
  <c r="L325" i="14"/>
  <c r="Q325" i="14"/>
  <c r="L326" i="14"/>
  <c r="Q326" i="14"/>
  <c r="H327" i="14"/>
  <c r="L327" i="14"/>
  <c r="Q327" i="14"/>
  <c r="H328" i="14"/>
  <c r="L328" i="14"/>
  <c r="O328" i="14"/>
  <c r="H329" i="14"/>
  <c r="G329" i="14"/>
  <c r="L329" i="14"/>
  <c r="Q329" i="14"/>
  <c r="G330" i="14"/>
  <c r="L330" i="14"/>
  <c r="Q330" i="14"/>
  <c r="H331" i="14"/>
  <c r="L331" i="14"/>
  <c r="O331" i="14"/>
  <c r="H332" i="14"/>
  <c r="L332" i="14"/>
  <c r="H333" i="14"/>
  <c r="L333" i="14"/>
  <c r="Q333" i="14"/>
  <c r="L334" i="14"/>
  <c r="Q334" i="14"/>
  <c r="H335" i="14"/>
  <c r="O335" i="14"/>
  <c r="Q335" i="14"/>
  <c r="D336" i="14"/>
  <c r="H336" i="14"/>
  <c r="Q336" i="14"/>
  <c r="H337" i="14"/>
  <c r="L337" i="14"/>
  <c r="O337" i="14"/>
  <c r="Q337" i="14"/>
  <c r="H338" i="14"/>
  <c r="L338" i="14"/>
  <c r="O338" i="14"/>
  <c r="Q338" i="14"/>
  <c r="H339" i="14"/>
  <c r="O339" i="14"/>
  <c r="H340" i="14"/>
  <c r="O340" i="14"/>
  <c r="D341" i="14"/>
  <c r="O341" i="14"/>
  <c r="H342" i="14"/>
  <c r="D343" i="14"/>
  <c r="H343" i="14"/>
  <c r="N343" i="14"/>
  <c r="H344" i="14"/>
  <c r="N344" i="14"/>
  <c r="N345" i="14"/>
  <c r="H346" i="14"/>
  <c r="N346" i="14"/>
  <c r="H347" i="14"/>
  <c r="N347" i="14"/>
  <c r="D348" i="14"/>
  <c r="H348" i="14"/>
  <c r="N348" i="14"/>
  <c r="N349" i="14"/>
  <c r="N350" i="14"/>
  <c r="H351" i="14"/>
  <c r="N351" i="14"/>
  <c r="H352" i="14"/>
  <c r="N352" i="14"/>
  <c r="N354" i="14"/>
  <c r="N355" i="14"/>
  <c r="N356" i="14"/>
  <c r="K359" i="14"/>
  <c r="P359" i="14"/>
  <c r="H360" i="14"/>
  <c r="K360" i="14"/>
  <c r="N360" i="14"/>
  <c r="Q360" i="14"/>
  <c r="H361" i="14"/>
  <c r="K361" i="14"/>
  <c r="L361" i="14"/>
  <c r="P361" i="14"/>
  <c r="H362" i="14"/>
  <c r="G362" i="14"/>
  <c r="K362" i="14"/>
  <c r="N362" i="14"/>
  <c r="Q362" i="14"/>
  <c r="H363" i="14"/>
  <c r="K363" i="14"/>
  <c r="L363" i="14"/>
  <c r="P363" i="14"/>
  <c r="H364" i="14"/>
  <c r="G364" i="14"/>
  <c r="K364" i="14"/>
  <c r="N364" i="14"/>
  <c r="Q364" i="14"/>
  <c r="H365" i="14"/>
  <c r="K365" i="14"/>
  <c r="L365" i="14"/>
  <c r="O365" i="14"/>
  <c r="P365" i="14"/>
  <c r="H366" i="14"/>
  <c r="G366" i="14"/>
  <c r="K366" i="14"/>
  <c r="N366" i="14"/>
  <c r="Q366" i="14"/>
  <c r="H367" i="14"/>
  <c r="K367" i="14"/>
  <c r="L367" i="14"/>
  <c r="P367" i="14"/>
  <c r="H368" i="14"/>
  <c r="G368" i="14"/>
  <c r="K368" i="14"/>
  <c r="N368" i="14"/>
  <c r="O368" i="14"/>
  <c r="Q368" i="14"/>
  <c r="H369" i="14"/>
  <c r="K369" i="14"/>
  <c r="L369" i="14"/>
  <c r="H370" i="14"/>
  <c r="G370" i="14"/>
  <c r="K370" i="14"/>
  <c r="N370" i="14"/>
  <c r="O370" i="14"/>
  <c r="Q370" i="14"/>
  <c r="H371" i="14"/>
  <c r="K371" i="14"/>
  <c r="L371" i="14"/>
  <c r="O371" i="14"/>
  <c r="H372" i="14"/>
  <c r="G372" i="14"/>
  <c r="K372" i="14"/>
  <c r="N372" i="14"/>
  <c r="O372" i="14"/>
  <c r="Q372" i="14"/>
  <c r="H373" i="14"/>
  <c r="K373" i="14"/>
  <c r="L373" i="14"/>
  <c r="O373" i="14"/>
  <c r="H374" i="14"/>
  <c r="G374" i="14"/>
  <c r="K374" i="14"/>
  <c r="N374" i="14"/>
  <c r="O374" i="14"/>
  <c r="Q374" i="14"/>
  <c r="H375" i="14"/>
  <c r="K375" i="14"/>
  <c r="L375" i="14"/>
  <c r="N375" i="14"/>
  <c r="O375" i="14"/>
  <c r="P375" i="14"/>
  <c r="Q375" i="14"/>
  <c r="H376" i="14"/>
  <c r="G376" i="14"/>
  <c r="K376" i="14"/>
  <c r="L376" i="14"/>
  <c r="N376" i="14"/>
  <c r="P376" i="14"/>
  <c r="Q376" i="14"/>
  <c r="H377" i="14"/>
  <c r="K377" i="14"/>
  <c r="L377" i="14"/>
  <c r="N377" i="14"/>
  <c r="O377" i="14"/>
  <c r="Q377" i="14"/>
  <c r="H378" i="14"/>
  <c r="G378" i="14"/>
  <c r="L378" i="14"/>
  <c r="N378" i="14"/>
  <c r="O378" i="14"/>
  <c r="P378" i="14"/>
  <c r="Q378" i="14"/>
  <c r="H379" i="14"/>
  <c r="G379" i="14"/>
  <c r="K379" i="14"/>
  <c r="L379" i="14"/>
  <c r="N379" i="14"/>
  <c r="Q379" i="14"/>
  <c r="H380" i="14"/>
  <c r="G380" i="14"/>
  <c r="K380" i="14"/>
  <c r="L380" i="14"/>
  <c r="N380" i="14"/>
  <c r="O380" i="14"/>
  <c r="P380" i="14"/>
  <c r="Q380" i="14"/>
  <c r="H381" i="14"/>
  <c r="G381" i="14"/>
  <c r="K381" i="14"/>
  <c r="L381" i="14"/>
  <c r="N381" i="14"/>
  <c r="O381" i="14"/>
  <c r="Q381" i="14"/>
  <c r="H382" i="14"/>
  <c r="G382" i="14"/>
  <c r="K382" i="14"/>
  <c r="L382" i="14"/>
  <c r="N382" i="14"/>
  <c r="O382" i="14"/>
  <c r="P382" i="14"/>
  <c r="Q382" i="14"/>
  <c r="H383" i="14"/>
  <c r="G383" i="14"/>
  <c r="K383" i="14"/>
  <c r="L383" i="14"/>
  <c r="O383" i="14"/>
  <c r="Q383" i="14"/>
  <c r="H384" i="14"/>
  <c r="G384" i="14"/>
  <c r="L384" i="14"/>
  <c r="N384" i="14"/>
  <c r="O384" i="14"/>
  <c r="P384" i="14"/>
  <c r="Q384" i="14"/>
  <c r="H385" i="14"/>
  <c r="G385" i="14"/>
  <c r="K385" i="14"/>
  <c r="L385" i="14"/>
  <c r="O385" i="14"/>
  <c r="Q385" i="14"/>
  <c r="H386" i="14"/>
  <c r="G386" i="14"/>
  <c r="L386" i="14"/>
  <c r="N386" i="14"/>
  <c r="O386" i="14"/>
  <c r="P386" i="14"/>
  <c r="Q386" i="14"/>
  <c r="H387" i="14"/>
  <c r="G387" i="14"/>
  <c r="K387" i="14"/>
  <c r="L387" i="14"/>
  <c r="O387" i="14"/>
  <c r="Q387" i="14"/>
  <c r="H388" i="14"/>
  <c r="G388" i="14"/>
  <c r="L388" i="14"/>
  <c r="N388" i="14"/>
  <c r="O388" i="14"/>
  <c r="P388" i="14"/>
  <c r="Q388" i="14"/>
  <c r="H389" i="14"/>
  <c r="G389" i="14"/>
  <c r="K389" i="14"/>
  <c r="L389" i="14"/>
  <c r="O389" i="14"/>
  <c r="Q389" i="14"/>
  <c r="H390" i="14"/>
  <c r="G390" i="14"/>
  <c r="L390" i="14"/>
  <c r="N390" i="14"/>
  <c r="O390" i="14"/>
  <c r="P390" i="14"/>
  <c r="Q390" i="14"/>
  <c r="H391" i="14"/>
  <c r="G391" i="14"/>
  <c r="K391" i="14"/>
  <c r="L391" i="14"/>
  <c r="O391" i="14"/>
  <c r="Q391" i="14"/>
  <c r="H392" i="14"/>
  <c r="G392" i="14"/>
  <c r="L392" i="14"/>
  <c r="N392" i="14"/>
  <c r="O392" i="14"/>
  <c r="P392" i="14"/>
  <c r="Q392" i="14"/>
  <c r="H393" i="14"/>
  <c r="G393" i="14"/>
  <c r="K393" i="14"/>
  <c r="L393" i="14"/>
  <c r="O393" i="14"/>
  <c r="Q393" i="14"/>
  <c r="H394" i="14"/>
  <c r="G394" i="14"/>
  <c r="L394" i="14"/>
  <c r="N394" i="14"/>
  <c r="O394" i="14"/>
  <c r="P394" i="14"/>
  <c r="Q394" i="14"/>
  <c r="H395" i="14"/>
  <c r="G395" i="14"/>
  <c r="K395" i="14"/>
  <c r="L395" i="14"/>
  <c r="O395" i="14"/>
  <c r="Q395" i="14"/>
  <c r="H396" i="14"/>
  <c r="G396" i="14"/>
  <c r="L396" i="14"/>
  <c r="O396" i="14"/>
  <c r="P396" i="14"/>
  <c r="Q396" i="14"/>
  <c r="H397" i="14"/>
  <c r="G397" i="14"/>
  <c r="L397" i="14"/>
  <c r="N397" i="14"/>
  <c r="O397" i="14"/>
  <c r="Q397" i="14"/>
  <c r="H398" i="14"/>
  <c r="G398" i="14"/>
  <c r="L398" i="14"/>
  <c r="N398" i="14"/>
  <c r="O398" i="14"/>
  <c r="Q398" i="14"/>
  <c r="H399" i="14"/>
  <c r="G399" i="14"/>
  <c r="L399" i="14"/>
  <c r="N399" i="14"/>
  <c r="O399" i="14"/>
  <c r="P399" i="14"/>
  <c r="Q399" i="14"/>
  <c r="H400" i="14"/>
  <c r="G400" i="14"/>
  <c r="L400" i="14"/>
  <c r="O400" i="14"/>
  <c r="P400" i="14"/>
  <c r="Q400" i="14"/>
  <c r="H401" i="14"/>
  <c r="G401" i="14"/>
  <c r="L401" i="14"/>
  <c r="N401" i="14"/>
  <c r="O401" i="14"/>
  <c r="P401" i="14"/>
  <c r="Q401" i="14"/>
  <c r="H402" i="14"/>
  <c r="G402" i="14"/>
  <c r="L402" i="14"/>
  <c r="O402" i="14"/>
  <c r="Q402" i="14"/>
  <c r="H403" i="14"/>
  <c r="G403" i="14"/>
  <c r="L403" i="14"/>
  <c r="N403" i="14"/>
  <c r="O403" i="14"/>
  <c r="P403" i="14"/>
  <c r="Q403" i="14"/>
  <c r="H404" i="14"/>
  <c r="G404" i="14"/>
  <c r="L404" i="14"/>
  <c r="O404" i="14"/>
  <c r="Q404" i="14"/>
  <c r="H405" i="14"/>
  <c r="G405" i="14"/>
  <c r="L405" i="14"/>
  <c r="O405" i="14"/>
  <c r="P405" i="14"/>
  <c r="Q405" i="14"/>
  <c r="H406" i="14"/>
  <c r="G406" i="14"/>
  <c r="L406" i="14"/>
  <c r="N406" i="14"/>
  <c r="O406" i="14"/>
  <c r="P406" i="14"/>
  <c r="Q406" i="14"/>
  <c r="H407" i="14"/>
  <c r="G407" i="14"/>
  <c r="O407" i="14"/>
  <c r="P407" i="14"/>
  <c r="Q407" i="14"/>
  <c r="D408" i="14"/>
  <c r="H408" i="14"/>
  <c r="G408" i="14"/>
  <c r="L408" i="14"/>
  <c r="O408" i="14"/>
  <c r="P408" i="14"/>
  <c r="Q408" i="14"/>
  <c r="D409" i="14"/>
  <c r="H409" i="14"/>
  <c r="G409" i="14"/>
  <c r="L409" i="14"/>
  <c r="N409" i="14"/>
  <c r="O409" i="14"/>
  <c r="P409" i="14"/>
  <c r="Q409" i="14"/>
  <c r="H410" i="14"/>
  <c r="G410" i="14"/>
  <c r="L410" i="14"/>
  <c r="N410" i="14"/>
  <c r="P410" i="14"/>
  <c r="Q410" i="14"/>
  <c r="H411" i="14"/>
  <c r="G411" i="14"/>
  <c r="L411" i="14"/>
  <c r="Q411" i="14"/>
  <c r="H412" i="14"/>
  <c r="G412" i="14"/>
  <c r="O412" i="14"/>
  <c r="P412" i="14"/>
  <c r="Q412" i="14"/>
  <c r="D413" i="14"/>
  <c r="H413" i="14"/>
  <c r="G413" i="14"/>
  <c r="L413" i="14"/>
  <c r="H414" i="14"/>
  <c r="G414" i="14"/>
  <c r="L414" i="14"/>
  <c r="N414" i="14"/>
  <c r="P414" i="14"/>
  <c r="Q414" i="14"/>
  <c r="D415" i="14"/>
  <c r="F415" i="14" s="1"/>
  <c r="E415" i="14" s="1"/>
  <c r="H415" i="14"/>
  <c r="G415" i="14"/>
  <c r="N415" i="14"/>
  <c r="P415" i="14"/>
  <c r="H416" i="14"/>
  <c r="G416" i="14"/>
  <c r="N416" i="14"/>
  <c r="P416" i="14"/>
  <c r="D417" i="14"/>
  <c r="G417" i="14"/>
  <c r="N417" i="14"/>
  <c r="P417" i="14"/>
  <c r="Q417" i="14"/>
  <c r="H418" i="14"/>
  <c r="G418" i="14"/>
  <c r="L418" i="14"/>
  <c r="N418" i="14"/>
  <c r="P418" i="14"/>
  <c r="G419" i="14"/>
  <c r="N419" i="14"/>
  <c r="Q419" i="14"/>
  <c r="D8" i="1"/>
  <c r="D9" i="1"/>
  <c r="C9" i="1" s="1"/>
  <c r="D6" i="14" s="1"/>
  <c r="D10" i="1"/>
  <c r="C10" i="1" s="1"/>
  <c r="D7" i="14" s="1"/>
  <c r="D11" i="1"/>
  <c r="C11" i="1"/>
  <c r="D8" i="14" s="1"/>
  <c r="D12" i="1"/>
  <c r="C12" i="1" s="1"/>
  <c r="D9" i="14"/>
  <c r="D13" i="1"/>
  <c r="C13" i="1" s="1"/>
  <c r="D10" i="14" s="1"/>
  <c r="D14" i="1"/>
  <c r="C14" i="1"/>
  <c r="D11" i="14" s="1"/>
  <c r="D15" i="1"/>
  <c r="C15" i="1" s="1"/>
  <c r="D12" i="14" s="1"/>
  <c r="D16" i="1"/>
  <c r="C16" i="1" s="1"/>
  <c r="D17" i="1"/>
  <c r="C17" i="1" s="1"/>
  <c r="D14" i="14" s="1"/>
  <c r="D18" i="1"/>
  <c r="C18" i="1"/>
  <c r="D15" i="14" s="1"/>
  <c r="D19" i="1"/>
  <c r="C19" i="1"/>
  <c r="D16" i="14" s="1"/>
  <c r="D8" i="2"/>
  <c r="C8" i="2"/>
  <c r="D9" i="2"/>
  <c r="C9" i="2"/>
  <c r="D18" i="14" s="1"/>
  <c r="D10" i="2"/>
  <c r="C10" i="2"/>
  <c r="D19" i="14" s="1"/>
  <c r="D11" i="2"/>
  <c r="D12" i="2"/>
  <c r="C12" i="2" s="1"/>
  <c r="D21" i="14" s="1"/>
  <c r="D13" i="2"/>
  <c r="C13" i="2"/>
  <c r="D22" i="14" s="1"/>
  <c r="D14" i="2"/>
  <c r="C14" i="2"/>
  <c r="D23" i="14" s="1"/>
  <c r="D15" i="2"/>
  <c r="C15" i="2"/>
  <c r="D24" i="14" s="1"/>
  <c r="D16" i="2"/>
  <c r="C16" i="2" s="1"/>
  <c r="D25" i="14" s="1"/>
  <c r="D17" i="2"/>
  <c r="C17" i="2"/>
  <c r="D26" i="14" s="1"/>
  <c r="D18" i="2"/>
  <c r="C18" i="2"/>
  <c r="D27" i="14" s="1"/>
  <c r="D19" i="2"/>
  <c r="C19" i="2" s="1"/>
  <c r="D8" i="3"/>
  <c r="C8" i="3"/>
  <c r="C25" i="3" s="1"/>
  <c r="D9" i="3"/>
  <c r="C9" i="3"/>
  <c r="D30" i="14" s="1"/>
  <c r="D10" i="3"/>
  <c r="C10" i="3" s="1"/>
  <c r="D31" i="14" s="1"/>
  <c r="D11" i="3"/>
  <c r="C11" i="3" s="1"/>
  <c r="D32" i="14" s="1"/>
  <c r="D12" i="3"/>
  <c r="C12" i="3"/>
  <c r="D33" i="14"/>
  <c r="D13" i="3"/>
  <c r="C13" i="3"/>
  <c r="D34" i="14" s="1"/>
  <c r="D14" i="3"/>
  <c r="C14" i="3" s="1"/>
  <c r="D35" i="14" s="1"/>
  <c r="D15" i="3"/>
  <c r="C15" i="3" s="1"/>
  <c r="D36" i="14" s="1"/>
  <c r="D16" i="3"/>
  <c r="C16" i="3" s="1"/>
  <c r="D37" i="14"/>
  <c r="D17" i="3"/>
  <c r="C17" i="3"/>
  <c r="D38" i="14"/>
  <c r="D18" i="3"/>
  <c r="C18" i="3" s="1"/>
  <c r="D39" i="14" s="1"/>
  <c r="D19" i="3"/>
  <c r="C19" i="3"/>
  <c r="AL18" i="9" s="1"/>
  <c r="D8" i="4"/>
  <c r="C8" i="4"/>
  <c r="D9" i="4"/>
  <c r="C9" i="4" s="1"/>
  <c r="D42" i="14" s="1"/>
  <c r="D10" i="4"/>
  <c r="C10" i="4" s="1"/>
  <c r="D43" i="14" s="1"/>
  <c r="D11" i="4"/>
  <c r="C11" i="4" s="1"/>
  <c r="D44" i="14" s="1"/>
  <c r="D12" i="4"/>
  <c r="C12" i="4" s="1"/>
  <c r="D45" i="14" s="1"/>
  <c r="D13" i="4"/>
  <c r="C13" i="4" s="1"/>
  <c r="D46" i="14" s="1"/>
  <c r="E14" i="4"/>
  <c r="D14" i="4"/>
  <c r="C14" i="4"/>
  <c r="D47" i="14" s="1"/>
  <c r="D15" i="4"/>
  <c r="C15" i="4"/>
  <c r="D48" i="14" s="1"/>
  <c r="D16" i="4"/>
  <c r="C16" i="4"/>
  <c r="D49" i="14" s="1"/>
  <c r="D17" i="4"/>
  <c r="C17" i="4" s="1"/>
  <c r="D50" i="14" s="1"/>
  <c r="D18" i="4"/>
  <c r="C18" i="4" s="1"/>
  <c r="D51" i="14" s="1"/>
  <c r="D19" i="4"/>
  <c r="C19" i="4" s="1"/>
  <c r="D52" i="14" s="1"/>
  <c r="K77" i="14"/>
  <c r="K267" i="14"/>
  <c r="K268" i="14"/>
  <c r="K336" i="14"/>
  <c r="K354" i="14"/>
  <c r="K355" i="14"/>
  <c r="K399" i="14"/>
  <c r="K416" i="14"/>
  <c r="K417" i="14"/>
  <c r="H5" i="13"/>
  <c r="J5" i="13"/>
  <c r="H6" i="13"/>
  <c r="J6" i="13"/>
  <c r="Q6" i="13"/>
  <c r="Q7" i="13"/>
  <c r="R7" i="13"/>
  <c r="C8" i="13"/>
  <c r="E8" i="13" s="1"/>
  <c r="D8" i="13"/>
  <c r="F8" i="13"/>
  <c r="G8" i="13"/>
  <c r="O8" i="13"/>
  <c r="H9" i="13"/>
  <c r="J9" i="13"/>
  <c r="Q9" i="13"/>
  <c r="R9" i="13"/>
  <c r="H10" i="13"/>
  <c r="J10" i="13"/>
  <c r="Q10" i="13"/>
  <c r="R10" i="13"/>
  <c r="C12" i="13"/>
  <c r="B20" i="13" s="1"/>
  <c r="O11" i="13"/>
  <c r="D12" i="13"/>
  <c r="F12" i="13" s="1"/>
  <c r="G12" i="13"/>
  <c r="Q12" i="13"/>
  <c r="R12" i="13" s="1"/>
  <c r="H13" i="13"/>
  <c r="J13" i="13"/>
  <c r="J16" i="13" s="1"/>
  <c r="H14" i="13"/>
  <c r="J14" i="13"/>
  <c r="J20" i="13"/>
  <c r="I20" i="13" s="1"/>
  <c r="H20" i="13" s="1"/>
  <c r="C16" i="13"/>
  <c r="E16" i="13" s="1"/>
  <c r="O14" i="13"/>
  <c r="D16" i="13"/>
  <c r="F16" i="13" s="1"/>
  <c r="G16" i="13"/>
  <c r="P16" i="13"/>
  <c r="H17" i="13"/>
  <c r="J17" i="13"/>
  <c r="H18" i="13"/>
  <c r="J18" i="13"/>
  <c r="C20" i="13"/>
  <c r="E20" i="13" s="1"/>
  <c r="B28" i="13"/>
  <c r="D20" i="13"/>
  <c r="F20" i="13" s="1"/>
  <c r="G20" i="13"/>
  <c r="H21" i="13"/>
  <c r="J21" i="13"/>
  <c r="H22" i="13"/>
  <c r="J22" i="13"/>
  <c r="C24" i="13"/>
  <c r="E24" i="13" s="1"/>
  <c r="D24" i="13"/>
  <c r="F24" i="13" s="1"/>
  <c r="G24" i="13"/>
  <c r="D25" i="13"/>
  <c r="D28" i="13"/>
  <c r="F28" i="13" s="1"/>
  <c r="H25" i="13"/>
  <c r="J25" i="13"/>
  <c r="C28" i="13"/>
  <c r="E28" i="13" s="1"/>
  <c r="E32" i="13" s="1"/>
  <c r="G28" i="13"/>
  <c r="C32" i="13"/>
  <c r="D32" i="13"/>
  <c r="D41" i="13"/>
  <c r="E41" i="13"/>
  <c r="D43" i="13"/>
  <c r="E43" i="13"/>
  <c r="E51" i="13"/>
  <c r="D71" i="13"/>
  <c r="P2" i="7"/>
  <c r="O2" i="7"/>
  <c r="N2" i="7"/>
  <c r="M2" i="7"/>
  <c r="M37" i="7" s="1"/>
  <c r="L2" i="7"/>
  <c r="K2" i="7"/>
  <c r="J2" i="7"/>
  <c r="I2" i="7"/>
  <c r="G2" i="7"/>
  <c r="F2" i="7"/>
  <c r="E17" i="6"/>
  <c r="E38" i="7"/>
  <c r="E18" i="6"/>
  <c r="E19" i="6"/>
  <c r="D17" i="6"/>
  <c r="D18" i="6"/>
  <c r="D19" i="6"/>
  <c r="C2" i="7"/>
  <c r="E8" i="7"/>
  <c r="D8" i="7"/>
  <c r="D23" i="7" s="1"/>
  <c r="Q8" i="7"/>
  <c r="E9" i="7"/>
  <c r="D9" i="7"/>
  <c r="Q9" i="7"/>
  <c r="R9" i="7"/>
  <c r="S9" i="7"/>
  <c r="E10" i="7"/>
  <c r="Q10" i="7"/>
  <c r="R10" i="7"/>
  <c r="S10" i="7"/>
  <c r="E11" i="7"/>
  <c r="D11" i="7" s="1"/>
  <c r="Q11" i="7"/>
  <c r="E12" i="7"/>
  <c r="D12" i="7"/>
  <c r="Q12" i="7"/>
  <c r="E13" i="7"/>
  <c r="D13" i="7"/>
  <c r="Q13" i="7"/>
  <c r="E14" i="7"/>
  <c r="D14" i="7" s="1"/>
  <c r="Q14" i="7"/>
  <c r="E15" i="7"/>
  <c r="D15" i="7" s="1"/>
  <c r="Q15" i="7"/>
  <c r="R15" i="7"/>
  <c r="S15" i="7"/>
  <c r="E16" i="7"/>
  <c r="D16" i="7" s="1"/>
  <c r="Q16" i="7"/>
  <c r="E17" i="7"/>
  <c r="D17" i="7" s="1"/>
  <c r="Q17" i="7"/>
  <c r="R17" i="7"/>
  <c r="S17" i="7"/>
  <c r="E18" i="7"/>
  <c r="D18" i="7" s="1"/>
  <c r="Q18" i="7"/>
  <c r="R18" i="7"/>
  <c r="S18" i="7"/>
  <c r="E19" i="7"/>
  <c r="D19" i="7"/>
  <c r="Q19" i="7"/>
  <c r="R19" i="7"/>
  <c r="S19" i="7"/>
  <c r="F20" i="7"/>
  <c r="G20" i="7"/>
  <c r="G21" i="7"/>
  <c r="I20" i="7"/>
  <c r="J20" i="7"/>
  <c r="J21" i="7"/>
  <c r="K20" i="7"/>
  <c r="L20" i="7"/>
  <c r="M20" i="7"/>
  <c r="N20" i="7"/>
  <c r="N21" i="7"/>
  <c r="Q20" i="7"/>
  <c r="F21" i="7"/>
  <c r="I21" i="7"/>
  <c r="K21" i="7"/>
  <c r="M21" i="7"/>
  <c r="Q21" i="7"/>
  <c r="C23" i="7"/>
  <c r="Q23" i="7" s="1"/>
  <c r="F23" i="7"/>
  <c r="G23" i="7"/>
  <c r="I23" i="7"/>
  <c r="J23" i="7"/>
  <c r="K23" i="7"/>
  <c r="L23" i="7"/>
  <c r="M23" i="7"/>
  <c r="N23" i="7"/>
  <c r="O23" i="7"/>
  <c r="P23" i="7"/>
  <c r="C24" i="7"/>
  <c r="F24" i="7"/>
  <c r="G24" i="7"/>
  <c r="I24" i="7"/>
  <c r="J24" i="7"/>
  <c r="K24" i="7"/>
  <c r="L24" i="7"/>
  <c r="M24" i="7"/>
  <c r="N24" i="7"/>
  <c r="O24" i="7"/>
  <c r="P24" i="7"/>
  <c r="C25" i="7"/>
  <c r="Q25" i="7" s="1"/>
  <c r="F25" i="7"/>
  <c r="G25" i="7"/>
  <c r="I25" i="7"/>
  <c r="J25" i="7"/>
  <c r="K25" i="7"/>
  <c r="L25" i="7"/>
  <c r="M25" i="7"/>
  <c r="N25" i="7"/>
  <c r="O25" i="7"/>
  <c r="P25" i="7"/>
  <c r="C26" i="7"/>
  <c r="Q26" i="7" s="1"/>
  <c r="F26" i="7"/>
  <c r="G26" i="7"/>
  <c r="I26" i="7"/>
  <c r="J26" i="7"/>
  <c r="K26" i="7"/>
  <c r="L26" i="7"/>
  <c r="M26" i="7"/>
  <c r="N26" i="7"/>
  <c r="O26" i="7"/>
  <c r="P26" i="7"/>
  <c r="C27" i="7"/>
  <c r="Q27" i="7" s="1"/>
  <c r="F27" i="7"/>
  <c r="G27" i="7"/>
  <c r="I27" i="7"/>
  <c r="J27" i="7"/>
  <c r="K27" i="7"/>
  <c r="L27" i="7"/>
  <c r="M27" i="7"/>
  <c r="N27" i="7"/>
  <c r="O27" i="7"/>
  <c r="P27" i="7"/>
  <c r="C28" i="7"/>
  <c r="F28" i="7"/>
  <c r="G28" i="7"/>
  <c r="I28" i="7"/>
  <c r="J28" i="7"/>
  <c r="K28" i="7"/>
  <c r="L28" i="7"/>
  <c r="M28" i="7"/>
  <c r="N28" i="7"/>
  <c r="O28" i="7"/>
  <c r="P28" i="7"/>
  <c r="C29" i="7"/>
  <c r="F29" i="7"/>
  <c r="G29" i="7"/>
  <c r="I29" i="7"/>
  <c r="J29" i="7"/>
  <c r="K29" i="7"/>
  <c r="L29" i="7"/>
  <c r="M29" i="7"/>
  <c r="N29" i="7"/>
  <c r="O29" i="7"/>
  <c r="Q29" i="7" s="1"/>
  <c r="P29" i="7"/>
  <c r="C30" i="7"/>
  <c r="Q30" i="7" s="1"/>
  <c r="F30" i="7"/>
  <c r="G30" i="7"/>
  <c r="I30" i="7"/>
  <c r="J30" i="7"/>
  <c r="K30" i="7"/>
  <c r="L30" i="7"/>
  <c r="M30" i="7"/>
  <c r="N30" i="7"/>
  <c r="O30" i="7"/>
  <c r="P30" i="7"/>
  <c r="C31" i="7"/>
  <c r="Q31" i="7" s="1"/>
  <c r="F31" i="7"/>
  <c r="F37" i="7" s="1"/>
  <c r="G31" i="7"/>
  <c r="G38" i="7"/>
  <c r="I31" i="7"/>
  <c r="I37" i="7"/>
  <c r="I38" i="7"/>
  <c r="J31" i="7"/>
  <c r="K31" i="7"/>
  <c r="K38" i="7"/>
  <c r="L31" i="7"/>
  <c r="M31" i="7"/>
  <c r="M38" i="7"/>
  <c r="N31" i="7"/>
  <c r="N37" i="7" s="1"/>
  <c r="O31" i="7"/>
  <c r="O38" i="7"/>
  <c r="P31" i="7"/>
  <c r="P37" i="7" s="1"/>
  <c r="C32" i="7"/>
  <c r="Q32" i="7" s="1"/>
  <c r="F32" i="7"/>
  <c r="G32" i="7"/>
  <c r="I32" i="7"/>
  <c r="J32" i="7"/>
  <c r="K32" i="7"/>
  <c r="L32" i="7"/>
  <c r="M32" i="7"/>
  <c r="N32" i="7"/>
  <c r="O32" i="7"/>
  <c r="P32" i="7"/>
  <c r="C33" i="7"/>
  <c r="F33" i="7"/>
  <c r="G33" i="7"/>
  <c r="I33" i="7"/>
  <c r="J33" i="7"/>
  <c r="K33" i="7"/>
  <c r="L33" i="7"/>
  <c r="M33" i="7"/>
  <c r="N33" i="7"/>
  <c r="O33" i="7"/>
  <c r="Q33" i="7" s="1"/>
  <c r="P33" i="7"/>
  <c r="C34" i="7"/>
  <c r="F34" i="7"/>
  <c r="G34" i="7"/>
  <c r="I34" i="7"/>
  <c r="J34" i="7"/>
  <c r="K34" i="7"/>
  <c r="L34" i="7"/>
  <c r="M34" i="7"/>
  <c r="N34" i="7"/>
  <c r="O34" i="7"/>
  <c r="Q34" i="7" s="1"/>
  <c r="P34" i="7"/>
  <c r="C35" i="7"/>
  <c r="Q35" i="7" s="1"/>
  <c r="F35" i="7"/>
  <c r="G35" i="7"/>
  <c r="J35" i="7"/>
  <c r="K35" i="7"/>
  <c r="M35" i="7"/>
  <c r="N35" i="7"/>
  <c r="O35" i="7"/>
  <c r="P35" i="7"/>
  <c r="K36" i="7"/>
  <c r="F38" i="7"/>
  <c r="H38" i="7"/>
  <c r="J38" i="7"/>
  <c r="N38" i="7"/>
  <c r="P38" i="7"/>
  <c r="W44" i="7"/>
  <c r="AA47" i="7"/>
  <c r="V48" i="7"/>
  <c r="Y48" i="7"/>
  <c r="AA48" i="7"/>
  <c r="AB48" i="7"/>
  <c r="AB78" i="7"/>
  <c r="AC48" i="7"/>
  <c r="AA49" i="7"/>
  <c r="V50" i="7"/>
  <c r="V74" i="7"/>
  <c r="W50" i="7"/>
  <c r="Y50" i="7"/>
  <c r="AA50" i="7"/>
  <c r="Z74" i="7"/>
  <c r="AF74" i="7" s="1"/>
  <c r="AB50" i="7"/>
  <c r="AB74" i="7"/>
  <c r="AC50" i="7"/>
  <c r="AA51" i="7"/>
  <c r="V52" i="7"/>
  <c r="W52" i="7"/>
  <c r="Y52" i="7"/>
  <c r="AA52" i="7"/>
  <c r="AB52" i="7"/>
  <c r="AC52" i="7"/>
  <c r="AE52" i="7" s="1"/>
  <c r="AD52" i="7"/>
  <c r="AA53" i="7"/>
  <c r="V54" i="7"/>
  <c r="Y54" i="7"/>
  <c r="AA54" i="7"/>
  <c r="AB54" i="7"/>
  <c r="AC54" i="7"/>
  <c r="AA55" i="7"/>
  <c r="Z56" i="7" s="1"/>
  <c r="V56" i="7"/>
  <c r="AD56" i="7" s="1"/>
  <c r="Y56" i="7"/>
  <c r="AA56" i="7"/>
  <c r="AB56" i="7"/>
  <c r="AC56" i="7"/>
  <c r="AA57" i="7"/>
  <c r="V58" i="7"/>
  <c r="AD58" i="7" s="1"/>
  <c r="Y58" i="7"/>
  <c r="AA58" i="7"/>
  <c r="AB58" i="7"/>
  <c r="AC58" i="7"/>
  <c r="AA59" i="7"/>
  <c r="V60" i="7"/>
  <c r="Y60" i="7"/>
  <c r="AA60" i="7"/>
  <c r="AB60" i="7"/>
  <c r="AC60" i="7"/>
  <c r="AA61" i="7"/>
  <c r="V62" i="7"/>
  <c r="W62" i="7"/>
  <c r="Y62" i="7"/>
  <c r="AA62" i="7"/>
  <c r="AB62" i="7"/>
  <c r="AC62" i="7"/>
  <c r="AE62" i="7" s="1"/>
  <c r="AA63" i="7"/>
  <c r="V64" i="7"/>
  <c r="Y64" i="7"/>
  <c r="AA64" i="7"/>
  <c r="AB64" i="7"/>
  <c r="AC64" i="7"/>
  <c r="AA65" i="7"/>
  <c r="V66" i="7"/>
  <c r="W66" i="7"/>
  <c r="Y66" i="7"/>
  <c r="AA66" i="7"/>
  <c r="AB66" i="7"/>
  <c r="AC66" i="7"/>
  <c r="AE66" i="7" s="1"/>
  <c r="AA67" i="7"/>
  <c r="V68" i="7"/>
  <c r="AD68" i="7" s="1"/>
  <c r="W68" i="7"/>
  <c r="Y68" i="7"/>
  <c r="AA68" i="7"/>
  <c r="AB68" i="7"/>
  <c r="AC68" i="7"/>
  <c r="AA69" i="7"/>
  <c r="V70" i="7"/>
  <c r="AD70" i="7" s="1"/>
  <c r="W70" i="7"/>
  <c r="Y70" i="7"/>
  <c r="AA70" i="7"/>
  <c r="AB70" i="7"/>
  <c r="AC70" i="7"/>
  <c r="AE70" i="7" s="1"/>
  <c r="AA71" i="7"/>
  <c r="V72" i="7"/>
  <c r="AA73" i="7"/>
  <c r="W74" i="7"/>
  <c r="AE74" i="7" s="1"/>
  <c r="AA74" i="7"/>
  <c r="AC74" i="7"/>
  <c r="AA77" i="7"/>
  <c r="W78" i="7"/>
  <c r="AA78" i="7"/>
  <c r="AC78" i="7"/>
  <c r="E35" i="7"/>
  <c r="I35" i="7"/>
  <c r="L35" i="7"/>
  <c r="K27" i="3"/>
  <c r="C43" i="7"/>
  <c r="K27" i="4"/>
  <c r="D43" i="7" s="1"/>
  <c r="K27" i="5"/>
  <c r="K27" i="6"/>
  <c r="C43" i="10" s="1"/>
  <c r="F43" i="7"/>
  <c r="K35" i="6"/>
  <c r="K36" i="6" s="1"/>
  <c r="C45" i="10" s="1"/>
  <c r="K35" i="3"/>
  <c r="K36" i="3"/>
  <c r="C45" i="7"/>
  <c r="C46" i="7" s="1"/>
  <c r="K35" i="4"/>
  <c r="K36" i="4" s="1"/>
  <c r="K35" i="5"/>
  <c r="K36" i="5" s="1"/>
  <c r="N20" i="8"/>
  <c r="N21" i="8"/>
  <c r="M20" i="8"/>
  <c r="M21" i="8" s="1"/>
  <c r="L20" i="8"/>
  <c r="L21" i="8"/>
  <c r="K20" i="8"/>
  <c r="K21" i="8" s="1"/>
  <c r="J20" i="8"/>
  <c r="J21" i="8"/>
  <c r="I20" i="8"/>
  <c r="I21" i="8" s="1"/>
  <c r="G20" i="8"/>
  <c r="G21" i="8" s="1"/>
  <c r="F20" i="8"/>
  <c r="F21" i="8" s="1"/>
  <c r="E8" i="8"/>
  <c r="E23" i="8" s="1"/>
  <c r="E9" i="8"/>
  <c r="D9" i="8" s="1"/>
  <c r="E10" i="8"/>
  <c r="D10" i="8" s="1"/>
  <c r="E11" i="8"/>
  <c r="D11" i="8" s="1"/>
  <c r="E12" i="8"/>
  <c r="E13" i="8"/>
  <c r="D13" i="8" s="1"/>
  <c r="E14" i="8"/>
  <c r="E15" i="8"/>
  <c r="D15" i="8" s="1"/>
  <c r="E16" i="8"/>
  <c r="D16" i="8" s="1"/>
  <c r="E17" i="8"/>
  <c r="E18" i="8"/>
  <c r="D18" i="8" s="1"/>
  <c r="E19" i="8"/>
  <c r="D19" i="8" s="1"/>
  <c r="D8" i="8"/>
  <c r="D14" i="8"/>
  <c r="P2" i="8"/>
  <c r="O2" i="8"/>
  <c r="O38" i="8"/>
  <c r="N2" i="8"/>
  <c r="M2" i="8"/>
  <c r="M37" i="8" s="1"/>
  <c r="M38" i="8"/>
  <c r="L2" i="8"/>
  <c r="L37" i="8" s="1"/>
  <c r="K2" i="8"/>
  <c r="K38" i="8"/>
  <c r="J2" i="8"/>
  <c r="I2" i="8"/>
  <c r="I37" i="8" s="1"/>
  <c r="I38" i="8"/>
  <c r="H2" i="8"/>
  <c r="G2" i="8"/>
  <c r="G38" i="8"/>
  <c r="F2" i="8"/>
  <c r="C2" i="8"/>
  <c r="Q8" i="8"/>
  <c r="Q9" i="8"/>
  <c r="Q10" i="8"/>
  <c r="R10" i="8"/>
  <c r="S10" i="8"/>
  <c r="AI10" i="8"/>
  <c r="AJ10" i="8"/>
  <c r="AK10" i="8"/>
  <c r="Q11" i="8"/>
  <c r="AI11" i="8"/>
  <c r="AJ11" i="8"/>
  <c r="AK11" i="8"/>
  <c r="Q12" i="8"/>
  <c r="Q13" i="8"/>
  <c r="Q14" i="8"/>
  <c r="Q15" i="8"/>
  <c r="Q16" i="8"/>
  <c r="Q17" i="8"/>
  <c r="R17" i="8"/>
  <c r="S17" i="8"/>
  <c r="Q18" i="8"/>
  <c r="AJ18" i="8"/>
  <c r="AK18" i="8"/>
  <c r="Q19" i="8"/>
  <c r="R19" i="8"/>
  <c r="S19" i="8"/>
  <c r="AJ19" i="8"/>
  <c r="AK19" i="8"/>
  <c r="Q20" i="8"/>
  <c r="AJ20" i="8"/>
  <c r="AK20" i="8"/>
  <c r="Q21" i="8"/>
  <c r="AI21" i="8"/>
  <c r="AJ21" i="8"/>
  <c r="AK21" i="8"/>
  <c r="AI22" i="8"/>
  <c r="AM22" i="8" s="1"/>
  <c r="AJ22" i="8"/>
  <c r="AK22" i="8"/>
  <c r="C23" i="8"/>
  <c r="Q23" i="8" s="1"/>
  <c r="F23" i="8"/>
  <c r="G23" i="8"/>
  <c r="I23" i="8"/>
  <c r="J23" i="8"/>
  <c r="K23" i="8"/>
  <c r="L23" i="8"/>
  <c r="M23" i="8"/>
  <c r="N23" i="8"/>
  <c r="O23" i="8"/>
  <c r="P23" i="8"/>
  <c r="AH23" i="8"/>
  <c r="AI23" i="8"/>
  <c r="AJ23" i="8"/>
  <c r="AK23" i="8"/>
  <c r="AM23" i="8" s="1"/>
  <c r="C24" i="8"/>
  <c r="F24" i="8"/>
  <c r="G24" i="8"/>
  <c r="I24" i="8"/>
  <c r="J24" i="8"/>
  <c r="K24" i="8"/>
  <c r="L24" i="8"/>
  <c r="M24" i="8"/>
  <c r="N24" i="8"/>
  <c r="O24" i="8"/>
  <c r="Q24" i="8" s="1"/>
  <c r="P24" i="8"/>
  <c r="AI24" i="8"/>
  <c r="AJ24" i="8"/>
  <c r="AK24" i="8"/>
  <c r="AM24" i="8" s="1"/>
  <c r="AO24" i="8" s="1"/>
  <c r="C25" i="8"/>
  <c r="Q25" i="8" s="1"/>
  <c r="F25" i="8"/>
  <c r="G25" i="8"/>
  <c r="I25" i="8"/>
  <c r="J25" i="8"/>
  <c r="K25" i="8"/>
  <c r="L25" i="8"/>
  <c r="M25" i="8"/>
  <c r="N25" i="8"/>
  <c r="O25" i="8"/>
  <c r="P25" i="8"/>
  <c r="C26" i="8"/>
  <c r="F26" i="8"/>
  <c r="G26" i="8"/>
  <c r="I26" i="8"/>
  <c r="J26" i="8"/>
  <c r="K26" i="8"/>
  <c r="L26" i="8"/>
  <c r="M26" i="8"/>
  <c r="N26" i="8"/>
  <c r="O26" i="8"/>
  <c r="Q26" i="8" s="1"/>
  <c r="P26" i="8"/>
  <c r="C27" i="8"/>
  <c r="F27" i="8"/>
  <c r="G27" i="8"/>
  <c r="I27" i="8"/>
  <c r="J27" i="8"/>
  <c r="L27" i="8"/>
  <c r="M27" i="8"/>
  <c r="N27" i="8"/>
  <c r="O27" i="8"/>
  <c r="P27" i="8"/>
  <c r="C28" i="8"/>
  <c r="F28" i="8"/>
  <c r="G28" i="8"/>
  <c r="I28" i="8"/>
  <c r="J28" i="8"/>
  <c r="K28" i="8"/>
  <c r="L28" i="8"/>
  <c r="M28" i="8"/>
  <c r="N28" i="8"/>
  <c r="O28" i="8"/>
  <c r="Q28" i="8" s="1"/>
  <c r="P28" i="8"/>
  <c r="C29" i="8"/>
  <c r="Q29" i="8" s="1"/>
  <c r="F29" i="8"/>
  <c r="G29" i="8"/>
  <c r="I29" i="8"/>
  <c r="J29" i="8"/>
  <c r="K29" i="8"/>
  <c r="L29" i="8"/>
  <c r="M29" i="8"/>
  <c r="N29" i="8"/>
  <c r="O29" i="8"/>
  <c r="P29" i="8"/>
  <c r="C30" i="8"/>
  <c r="F30" i="8"/>
  <c r="G30" i="8"/>
  <c r="I30" i="8"/>
  <c r="J30" i="8"/>
  <c r="K30" i="8"/>
  <c r="L30" i="8"/>
  <c r="M30" i="8"/>
  <c r="N30" i="8"/>
  <c r="O30" i="8"/>
  <c r="P30" i="8"/>
  <c r="Q30" i="8"/>
  <c r="C31" i="8"/>
  <c r="F31" i="8"/>
  <c r="G31" i="8"/>
  <c r="G37" i="8" s="1"/>
  <c r="I31" i="8"/>
  <c r="J31" i="8"/>
  <c r="K31" i="8"/>
  <c r="K37" i="8" s="1"/>
  <c r="L31" i="8"/>
  <c r="M31" i="8"/>
  <c r="N31" i="8"/>
  <c r="O31" i="8"/>
  <c r="P31" i="8"/>
  <c r="P37" i="8" s="1"/>
  <c r="C32" i="8"/>
  <c r="F32" i="8"/>
  <c r="G32" i="8"/>
  <c r="I32" i="8"/>
  <c r="J32" i="8"/>
  <c r="K32" i="8"/>
  <c r="L32" i="8"/>
  <c r="M32" i="8"/>
  <c r="N32" i="8"/>
  <c r="O32" i="8"/>
  <c r="Q32" i="8" s="1"/>
  <c r="P32" i="8"/>
  <c r="C33" i="8"/>
  <c r="Q33" i="8" s="1"/>
  <c r="F33" i="8"/>
  <c r="G33" i="8"/>
  <c r="I33" i="8"/>
  <c r="J33" i="8"/>
  <c r="K33" i="8"/>
  <c r="L33" i="8"/>
  <c r="M33" i="8"/>
  <c r="N33" i="8"/>
  <c r="O33" i="8"/>
  <c r="P33" i="8"/>
  <c r="C34" i="8"/>
  <c r="F34" i="8"/>
  <c r="G34" i="8"/>
  <c r="I34" i="8"/>
  <c r="J34" i="8"/>
  <c r="K34" i="8"/>
  <c r="L34" i="8"/>
  <c r="M34" i="8"/>
  <c r="N34" i="8"/>
  <c r="O34" i="8"/>
  <c r="P34" i="8"/>
  <c r="Q34" i="8"/>
  <c r="C35" i="8"/>
  <c r="F35" i="8"/>
  <c r="G35" i="8"/>
  <c r="I35" i="8"/>
  <c r="J35" i="8"/>
  <c r="L35" i="8"/>
  <c r="M35" i="8"/>
  <c r="N35" i="8"/>
  <c r="O35" i="8"/>
  <c r="P35" i="8"/>
  <c r="F37" i="8"/>
  <c r="F38" i="8"/>
  <c r="H38" i="8"/>
  <c r="J37" i="8"/>
  <c r="J38" i="8"/>
  <c r="N37" i="8"/>
  <c r="N38" i="8"/>
  <c r="P38" i="8"/>
  <c r="R38" i="8" s="1"/>
  <c r="M43" i="8"/>
  <c r="N43" i="8"/>
  <c r="O43" i="8" s="1"/>
  <c r="O42" i="8" s="1"/>
  <c r="G43" i="8"/>
  <c r="L43" i="8"/>
  <c r="K44" i="8"/>
  <c r="L44" i="8"/>
  <c r="M44" i="8"/>
  <c r="N44" i="8" s="1"/>
  <c r="W44" i="8"/>
  <c r="F45" i="8"/>
  <c r="L47" i="8"/>
  <c r="M47" i="8"/>
  <c r="N47" i="8" s="1"/>
  <c r="O47" i="8" s="1"/>
  <c r="AA47" i="8"/>
  <c r="Z48" i="8" s="1"/>
  <c r="V48" i="8"/>
  <c r="Y48" i="8"/>
  <c r="AA48" i="8"/>
  <c r="AA78" i="8"/>
  <c r="AB48" i="8"/>
  <c r="AC48" i="8"/>
  <c r="AC78" i="8"/>
  <c r="AA49" i="8"/>
  <c r="V50" i="8"/>
  <c r="W74" i="8"/>
  <c r="Y50" i="8"/>
  <c r="AA50" i="8"/>
  <c r="AA74" i="8"/>
  <c r="AB50" i="8"/>
  <c r="AC50" i="8"/>
  <c r="AC74" i="8"/>
  <c r="AA51" i="8"/>
  <c r="V52" i="8"/>
  <c r="W52" i="8"/>
  <c r="Y52" i="8"/>
  <c r="AA52" i="8"/>
  <c r="AB52" i="8"/>
  <c r="AC52" i="8"/>
  <c r="AE52" i="8" s="1"/>
  <c r="AD52" i="8"/>
  <c r="AA53" i="8"/>
  <c r="C54" i="8"/>
  <c r="C57" i="8" s="1"/>
  <c r="D60" i="8" s="1"/>
  <c r="D54" i="8"/>
  <c r="E54" i="8"/>
  <c r="F54" i="8"/>
  <c r="F55" i="8" s="1"/>
  <c r="G54" i="8"/>
  <c r="G55" i="8" s="1"/>
  <c r="H54" i="8"/>
  <c r="V54" i="8"/>
  <c r="Y54" i="8"/>
  <c r="AA54" i="8"/>
  <c r="AB54" i="8"/>
  <c r="AC54" i="8"/>
  <c r="D55" i="8"/>
  <c r="N55" i="8"/>
  <c r="AA55" i="8"/>
  <c r="Z56" i="8"/>
  <c r="G56" i="8"/>
  <c r="N56" i="8"/>
  <c r="V56" i="8"/>
  <c r="Y56" i="8"/>
  <c r="AA56" i="8"/>
  <c r="AB56" i="8"/>
  <c r="AC56" i="8"/>
  <c r="AA57" i="8"/>
  <c r="Z58" i="8" s="1"/>
  <c r="V58" i="8"/>
  <c r="Y58" i="8"/>
  <c r="AA58" i="8"/>
  <c r="AB58" i="8"/>
  <c r="AC58" i="8"/>
  <c r="K59" i="8"/>
  <c r="L59" i="8"/>
  <c r="M59" i="8"/>
  <c r="N59" i="8"/>
  <c r="O59" i="8"/>
  <c r="P59" i="8"/>
  <c r="AA59" i="8"/>
  <c r="V60" i="8"/>
  <c r="Y60" i="8"/>
  <c r="AA60" i="8"/>
  <c r="AB60" i="8"/>
  <c r="AC60" i="8"/>
  <c r="AD60" i="8"/>
  <c r="K61" i="8"/>
  <c r="L61" i="8"/>
  <c r="M61" i="8"/>
  <c r="N61" i="8"/>
  <c r="O61" i="8"/>
  <c r="P61" i="8"/>
  <c r="AA61" i="8"/>
  <c r="Z62" i="8" s="1"/>
  <c r="V62" i="8"/>
  <c r="Y62" i="8"/>
  <c r="AA62" i="8"/>
  <c r="AB62" i="8"/>
  <c r="AD62" i="8" s="1"/>
  <c r="AC62" i="8"/>
  <c r="K63" i="8"/>
  <c r="L63" i="8"/>
  <c r="M63" i="8"/>
  <c r="N63" i="8"/>
  <c r="O63" i="8"/>
  <c r="P63" i="8"/>
  <c r="AA63" i="8"/>
  <c r="C64" i="8"/>
  <c r="D64" i="8"/>
  <c r="D65" i="8" s="1"/>
  <c r="E64" i="8"/>
  <c r="F65" i="8" s="1"/>
  <c r="F64" i="8"/>
  <c r="G64" i="8"/>
  <c r="G65" i="8" s="1"/>
  <c r="H64" i="8"/>
  <c r="H65" i="8" s="1"/>
  <c r="V64" i="8"/>
  <c r="AD64" i="8" s="1"/>
  <c r="Y64" i="8"/>
  <c r="AA64" i="8"/>
  <c r="AB64" i="8"/>
  <c r="AC64" i="8"/>
  <c r="AA65" i="8"/>
  <c r="Z66" i="8" s="1"/>
  <c r="G66" i="8"/>
  <c r="V66" i="8"/>
  <c r="W66" i="8"/>
  <c r="Y66" i="8"/>
  <c r="AA66" i="8"/>
  <c r="AB66" i="8"/>
  <c r="AC66" i="8"/>
  <c r="AA67" i="8"/>
  <c r="V68" i="8"/>
  <c r="AD68" i="8" s="1"/>
  <c r="Y68" i="8"/>
  <c r="AA68" i="8"/>
  <c r="Z68" i="8" s="1"/>
  <c r="AB68" i="8"/>
  <c r="AC68" i="8"/>
  <c r="AA69" i="8"/>
  <c r="V70" i="8"/>
  <c r="W70" i="8"/>
  <c r="Y70" i="8"/>
  <c r="AA70" i="8"/>
  <c r="AB70" i="8"/>
  <c r="AC70" i="8"/>
  <c r="V72" i="8"/>
  <c r="Y74" i="8"/>
  <c r="V74" i="8"/>
  <c r="AB74" i="8"/>
  <c r="AD74" i="8" s="1"/>
  <c r="H75" i="8"/>
  <c r="V78" i="8"/>
  <c r="AD78" i="8" s="1"/>
  <c r="AB78" i="8"/>
  <c r="AA77" i="8"/>
  <c r="P20" i="3"/>
  <c r="P21" i="3"/>
  <c r="C56" i="8" s="1"/>
  <c r="O20" i="3"/>
  <c r="O21" i="3" s="1"/>
  <c r="I8" i="3"/>
  <c r="L8" i="3"/>
  <c r="H8" i="3" s="1"/>
  <c r="I9" i="3"/>
  <c r="L9" i="3"/>
  <c r="H9" i="3"/>
  <c r="I10" i="3"/>
  <c r="L10" i="3"/>
  <c r="I11" i="3"/>
  <c r="L11" i="3"/>
  <c r="I12" i="3"/>
  <c r="H12" i="3" s="1"/>
  <c r="L12" i="3"/>
  <c r="I13" i="3"/>
  <c r="H13" i="3" s="1"/>
  <c r="L13" i="3"/>
  <c r="I14" i="3"/>
  <c r="H14" i="3" s="1"/>
  <c r="L14" i="3"/>
  <c r="I15" i="3"/>
  <c r="I33" i="3" s="1"/>
  <c r="L15" i="3"/>
  <c r="I16" i="3"/>
  <c r="L16" i="3"/>
  <c r="H16" i="3"/>
  <c r="S16" i="3" s="1"/>
  <c r="I17" i="3"/>
  <c r="H17" i="3" s="1"/>
  <c r="L17" i="3"/>
  <c r="I18" i="3"/>
  <c r="L18" i="3"/>
  <c r="I19" i="3"/>
  <c r="L19" i="3"/>
  <c r="I8" i="2"/>
  <c r="H8" i="2" s="1"/>
  <c r="L8" i="2"/>
  <c r="I9" i="2"/>
  <c r="L9" i="2"/>
  <c r="I10" i="2"/>
  <c r="L10" i="2"/>
  <c r="I11" i="2"/>
  <c r="L11" i="2"/>
  <c r="H11" i="2"/>
  <c r="I12" i="2"/>
  <c r="H12" i="2" s="1"/>
  <c r="L12" i="2"/>
  <c r="I13" i="2"/>
  <c r="L13" i="2"/>
  <c r="I14" i="2"/>
  <c r="L14" i="2"/>
  <c r="I15" i="2"/>
  <c r="H15" i="2" s="1"/>
  <c r="L15" i="2"/>
  <c r="I16" i="2"/>
  <c r="H16" i="2" s="1"/>
  <c r="L16" i="2"/>
  <c r="I17" i="2"/>
  <c r="L17" i="2"/>
  <c r="I18" i="2"/>
  <c r="L18" i="2"/>
  <c r="H18" i="2"/>
  <c r="R18" i="2" s="1"/>
  <c r="I19" i="2"/>
  <c r="H19" i="2" s="1"/>
  <c r="AH18" i="8" s="1"/>
  <c r="L19" i="2"/>
  <c r="P20" i="2"/>
  <c r="P21" i="2"/>
  <c r="AJ4" i="8" s="1"/>
  <c r="O20" i="2"/>
  <c r="O21" i="2" s="1"/>
  <c r="AK4" i="8" s="1"/>
  <c r="P20" i="4"/>
  <c r="P21" i="4"/>
  <c r="O20" i="4"/>
  <c r="O21" i="4" s="1"/>
  <c r="AN5" i="9" s="1"/>
  <c r="I8" i="4"/>
  <c r="H8" i="4" s="1"/>
  <c r="L8" i="4"/>
  <c r="I9" i="4"/>
  <c r="L9" i="4"/>
  <c r="H9" i="4"/>
  <c r="I10" i="4"/>
  <c r="H10" i="4" s="1"/>
  <c r="L10" i="4"/>
  <c r="I11" i="4"/>
  <c r="L11" i="4"/>
  <c r="I12" i="4"/>
  <c r="H12" i="4" s="1"/>
  <c r="L12" i="4"/>
  <c r="I13" i="4"/>
  <c r="L13" i="4"/>
  <c r="I14" i="4"/>
  <c r="L14" i="4"/>
  <c r="I15" i="4"/>
  <c r="L15" i="4"/>
  <c r="I16" i="4"/>
  <c r="L16" i="4"/>
  <c r="H16" i="4"/>
  <c r="I17" i="4"/>
  <c r="L17" i="4"/>
  <c r="H17" i="4"/>
  <c r="I18" i="4"/>
  <c r="L18" i="4"/>
  <c r="I19" i="4"/>
  <c r="L19" i="4"/>
  <c r="P20" i="5"/>
  <c r="P21" i="5" s="1"/>
  <c r="O20" i="5"/>
  <c r="I15" i="5"/>
  <c r="L15" i="5"/>
  <c r="I8" i="5"/>
  <c r="L8" i="5"/>
  <c r="I9" i="5"/>
  <c r="L9" i="5"/>
  <c r="I10" i="5"/>
  <c r="L10" i="5"/>
  <c r="H10" i="5"/>
  <c r="I11" i="5"/>
  <c r="L11" i="5"/>
  <c r="I12" i="5"/>
  <c r="L12" i="5"/>
  <c r="I13" i="5"/>
  <c r="L13" i="5"/>
  <c r="I14" i="5"/>
  <c r="L14" i="5"/>
  <c r="I16" i="5"/>
  <c r="H16" i="5" s="1"/>
  <c r="L16" i="5"/>
  <c r="I17" i="5"/>
  <c r="H17" i="5" s="1"/>
  <c r="L17" i="5"/>
  <c r="I18" i="5"/>
  <c r="L18" i="5"/>
  <c r="I19" i="5"/>
  <c r="H19" i="5" s="1"/>
  <c r="AH21" i="8" s="1"/>
  <c r="AL21" i="8" s="1"/>
  <c r="L19" i="5"/>
  <c r="C20" i="5"/>
  <c r="C21" i="5" s="1"/>
  <c r="AJ9" i="8"/>
  <c r="AK9" i="8"/>
  <c r="AM9" i="8" s="1"/>
  <c r="AI9" i="8"/>
  <c r="AI20" i="8"/>
  <c r="AM20" i="8"/>
  <c r="C43" i="8"/>
  <c r="E43" i="8"/>
  <c r="F56" i="8"/>
  <c r="G58" i="8"/>
  <c r="F66" i="8"/>
  <c r="G68" i="8" s="1"/>
  <c r="S20" i="9"/>
  <c r="S21" i="9" s="1"/>
  <c r="AM11" i="9" s="1"/>
  <c r="R20" i="9"/>
  <c r="R21" i="9"/>
  <c r="AN11" i="9" s="1"/>
  <c r="T21" i="9"/>
  <c r="S2" i="9"/>
  <c r="R2" i="9"/>
  <c r="Q20" i="9"/>
  <c r="Q21" i="9" s="1"/>
  <c r="N20" i="9"/>
  <c r="N21" i="9" s="1"/>
  <c r="M20" i="9"/>
  <c r="M21" i="9" s="1"/>
  <c r="K20" i="9"/>
  <c r="K21" i="9" s="1"/>
  <c r="J20" i="9"/>
  <c r="J21" i="9" s="1"/>
  <c r="G20" i="9"/>
  <c r="G21" i="9" s="1"/>
  <c r="F20" i="9"/>
  <c r="F21" i="9" s="1"/>
  <c r="N2" i="9"/>
  <c r="M2" i="9"/>
  <c r="L2" i="9"/>
  <c r="K2" i="9"/>
  <c r="K37" i="9" s="1"/>
  <c r="J2" i="9"/>
  <c r="I2" i="9"/>
  <c r="G2" i="9"/>
  <c r="F2" i="9"/>
  <c r="F37" i="9" s="1"/>
  <c r="C2" i="9"/>
  <c r="E8" i="9"/>
  <c r="T8" i="9"/>
  <c r="U8" i="9"/>
  <c r="V8" i="9"/>
  <c r="E9" i="9"/>
  <c r="D9" i="9" s="1"/>
  <c r="T9" i="9"/>
  <c r="AL9" i="9"/>
  <c r="AP9" i="9" s="1"/>
  <c r="AM9" i="9"/>
  <c r="AN9" i="9"/>
  <c r="E10" i="9"/>
  <c r="T10" i="9"/>
  <c r="U10" i="9"/>
  <c r="V10" i="9"/>
  <c r="AL10" i="9"/>
  <c r="AP10" i="9" s="1"/>
  <c r="AM10" i="9"/>
  <c r="AN10" i="9"/>
  <c r="E11" i="9"/>
  <c r="D11" i="9" s="1"/>
  <c r="T11" i="9"/>
  <c r="U11" i="9"/>
  <c r="V11" i="9"/>
  <c r="AL11" i="9"/>
  <c r="E12" i="9"/>
  <c r="D12" i="9" s="1"/>
  <c r="T12" i="9"/>
  <c r="E13" i="9"/>
  <c r="D13" i="9"/>
  <c r="I13" i="9"/>
  <c r="I28" i="9" s="1"/>
  <c r="L13" i="9"/>
  <c r="V13" i="9" s="1"/>
  <c r="T13" i="9"/>
  <c r="U13" i="9"/>
  <c r="E14" i="9"/>
  <c r="D14" i="9" s="1"/>
  <c r="T14" i="9"/>
  <c r="U14" i="9"/>
  <c r="V14" i="9"/>
  <c r="E15" i="9"/>
  <c r="D15" i="9" s="1"/>
  <c r="T15" i="9"/>
  <c r="E16" i="9"/>
  <c r="D16" i="9" s="1"/>
  <c r="T16" i="9"/>
  <c r="E17" i="9"/>
  <c r="D17" i="9"/>
  <c r="I17" i="9"/>
  <c r="T17" i="9"/>
  <c r="U17" i="9"/>
  <c r="V17" i="9"/>
  <c r="E18" i="9"/>
  <c r="D18" i="9"/>
  <c r="T18" i="9"/>
  <c r="AM18" i="9"/>
  <c r="AN18" i="9"/>
  <c r="E19" i="9"/>
  <c r="T19" i="9"/>
  <c r="AM19" i="9"/>
  <c r="AN19" i="9"/>
  <c r="AP19" i="9" s="1"/>
  <c r="I21" i="9"/>
  <c r="L20" i="9"/>
  <c r="T20" i="9"/>
  <c r="AL20" i="9"/>
  <c r="AM20" i="9"/>
  <c r="AN20" i="9"/>
  <c r="L21" i="9"/>
  <c r="AL21" i="9"/>
  <c r="AM21" i="9"/>
  <c r="AN21" i="9"/>
  <c r="AK22" i="9"/>
  <c r="AO22" i="9" s="1"/>
  <c r="AL22" i="9"/>
  <c r="AM22" i="9"/>
  <c r="AN22" i="9"/>
  <c r="C23" i="9"/>
  <c r="T23" i="9"/>
  <c r="F23" i="9"/>
  <c r="G23" i="9"/>
  <c r="H23" i="9"/>
  <c r="I23" i="9"/>
  <c r="J23" i="9"/>
  <c r="K23" i="9"/>
  <c r="L23" i="9"/>
  <c r="V23" i="9" s="1"/>
  <c r="M23" i="9"/>
  <c r="N23" i="9"/>
  <c r="O23" i="9"/>
  <c r="P23" i="9"/>
  <c r="Q23" i="9"/>
  <c r="R23" i="9"/>
  <c r="S23" i="9"/>
  <c r="U23" i="9"/>
  <c r="AK23" i="9"/>
  <c r="AO23" i="9" s="1"/>
  <c r="AL23" i="9"/>
  <c r="AM23" i="9"/>
  <c r="AN23" i="9"/>
  <c r="AP23" i="9"/>
  <c r="C24" i="9"/>
  <c r="T24" i="9"/>
  <c r="E24" i="9"/>
  <c r="F24" i="9"/>
  <c r="G24" i="9"/>
  <c r="I24" i="9"/>
  <c r="J24" i="9"/>
  <c r="K24" i="9"/>
  <c r="L24" i="9"/>
  <c r="M24" i="9"/>
  <c r="N24" i="9"/>
  <c r="O24" i="9"/>
  <c r="P24" i="9"/>
  <c r="Q24" i="9"/>
  <c r="R24" i="9"/>
  <c r="S24" i="9"/>
  <c r="AK24" i="9"/>
  <c r="AL24" i="9"/>
  <c r="AM24" i="9"/>
  <c r="AN24" i="9"/>
  <c r="C25" i="9"/>
  <c r="F25" i="9"/>
  <c r="G25" i="9"/>
  <c r="I25" i="9"/>
  <c r="J25" i="9"/>
  <c r="K25" i="9"/>
  <c r="L25" i="9"/>
  <c r="M25" i="9"/>
  <c r="N25" i="9"/>
  <c r="O25" i="9"/>
  <c r="P25" i="9"/>
  <c r="Q25" i="9"/>
  <c r="R25" i="9"/>
  <c r="T25" i="9" s="1"/>
  <c r="S25" i="9"/>
  <c r="C26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AM26" i="9"/>
  <c r="C27" i="9"/>
  <c r="T27" i="9" s="1"/>
  <c r="F27" i="9"/>
  <c r="G27" i="9"/>
  <c r="I27" i="9"/>
  <c r="J27" i="9"/>
  <c r="L27" i="9"/>
  <c r="M27" i="9"/>
  <c r="N27" i="9"/>
  <c r="O27" i="9"/>
  <c r="P27" i="9"/>
  <c r="Q27" i="9"/>
  <c r="R27" i="9"/>
  <c r="S27" i="9"/>
  <c r="C28" i="9"/>
  <c r="F28" i="9"/>
  <c r="G28" i="9"/>
  <c r="J28" i="9"/>
  <c r="K28" i="9"/>
  <c r="L28" i="9"/>
  <c r="M28" i="9"/>
  <c r="N28" i="9"/>
  <c r="O28" i="9"/>
  <c r="P28" i="9"/>
  <c r="Q28" i="9"/>
  <c r="R28" i="9"/>
  <c r="S28" i="9"/>
  <c r="C29" i="9"/>
  <c r="F29" i="9"/>
  <c r="G29" i="9"/>
  <c r="I29" i="9"/>
  <c r="J29" i="9"/>
  <c r="K29" i="9"/>
  <c r="L29" i="9"/>
  <c r="M29" i="9"/>
  <c r="N29" i="9"/>
  <c r="O29" i="9"/>
  <c r="P29" i="9"/>
  <c r="Q29" i="9"/>
  <c r="R29" i="9"/>
  <c r="T29" i="9" s="1"/>
  <c r="S29" i="9"/>
  <c r="C30" i="9"/>
  <c r="F30" i="9"/>
  <c r="G30" i="9"/>
  <c r="I30" i="9"/>
  <c r="J30" i="9"/>
  <c r="K30" i="9"/>
  <c r="L30" i="9"/>
  <c r="M30" i="9"/>
  <c r="N30" i="9"/>
  <c r="O30" i="9"/>
  <c r="P30" i="9"/>
  <c r="Q30" i="9"/>
  <c r="R30" i="9"/>
  <c r="S30" i="9"/>
  <c r="C31" i="9"/>
  <c r="F31" i="9"/>
  <c r="G31" i="9"/>
  <c r="G38" i="9"/>
  <c r="I31" i="9"/>
  <c r="I37" i="9"/>
  <c r="I38" i="9"/>
  <c r="J31" i="9"/>
  <c r="K31" i="9"/>
  <c r="K38" i="9"/>
  <c r="L31" i="9"/>
  <c r="M31" i="9"/>
  <c r="M37" i="9"/>
  <c r="M38" i="9"/>
  <c r="N31" i="9"/>
  <c r="N37" i="9" s="1"/>
  <c r="O31" i="9"/>
  <c r="P31" i="9"/>
  <c r="Q31" i="9"/>
  <c r="R31" i="9"/>
  <c r="S31" i="9"/>
  <c r="C32" i="9"/>
  <c r="F32" i="9"/>
  <c r="G32" i="9"/>
  <c r="J32" i="9"/>
  <c r="K32" i="9"/>
  <c r="L32" i="9"/>
  <c r="M32" i="9"/>
  <c r="N32" i="9"/>
  <c r="O32" i="9"/>
  <c r="P32" i="9"/>
  <c r="Q32" i="9"/>
  <c r="R32" i="9"/>
  <c r="T32" i="9" s="1"/>
  <c r="S32" i="9"/>
  <c r="C33" i="9"/>
  <c r="T33" i="9" s="1"/>
  <c r="F33" i="9"/>
  <c r="G33" i="9"/>
  <c r="J33" i="9"/>
  <c r="K33" i="9"/>
  <c r="L33" i="9"/>
  <c r="M33" i="9"/>
  <c r="N33" i="9"/>
  <c r="O33" i="9"/>
  <c r="P33" i="9"/>
  <c r="Q33" i="9"/>
  <c r="R33" i="9"/>
  <c r="S33" i="9"/>
  <c r="C34" i="9"/>
  <c r="T34" i="9" s="1"/>
  <c r="F34" i="9"/>
  <c r="G34" i="9"/>
  <c r="J34" i="9"/>
  <c r="K34" i="9"/>
  <c r="L34" i="9"/>
  <c r="M34" i="9"/>
  <c r="N34" i="9"/>
  <c r="O34" i="9"/>
  <c r="P34" i="9"/>
  <c r="Q34" i="9"/>
  <c r="R34" i="9"/>
  <c r="S34" i="9"/>
  <c r="C35" i="9"/>
  <c r="F35" i="9"/>
  <c r="G35" i="9"/>
  <c r="I35" i="9"/>
  <c r="J35" i="9"/>
  <c r="L35" i="9"/>
  <c r="M35" i="9"/>
  <c r="N35" i="9"/>
  <c r="R35" i="9"/>
  <c r="S35" i="9"/>
  <c r="C38" i="9"/>
  <c r="T38" i="9" s="1"/>
  <c r="R38" i="9"/>
  <c r="F38" i="9"/>
  <c r="H38" i="9"/>
  <c r="J38" i="9"/>
  <c r="L38" i="9"/>
  <c r="V38" i="9" s="1"/>
  <c r="N38" i="9"/>
  <c r="S38" i="9"/>
  <c r="U38" i="9" s="1"/>
  <c r="M43" i="9"/>
  <c r="N43" i="9"/>
  <c r="F43" i="9"/>
  <c r="G43" i="9"/>
  <c r="L43" i="9"/>
  <c r="K44" i="9"/>
  <c r="L44" i="9"/>
  <c r="M44" i="9"/>
  <c r="N44" i="9" s="1"/>
  <c r="Z44" i="9"/>
  <c r="E45" i="9"/>
  <c r="F47" i="9" s="1"/>
  <c r="F45" i="9"/>
  <c r="L47" i="9"/>
  <c r="M47" i="9"/>
  <c r="N47" i="9" s="1"/>
  <c r="R47" i="9" s="1"/>
  <c r="AD47" i="9"/>
  <c r="Y48" i="9"/>
  <c r="Z48" i="9"/>
  <c r="AB48" i="9"/>
  <c r="AD48" i="9"/>
  <c r="AE48" i="9"/>
  <c r="AF48" i="9"/>
  <c r="AD49" i="9"/>
  <c r="Y50" i="9"/>
  <c r="AB50" i="9"/>
  <c r="AD50" i="9"/>
  <c r="AE50" i="9"/>
  <c r="AF50" i="9"/>
  <c r="AD51" i="9"/>
  <c r="AC52" i="9" s="1"/>
  <c r="Y52" i="9"/>
  <c r="Z52" i="9"/>
  <c r="AB52" i="9"/>
  <c r="AD52" i="9"/>
  <c r="AE52" i="9"/>
  <c r="AF52" i="9"/>
  <c r="AG52" i="9"/>
  <c r="AD53" i="9"/>
  <c r="AC54" i="9" s="1"/>
  <c r="C54" i="9"/>
  <c r="D54" i="9"/>
  <c r="D55" i="9" s="1"/>
  <c r="E54" i="9"/>
  <c r="F54" i="9"/>
  <c r="G54" i="9"/>
  <c r="H55" i="9"/>
  <c r="H54" i="9"/>
  <c r="Y54" i="9"/>
  <c r="Z54" i="9"/>
  <c r="AH54" i="9" s="1"/>
  <c r="AB54" i="9"/>
  <c r="AD54" i="9"/>
  <c r="AE54" i="9"/>
  <c r="AF54" i="9"/>
  <c r="N55" i="9"/>
  <c r="AD55" i="9"/>
  <c r="F56" i="9"/>
  <c r="F57" i="9" s="1"/>
  <c r="G60" i="9" s="1"/>
  <c r="G56" i="9"/>
  <c r="N56" i="9"/>
  <c r="Y56" i="9"/>
  <c r="AG56" i="9" s="1"/>
  <c r="AB56" i="9"/>
  <c r="AD56" i="9"/>
  <c r="AE56" i="9"/>
  <c r="AF56" i="9"/>
  <c r="AD57" i="9"/>
  <c r="AC58" i="9" s="1"/>
  <c r="AI58" i="9" s="1"/>
  <c r="Y58" i="9"/>
  <c r="Z58" i="9"/>
  <c r="AB58" i="9"/>
  <c r="AD58" i="9"/>
  <c r="AE58" i="9"/>
  <c r="AG58" i="9" s="1"/>
  <c r="AF58" i="9"/>
  <c r="K59" i="9"/>
  <c r="L59" i="9"/>
  <c r="M59" i="9"/>
  <c r="N59" i="9"/>
  <c r="R59" i="9"/>
  <c r="S59" i="9"/>
  <c r="AD59" i="9"/>
  <c r="AD73" i="9"/>
  <c r="Y60" i="9"/>
  <c r="Z60" i="9"/>
  <c r="AB60" i="9"/>
  <c r="AD60" i="9"/>
  <c r="AE60" i="9"/>
  <c r="AF60" i="9"/>
  <c r="AH60" i="9"/>
  <c r="K61" i="9"/>
  <c r="L61" i="9"/>
  <c r="M61" i="9"/>
  <c r="N61" i="9"/>
  <c r="R61" i="9"/>
  <c r="S61" i="9"/>
  <c r="AD61" i="9"/>
  <c r="AC62" i="9" s="1"/>
  <c r="Y62" i="9"/>
  <c r="AG62" i="9"/>
  <c r="AB62" i="9"/>
  <c r="AD62" i="9"/>
  <c r="AE62" i="9"/>
  <c r="AF62" i="9"/>
  <c r="K63" i="9"/>
  <c r="L63" i="9"/>
  <c r="M63" i="9"/>
  <c r="N63" i="9"/>
  <c r="R63" i="9"/>
  <c r="S63" i="9"/>
  <c r="AD63" i="9"/>
  <c r="C64" i="9"/>
  <c r="D64" i="9"/>
  <c r="D65" i="9" s="1"/>
  <c r="E64" i="9"/>
  <c r="E65" i="9" s="1"/>
  <c r="F64" i="9"/>
  <c r="F65" i="9" s="1"/>
  <c r="G64" i="9"/>
  <c r="H64" i="9"/>
  <c r="H65" i="9" s="1"/>
  <c r="Y64" i="9"/>
  <c r="AB64" i="9"/>
  <c r="AD64" i="9"/>
  <c r="AE64" i="9"/>
  <c r="AG64" i="9" s="1"/>
  <c r="AF64" i="9"/>
  <c r="G65" i="9"/>
  <c r="AD65" i="9"/>
  <c r="F66" i="9"/>
  <c r="F68" i="9" s="1"/>
  <c r="G66" i="9"/>
  <c r="Y66" i="9"/>
  <c r="Z66" i="9"/>
  <c r="AB66" i="9"/>
  <c r="AD66" i="9"/>
  <c r="AE66" i="9"/>
  <c r="AF66" i="9"/>
  <c r="AH66" i="9"/>
  <c r="AD67" i="9"/>
  <c r="AC68" i="9" s="1"/>
  <c r="G68" i="9"/>
  <c r="Y68" i="9"/>
  <c r="AB68" i="9"/>
  <c r="AD68" i="9"/>
  <c r="AE68" i="9"/>
  <c r="AF68" i="9"/>
  <c r="AD69" i="9"/>
  <c r="Y70" i="9"/>
  <c r="AB70" i="9"/>
  <c r="AD70" i="9"/>
  <c r="AE70" i="9"/>
  <c r="AF70" i="9"/>
  <c r="G75" i="9"/>
  <c r="H75" i="9"/>
  <c r="AD77" i="9"/>
  <c r="AE78" i="9"/>
  <c r="AM4" i="9"/>
  <c r="AN4" i="9"/>
  <c r="AM8" i="9"/>
  <c r="AN8" i="9"/>
  <c r="AP8" i="9" s="1"/>
  <c r="AL8" i="9"/>
  <c r="AL19" i="9"/>
  <c r="D43" i="9"/>
  <c r="C56" i="9"/>
  <c r="E56" i="9"/>
  <c r="C66" i="9"/>
  <c r="C67" i="9" s="1"/>
  <c r="D70" i="9" s="1"/>
  <c r="E66" i="9"/>
  <c r="S20" i="10"/>
  <c r="S21" i="10"/>
  <c r="AM11" i="10" s="1"/>
  <c r="R20" i="10"/>
  <c r="Q20" i="10"/>
  <c r="Q21" i="10" s="1"/>
  <c r="N20" i="10"/>
  <c r="N21" i="10" s="1"/>
  <c r="M20" i="10"/>
  <c r="M21" i="10"/>
  <c r="K20" i="10"/>
  <c r="K21" i="10" s="1"/>
  <c r="J20" i="10"/>
  <c r="J21" i="10"/>
  <c r="G20" i="10"/>
  <c r="G21" i="10" s="1"/>
  <c r="F20" i="10"/>
  <c r="F21" i="10"/>
  <c r="S2" i="10"/>
  <c r="S38" i="10"/>
  <c r="R2" i="10"/>
  <c r="Q2" i="10"/>
  <c r="Q38" i="10"/>
  <c r="P2" i="10"/>
  <c r="P37" i="10" s="1"/>
  <c r="O2" i="10"/>
  <c r="O38" i="10"/>
  <c r="N2" i="10"/>
  <c r="M2" i="10"/>
  <c r="M38" i="10"/>
  <c r="L2" i="10"/>
  <c r="K2" i="10"/>
  <c r="K38" i="10"/>
  <c r="J2" i="10"/>
  <c r="J37" i="10" s="1"/>
  <c r="I2" i="10"/>
  <c r="I38" i="10"/>
  <c r="G2" i="10"/>
  <c r="G38" i="10"/>
  <c r="F2" i="10"/>
  <c r="C2" i="10"/>
  <c r="E8" i="10"/>
  <c r="D8" i="10"/>
  <c r="D23" i="10" s="1"/>
  <c r="T8" i="10"/>
  <c r="AL8" i="10"/>
  <c r="AP8" i="10" s="1"/>
  <c r="AM8" i="10"/>
  <c r="AN8" i="10"/>
  <c r="E9" i="10"/>
  <c r="T9" i="10"/>
  <c r="U9" i="10"/>
  <c r="V9" i="10"/>
  <c r="AL9" i="10"/>
  <c r="AM9" i="10"/>
  <c r="AN9" i="10"/>
  <c r="E10" i="10"/>
  <c r="D10" i="10" s="1"/>
  <c r="T10" i="10"/>
  <c r="U10" i="10"/>
  <c r="V10" i="10"/>
  <c r="AL10" i="10"/>
  <c r="AM10" i="10"/>
  <c r="AN10" i="10"/>
  <c r="E11" i="10"/>
  <c r="D11" i="10" s="1"/>
  <c r="T11" i="10"/>
  <c r="U11" i="10"/>
  <c r="V11" i="10"/>
  <c r="AL11" i="10"/>
  <c r="E12" i="10"/>
  <c r="T12" i="10"/>
  <c r="U12" i="10"/>
  <c r="V12" i="10"/>
  <c r="E13" i="10"/>
  <c r="D13" i="10" s="1"/>
  <c r="T13" i="10"/>
  <c r="E14" i="10"/>
  <c r="D14" i="10"/>
  <c r="T14" i="10"/>
  <c r="U14" i="10"/>
  <c r="V14" i="10"/>
  <c r="E15" i="10"/>
  <c r="D15" i="10"/>
  <c r="T15" i="10"/>
  <c r="E16" i="10"/>
  <c r="D16" i="10" s="1"/>
  <c r="T16" i="10"/>
  <c r="E17" i="10"/>
  <c r="T17" i="10"/>
  <c r="E18" i="10"/>
  <c r="D18" i="10" s="1"/>
  <c r="T18" i="10"/>
  <c r="AM18" i="10"/>
  <c r="AN18" i="10"/>
  <c r="E19" i="10"/>
  <c r="D19" i="10"/>
  <c r="T19" i="10"/>
  <c r="U19" i="10"/>
  <c r="V19" i="10"/>
  <c r="AL19" i="10"/>
  <c r="AM19" i="10"/>
  <c r="AN19" i="10"/>
  <c r="I20" i="10"/>
  <c r="L20" i="10"/>
  <c r="AL20" i="10"/>
  <c r="AM20" i="10"/>
  <c r="AN20" i="10"/>
  <c r="E21" i="10"/>
  <c r="I21" i="10"/>
  <c r="L21" i="10"/>
  <c r="AK21" i="10"/>
  <c r="AL21" i="10"/>
  <c r="AM21" i="10"/>
  <c r="AN21" i="10"/>
  <c r="AO21" i="10"/>
  <c r="AK22" i="10"/>
  <c r="AL22" i="10"/>
  <c r="AP22" i="10" s="1"/>
  <c r="AM22" i="10"/>
  <c r="AO22" i="10" s="1"/>
  <c r="AN22" i="10"/>
  <c r="C23" i="10"/>
  <c r="E23" i="10"/>
  <c r="F23" i="10"/>
  <c r="G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AL23" i="10"/>
  <c r="AP23" i="10" s="1"/>
  <c r="AM23" i="10"/>
  <c r="AM26" i="10" s="1"/>
  <c r="AN23" i="10"/>
  <c r="C24" i="10"/>
  <c r="F24" i="10"/>
  <c r="G24" i="10"/>
  <c r="I24" i="10"/>
  <c r="J24" i="10"/>
  <c r="K24" i="10"/>
  <c r="L24" i="10"/>
  <c r="M24" i="10"/>
  <c r="N24" i="10"/>
  <c r="O24" i="10"/>
  <c r="P24" i="10"/>
  <c r="Q24" i="10"/>
  <c r="R24" i="10"/>
  <c r="T24" i="10" s="1"/>
  <c r="S24" i="10"/>
  <c r="AK24" i="10"/>
  <c r="AO24" i="10" s="1"/>
  <c r="AL24" i="10"/>
  <c r="AM24" i="10"/>
  <c r="AN24" i="10"/>
  <c r="C25" i="10"/>
  <c r="F25" i="10"/>
  <c r="G25" i="10"/>
  <c r="I25" i="10"/>
  <c r="J25" i="10"/>
  <c r="K25" i="10"/>
  <c r="L25" i="10"/>
  <c r="M25" i="10"/>
  <c r="N25" i="10"/>
  <c r="O25" i="10"/>
  <c r="P25" i="10"/>
  <c r="Q25" i="10"/>
  <c r="R25" i="10"/>
  <c r="T25" i="10" s="1"/>
  <c r="S25" i="10"/>
  <c r="C26" i="10"/>
  <c r="F26" i="10"/>
  <c r="G26" i="10"/>
  <c r="I26" i="10"/>
  <c r="J26" i="10"/>
  <c r="K26" i="10"/>
  <c r="L26" i="10"/>
  <c r="M26" i="10"/>
  <c r="N26" i="10"/>
  <c r="O26" i="10"/>
  <c r="P26" i="10"/>
  <c r="Q26" i="10"/>
  <c r="R26" i="10"/>
  <c r="S26" i="10"/>
  <c r="C27" i="10"/>
  <c r="T27" i="10" s="1"/>
  <c r="F27" i="10"/>
  <c r="G27" i="10"/>
  <c r="I27" i="10"/>
  <c r="J27" i="10"/>
  <c r="L27" i="10"/>
  <c r="M27" i="10"/>
  <c r="N27" i="10"/>
  <c r="O27" i="10"/>
  <c r="P27" i="10"/>
  <c r="Q27" i="10"/>
  <c r="R27" i="10"/>
  <c r="S27" i="10"/>
  <c r="C28" i="10"/>
  <c r="T28" i="10" s="1"/>
  <c r="F28" i="10"/>
  <c r="G28" i="10"/>
  <c r="I28" i="10"/>
  <c r="J28" i="10"/>
  <c r="K28" i="10"/>
  <c r="L28" i="10"/>
  <c r="M28" i="10"/>
  <c r="N28" i="10"/>
  <c r="O28" i="10"/>
  <c r="P28" i="10"/>
  <c r="Q28" i="10"/>
  <c r="R28" i="10"/>
  <c r="S28" i="10"/>
  <c r="C29" i="10"/>
  <c r="F29" i="10"/>
  <c r="G29" i="10"/>
  <c r="I29" i="10"/>
  <c r="J29" i="10"/>
  <c r="K29" i="10"/>
  <c r="L29" i="10"/>
  <c r="M29" i="10"/>
  <c r="N29" i="10"/>
  <c r="O29" i="10"/>
  <c r="P29" i="10"/>
  <c r="Q29" i="10"/>
  <c r="R29" i="10"/>
  <c r="S29" i="10"/>
  <c r="C30" i="10"/>
  <c r="F30" i="10"/>
  <c r="G30" i="10"/>
  <c r="I30" i="10"/>
  <c r="J30" i="10"/>
  <c r="K30" i="10"/>
  <c r="L30" i="10"/>
  <c r="M30" i="10"/>
  <c r="N30" i="10"/>
  <c r="O30" i="10"/>
  <c r="P30" i="10"/>
  <c r="Q30" i="10"/>
  <c r="R30" i="10"/>
  <c r="S30" i="10"/>
  <c r="C31" i="10"/>
  <c r="F31" i="10"/>
  <c r="F37" i="10" s="1"/>
  <c r="G31" i="10"/>
  <c r="I31" i="10"/>
  <c r="J31" i="10"/>
  <c r="K31" i="10"/>
  <c r="L31" i="10"/>
  <c r="M31" i="10"/>
  <c r="N31" i="10"/>
  <c r="N37" i="10" s="1"/>
  <c r="O31" i="10"/>
  <c r="P31" i="10"/>
  <c r="Q31" i="10"/>
  <c r="R31" i="10"/>
  <c r="T31" i="10" s="1"/>
  <c r="S31" i="10"/>
  <c r="C32" i="10"/>
  <c r="F32" i="10"/>
  <c r="G32" i="10"/>
  <c r="I32" i="10"/>
  <c r="J32" i="10"/>
  <c r="K32" i="10"/>
  <c r="L32" i="10"/>
  <c r="M32" i="10"/>
  <c r="N32" i="10"/>
  <c r="O32" i="10"/>
  <c r="P32" i="10"/>
  <c r="Q32" i="10"/>
  <c r="R32" i="10"/>
  <c r="T32" i="10" s="1"/>
  <c r="S32" i="10"/>
  <c r="C33" i="10"/>
  <c r="F33" i="10"/>
  <c r="G33" i="10"/>
  <c r="I33" i="10"/>
  <c r="J33" i="10"/>
  <c r="K33" i="10"/>
  <c r="L33" i="10"/>
  <c r="M33" i="10"/>
  <c r="N33" i="10"/>
  <c r="O33" i="10"/>
  <c r="P33" i="10"/>
  <c r="Q33" i="10"/>
  <c r="R33" i="10"/>
  <c r="S33" i="10"/>
  <c r="C34" i="10"/>
  <c r="F34" i="10"/>
  <c r="G34" i="10"/>
  <c r="I34" i="10"/>
  <c r="J34" i="10"/>
  <c r="K34" i="10"/>
  <c r="L34" i="10"/>
  <c r="M34" i="10"/>
  <c r="N34" i="10"/>
  <c r="O34" i="10"/>
  <c r="P34" i="10"/>
  <c r="Q34" i="10"/>
  <c r="R34" i="10"/>
  <c r="S34" i="10"/>
  <c r="C35" i="10"/>
  <c r="T35" i="10" s="1"/>
  <c r="F35" i="10"/>
  <c r="G35" i="10"/>
  <c r="I35" i="10"/>
  <c r="J35" i="10"/>
  <c r="L35" i="10"/>
  <c r="M35" i="10"/>
  <c r="N35" i="10"/>
  <c r="R35" i="10"/>
  <c r="S35" i="10"/>
  <c r="C38" i="10"/>
  <c r="T38" i="10" s="1"/>
  <c r="F38" i="10"/>
  <c r="H38" i="10"/>
  <c r="U38" i="10"/>
  <c r="J38" i="10"/>
  <c r="L38" i="10"/>
  <c r="N38" i="10"/>
  <c r="P38" i="10"/>
  <c r="R38" i="10"/>
  <c r="V38" i="10"/>
  <c r="M43" i="10"/>
  <c r="E43" i="10"/>
  <c r="F43" i="10"/>
  <c r="G43" i="10"/>
  <c r="L43" i="10"/>
  <c r="K44" i="10"/>
  <c r="L44" i="10"/>
  <c r="M44" i="10"/>
  <c r="N44" i="10"/>
  <c r="Z44" i="10"/>
  <c r="D45" i="10"/>
  <c r="D47" i="10" s="1"/>
  <c r="E45" i="10"/>
  <c r="F45" i="10"/>
  <c r="F46" i="10" s="1"/>
  <c r="G45" i="10" s="1"/>
  <c r="G47" i="10" s="1"/>
  <c r="L47" i="10"/>
  <c r="M47" i="10"/>
  <c r="N47" i="10" s="1"/>
  <c r="AD47" i="10"/>
  <c r="Y48" i="10"/>
  <c r="AB48" i="10"/>
  <c r="AD48" i="10"/>
  <c r="AE48" i="10"/>
  <c r="AE78" i="10"/>
  <c r="AF48" i="10"/>
  <c r="AD49" i="10"/>
  <c r="Y50" i="10"/>
  <c r="Y74" i="10"/>
  <c r="AG74" i="10"/>
  <c r="Z50" i="10"/>
  <c r="AH50" i="10" s="1"/>
  <c r="AB50" i="10"/>
  <c r="AD50" i="10"/>
  <c r="AE50" i="10"/>
  <c r="AE74" i="10"/>
  <c r="AF50" i="10"/>
  <c r="AD51" i="10"/>
  <c r="AC52" i="10" s="1"/>
  <c r="Y52" i="10"/>
  <c r="AG52" i="10" s="1"/>
  <c r="Z52" i="10"/>
  <c r="AB52" i="10"/>
  <c r="AD52" i="10"/>
  <c r="AE52" i="10"/>
  <c r="AF52" i="10"/>
  <c r="AD53" i="10"/>
  <c r="C54" i="10"/>
  <c r="D54" i="10"/>
  <c r="E54" i="10"/>
  <c r="F54" i="10"/>
  <c r="G54" i="10"/>
  <c r="H54" i="10"/>
  <c r="H55" i="10" s="1"/>
  <c r="Y54" i="10"/>
  <c r="AG54" i="10" s="1"/>
  <c r="Z54" i="10"/>
  <c r="AB54" i="10"/>
  <c r="AD54" i="10"/>
  <c r="AE54" i="10"/>
  <c r="AF54" i="10"/>
  <c r="E55" i="10"/>
  <c r="N55" i="10"/>
  <c r="AD55" i="10"/>
  <c r="AC56" i="10" s="1"/>
  <c r="E56" i="10"/>
  <c r="E57" i="10"/>
  <c r="F56" i="10"/>
  <c r="G56" i="10"/>
  <c r="N56" i="10"/>
  <c r="Y56" i="10"/>
  <c r="AG56" i="10" s="1"/>
  <c r="Z56" i="10"/>
  <c r="AB56" i="10"/>
  <c r="AD56" i="10"/>
  <c r="AE56" i="10"/>
  <c r="AF56" i="10"/>
  <c r="AD57" i="10"/>
  <c r="AC58" i="10" s="1"/>
  <c r="G58" i="10"/>
  <c r="Y58" i="10"/>
  <c r="AG58" i="10" s="1"/>
  <c r="AB58" i="10"/>
  <c r="AD58" i="10"/>
  <c r="AD74" i="10"/>
  <c r="AE58" i="10"/>
  <c r="AF58" i="10"/>
  <c r="AF74" i="10"/>
  <c r="K59" i="10"/>
  <c r="L59" i="10"/>
  <c r="M59" i="10"/>
  <c r="N59" i="10"/>
  <c r="R59" i="10"/>
  <c r="S59" i="10"/>
  <c r="AD59" i="10"/>
  <c r="Y60" i="10"/>
  <c r="AG60" i="10" s="1"/>
  <c r="Z60" i="10"/>
  <c r="AB60" i="10"/>
  <c r="AD60" i="10"/>
  <c r="AD72" i="10" s="1"/>
  <c r="AE60" i="10"/>
  <c r="AF60" i="10"/>
  <c r="K61" i="10"/>
  <c r="L61" i="10"/>
  <c r="M61" i="10"/>
  <c r="N61" i="10"/>
  <c r="R61" i="10"/>
  <c r="S61" i="10"/>
  <c r="AD61" i="10"/>
  <c r="AC62" i="10" s="1"/>
  <c r="Y62" i="10"/>
  <c r="AB62" i="10"/>
  <c r="AD62" i="10"/>
  <c r="AE62" i="10"/>
  <c r="AF62" i="10"/>
  <c r="K63" i="10"/>
  <c r="L63" i="10"/>
  <c r="M63" i="10"/>
  <c r="N63" i="10"/>
  <c r="R63" i="10"/>
  <c r="S63" i="10"/>
  <c r="AD63" i="10"/>
  <c r="AC64" i="10" s="1"/>
  <c r="C64" i="10"/>
  <c r="D64" i="10"/>
  <c r="E65" i="10" s="1"/>
  <c r="E64" i="10"/>
  <c r="F65" i="10"/>
  <c r="F64" i="10"/>
  <c r="G64" i="10"/>
  <c r="G65" i="10" s="1"/>
  <c r="H64" i="10"/>
  <c r="H65" i="10" s="1"/>
  <c r="Y64" i="10"/>
  <c r="AB64" i="10"/>
  <c r="AD64" i="10"/>
  <c r="AE64" i="10"/>
  <c r="AG64" i="10" s="1"/>
  <c r="AF64" i="10"/>
  <c r="AD65" i="10"/>
  <c r="E66" i="10"/>
  <c r="F66" i="10"/>
  <c r="G66" i="10"/>
  <c r="Y66" i="10"/>
  <c r="AG66" i="10" s="1"/>
  <c r="AB66" i="10"/>
  <c r="AD66" i="10"/>
  <c r="AC66" i="10"/>
  <c r="AE66" i="10"/>
  <c r="AF66" i="10"/>
  <c r="AD67" i="10"/>
  <c r="Y68" i="10"/>
  <c r="AB68" i="10"/>
  <c r="AD68" i="10"/>
  <c r="AC68" i="10" s="1"/>
  <c r="AE68" i="10"/>
  <c r="AF68" i="10"/>
  <c r="AD69" i="10"/>
  <c r="Y70" i="10"/>
  <c r="AG70" i="10" s="1"/>
  <c r="Z70" i="10"/>
  <c r="AB70" i="10"/>
  <c r="AD70" i="10"/>
  <c r="AE70" i="10"/>
  <c r="AF70" i="10"/>
  <c r="F75" i="10"/>
  <c r="G75" i="10"/>
  <c r="Z78" i="10"/>
  <c r="AD78" i="10"/>
  <c r="AF78" i="10"/>
  <c r="AL5" i="10"/>
  <c r="AN4" i="10"/>
  <c r="AM6" i="10"/>
  <c r="AN6" i="10"/>
  <c r="AL6" i="10"/>
  <c r="AP6" i="10" s="1"/>
  <c r="AL18" i="10"/>
  <c r="D56" i="10"/>
  <c r="D57" i="10"/>
  <c r="E60" i="10" s="1"/>
  <c r="D66" i="10"/>
  <c r="S20" i="11"/>
  <c r="S21" i="11" s="1"/>
  <c r="AM11" i="11" s="1"/>
  <c r="R20" i="11"/>
  <c r="R21" i="11"/>
  <c r="Q20" i="11"/>
  <c r="Q21" i="11" s="1"/>
  <c r="N20" i="11"/>
  <c r="N21" i="11"/>
  <c r="M20" i="11"/>
  <c r="M21" i="11" s="1"/>
  <c r="K20" i="11"/>
  <c r="K21" i="11" s="1"/>
  <c r="J20" i="11"/>
  <c r="J21" i="11" s="1"/>
  <c r="G20" i="11"/>
  <c r="G21" i="11"/>
  <c r="F20" i="11"/>
  <c r="F21" i="11" s="1"/>
  <c r="S2" i="11"/>
  <c r="R2" i="11"/>
  <c r="R37" i="11"/>
  <c r="R38" i="11"/>
  <c r="Q2" i="11"/>
  <c r="P2" i="11"/>
  <c r="P37" i="11" s="1"/>
  <c r="P38" i="11"/>
  <c r="O2" i="11"/>
  <c r="N2" i="11"/>
  <c r="N38" i="11"/>
  <c r="M2" i="11"/>
  <c r="L2" i="11"/>
  <c r="L37" i="11"/>
  <c r="K2" i="11"/>
  <c r="J2" i="11"/>
  <c r="J38" i="11"/>
  <c r="I2" i="11"/>
  <c r="G2" i="11"/>
  <c r="F2" i="11"/>
  <c r="F38" i="11"/>
  <c r="C2" i="11"/>
  <c r="AL6" i="11"/>
  <c r="AP6" i="11" s="1"/>
  <c r="AM6" i="11"/>
  <c r="AN6" i="11"/>
  <c r="E8" i="11"/>
  <c r="D8" i="11"/>
  <c r="T8" i="11"/>
  <c r="U8" i="11"/>
  <c r="V8" i="11"/>
  <c r="AL8" i="11"/>
  <c r="AM8" i="11"/>
  <c r="AN8" i="11"/>
  <c r="E9" i="11"/>
  <c r="D9" i="11" s="1"/>
  <c r="T9" i="11"/>
  <c r="AL9" i="11"/>
  <c r="AP9" i="11" s="1"/>
  <c r="AM9" i="11"/>
  <c r="AN9" i="11"/>
  <c r="E10" i="11"/>
  <c r="D10" i="11"/>
  <c r="T10" i="11"/>
  <c r="AL10" i="11"/>
  <c r="AP10" i="11" s="1"/>
  <c r="AR10" i="11" s="1"/>
  <c r="AM10" i="11"/>
  <c r="AN10" i="11"/>
  <c r="E11" i="11"/>
  <c r="T11" i="11"/>
  <c r="U11" i="11"/>
  <c r="V11" i="11"/>
  <c r="AL11" i="11"/>
  <c r="E12" i="11"/>
  <c r="T12" i="11"/>
  <c r="U12" i="11"/>
  <c r="V12" i="11"/>
  <c r="E13" i="11"/>
  <c r="D13" i="11" s="1"/>
  <c r="T13" i="11"/>
  <c r="E14" i="11"/>
  <c r="D14" i="11"/>
  <c r="T14" i="11"/>
  <c r="E15" i="11"/>
  <c r="D15" i="11" s="1"/>
  <c r="T15" i="11"/>
  <c r="U15" i="11"/>
  <c r="V15" i="11"/>
  <c r="E16" i="11"/>
  <c r="D16" i="11" s="1"/>
  <c r="T16" i="11"/>
  <c r="U16" i="11"/>
  <c r="V16" i="11"/>
  <c r="E17" i="11"/>
  <c r="D17" i="11" s="1"/>
  <c r="T17" i="11"/>
  <c r="U17" i="11"/>
  <c r="V17" i="11"/>
  <c r="E18" i="11"/>
  <c r="D18" i="11"/>
  <c r="T18" i="11"/>
  <c r="U18" i="11"/>
  <c r="V18" i="11"/>
  <c r="AL18" i="11"/>
  <c r="AM18" i="11"/>
  <c r="AN18" i="11"/>
  <c r="E19" i="11"/>
  <c r="D19" i="11" s="1"/>
  <c r="T19" i="11"/>
  <c r="AL19" i="11"/>
  <c r="AM19" i="11"/>
  <c r="AN19" i="11"/>
  <c r="I20" i="11"/>
  <c r="L20" i="11"/>
  <c r="T20" i="11"/>
  <c r="AK20" i="11"/>
  <c r="AL20" i="11"/>
  <c r="AM20" i="11"/>
  <c r="AO20" i="11" s="1"/>
  <c r="AN20" i="11"/>
  <c r="E21" i="11"/>
  <c r="I21" i="11"/>
  <c r="L21" i="11"/>
  <c r="AK21" i="11"/>
  <c r="AL21" i="11"/>
  <c r="AP21" i="11" s="1"/>
  <c r="AM21" i="11"/>
  <c r="AN21" i="11"/>
  <c r="AL22" i="11"/>
  <c r="AP22" i="11" s="1"/>
  <c r="AM22" i="11"/>
  <c r="AN22" i="11"/>
  <c r="C23" i="11"/>
  <c r="T23" i="11" s="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AK23" i="11"/>
  <c r="AL23" i="11"/>
  <c r="AP23" i="11" s="1"/>
  <c r="AM23" i="11"/>
  <c r="AN23" i="11"/>
  <c r="C24" i="11"/>
  <c r="F24" i="11"/>
  <c r="G24" i="11"/>
  <c r="I24" i="11"/>
  <c r="J24" i="11"/>
  <c r="K24" i="11"/>
  <c r="L24" i="11"/>
  <c r="M24" i="11"/>
  <c r="N24" i="11"/>
  <c r="O24" i="11"/>
  <c r="P24" i="11"/>
  <c r="Q24" i="11"/>
  <c r="R24" i="11"/>
  <c r="S24" i="11"/>
  <c r="AL24" i="11"/>
  <c r="AM24" i="11"/>
  <c r="AN24" i="11"/>
  <c r="AP24" i="11"/>
  <c r="AR24" i="11" s="1"/>
  <c r="C25" i="11"/>
  <c r="T25" i="11" s="1"/>
  <c r="E25" i="11"/>
  <c r="F25" i="11"/>
  <c r="G25" i="11"/>
  <c r="I25" i="11"/>
  <c r="J25" i="11"/>
  <c r="K25" i="11"/>
  <c r="L25" i="11"/>
  <c r="M25" i="11"/>
  <c r="N25" i="11"/>
  <c r="O25" i="11"/>
  <c r="P25" i="11"/>
  <c r="Q25" i="11"/>
  <c r="R25" i="11"/>
  <c r="S25" i="11"/>
  <c r="C26" i="11"/>
  <c r="F26" i="11"/>
  <c r="G26" i="11"/>
  <c r="I26" i="11"/>
  <c r="J26" i="11"/>
  <c r="K26" i="11"/>
  <c r="L26" i="11"/>
  <c r="M26" i="11"/>
  <c r="N26" i="11"/>
  <c r="O26" i="11"/>
  <c r="P26" i="11"/>
  <c r="Q26" i="11"/>
  <c r="R26" i="11"/>
  <c r="S26" i="11"/>
  <c r="AL26" i="11"/>
  <c r="AN26" i="11"/>
  <c r="C27" i="11"/>
  <c r="F27" i="11"/>
  <c r="G27" i="11"/>
  <c r="I27" i="11"/>
  <c r="J27" i="11"/>
  <c r="L27" i="11"/>
  <c r="M27" i="11"/>
  <c r="N27" i="11"/>
  <c r="O27" i="11"/>
  <c r="P27" i="11"/>
  <c r="Q27" i="11"/>
  <c r="R27" i="11"/>
  <c r="S27" i="11"/>
  <c r="C28" i="11"/>
  <c r="F28" i="11"/>
  <c r="G28" i="11"/>
  <c r="I28" i="11"/>
  <c r="J28" i="11"/>
  <c r="K28" i="11"/>
  <c r="L28" i="11"/>
  <c r="M28" i="11"/>
  <c r="N28" i="11"/>
  <c r="O28" i="11"/>
  <c r="P28" i="11"/>
  <c r="Q28" i="11"/>
  <c r="R28" i="11"/>
  <c r="S28" i="11"/>
  <c r="C29" i="11"/>
  <c r="F29" i="11"/>
  <c r="G29" i="11"/>
  <c r="I29" i="11"/>
  <c r="J29" i="11"/>
  <c r="K29" i="11"/>
  <c r="L29" i="11"/>
  <c r="M29" i="11"/>
  <c r="N29" i="11"/>
  <c r="O29" i="11"/>
  <c r="P29" i="11"/>
  <c r="Q29" i="11"/>
  <c r="R29" i="11"/>
  <c r="S29" i="11"/>
  <c r="C30" i="11"/>
  <c r="T30" i="11" s="1"/>
  <c r="F30" i="11"/>
  <c r="G30" i="11"/>
  <c r="I30" i="11"/>
  <c r="J30" i="11"/>
  <c r="K30" i="11"/>
  <c r="L30" i="11"/>
  <c r="M30" i="11"/>
  <c r="N30" i="11"/>
  <c r="O30" i="11"/>
  <c r="P30" i="11"/>
  <c r="Q30" i="11"/>
  <c r="R30" i="11"/>
  <c r="S30" i="11"/>
  <c r="C31" i="11"/>
  <c r="F31" i="11"/>
  <c r="G31" i="11"/>
  <c r="I31" i="11"/>
  <c r="I37" i="11" s="1"/>
  <c r="J31" i="11"/>
  <c r="J37" i="11" s="1"/>
  <c r="K31" i="11"/>
  <c r="L31" i="11"/>
  <c r="M31" i="11"/>
  <c r="M37" i="11" s="1"/>
  <c r="N31" i="11"/>
  <c r="N37" i="11" s="1"/>
  <c r="O31" i="11"/>
  <c r="P31" i="11"/>
  <c r="Q31" i="11"/>
  <c r="Q37" i="11" s="1"/>
  <c r="R31" i="11"/>
  <c r="T31" i="11" s="1"/>
  <c r="S31" i="11"/>
  <c r="S37" i="11" s="1"/>
  <c r="C32" i="11"/>
  <c r="F32" i="11"/>
  <c r="G32" i="11"/>
  <c r="I32" i="11"/>
  <c r="J32" i="11"/>
  <c r="K32" i="11"/>
  <c r="L32" i="11"/>
  <c r="M32" i="11"/>
  <c r="N32" i="11"/>
  <c r="O32" i="11"/>
  <c r="P32" i="11"/>
  <c r="Q32" i="11"/>
  <c r="R32" i="11"/>
  <c r="S32" i="11"/>
  <c r="C33" i="11"/>
  <c r="T33" i="11" s="1"/>
  <c r="F33" i="11"/>
  <c r="G33" i="11"/>
  <c r="I33" i="11"/>
  <c r="J33" i="11"/>
  <c r="K33" i="11"/>
  <c r="L33" i="11"/>
  <c r="M33" i="11"/>
  <c r="N33" i="11"/>
  <c r="O33" i="11"/>
  <c r="P33" i="11"/>
  <c r="Q33" i="11"/>
  <c r="R33" i="11"/>
  <c r="S33" i="11"/>
  <c r="C34" i="11"/>
  <c r="T34" i="11" s="1"/>
  <c r="F34" i="11"/>
  <c r="G34" i="11"/>
  <c r="I34" i="11"/>
  <c r="J34" i="11"/>
  <c r="K34" i="11"/>
  <c r="L34" i="11"/>
  <c r="M34" i="11"/>
  <c r="N34" i="11"/>
  <c r="O34" i="11"/>
  <c r="P34" i="11"/>
  <c r="Q34" i="11"/>
  <c r="R34" i="11"/>
  <c r="S34" i="11"/>
  <c r="C35" i="11"/>
  <c r="T35" i="11"/>
  <c r="F35" i="11"/>
  <c r="G35" i="11"/>
  <c r="I35" i="11"/>
  <c r="J35" i="11"/>
  <c r="L35" i="11"/>
  <c r="M35" i="11"/>
  <c r="N35" i="11"/>
  <c r="R35" i="11"/>
  <c r="S35" i="11"/>
  <c r="C37" i="11"/>
  <c r="T37" i="11" s="1"/>
  <c r="G37" i="11"/>
  <c r="K37" i="11"/>
  <c r="O37" i="11"/>
  <c r="C38" i="11"/>
  <c r="T38" i="11"/>
  <c r="E38" i="11"/>
  <c r="G38" i="11"/>
  <c r="I38" i="11"/>
  <c r="K38" i="11"/>
  <c r="M38" i="11"/>
  <c r="O38" i="11"/>
  <c r="Q38" i="11"/>
  <c r="S38" i="11"/>
  <c r="M43" i="11"/>
  <c r="N43" i="11" s="1"/>
  <c r="R43" i="11" s="1"/>
  <c r="R42" i="11" s="1"/>
  <c r="C43" i="11"/>
  <c r="D44" i="11" s="1"/>
  <c r="D43" i="11"/>
  <c r="E43" i="11"/>
  <c r="E46" i="11" s="1"/>
  <c r="F43" i="11"/>
  <c r="G44" i="11" s="1"/>
  <c r="G43" i="11"/>
  <c r="L43" i="11"/>
  <c r="K44" i="11"/>
  <c r="L44" i="11"/>
  <c r="M44" i="11"/>
  <c r="N44" i="11" s="1"/>
  <c r="Z44" i="11"/>
  <c r="C45" i="11"/>
  <c r="D45" i="11"/>
  <c r="E45" i="11"/>
  <c r="E47" i="11" s="1"/>
  <c r="F45" i="11"/>
  <c r="D46" i="11"/>
  <c r="L47" i="11"/>
  <c r="M47" i="11"/>
  <c r="N47" i="11" s="1"/>
  <c r="AD47" i="11"/>
  <c r="Y48" i="11"/>
  <c r="Z48" i="11"/>
  <c r="AB48" i="11"/>
  <c r="AB76" i="11" s="1"/>
  <c r="AD48" i="11"/>
  <c r="AE48" i="11"/>
  <c r="AF48" i="11"/>
  <c r="AD49" i="11"/>
  <c r="Y50" i="11"/>
  <c r="Y74" i="11"/>
  <c r="AB50" i="11"/>
  <c r="AD50" i="11"/>
  <c r="AE50" i="11"/>
  <c r="AG50" i="11" s="1"/>
  <c r="AE74" i="11"/>
  <c r="AF50" i="11"/>
  <c r="AD51" i="11"/>
  <c r="AC52" i="11" s="1"/>
  <c r="Y52" i="11"/>
  <c r="AG52" i="11" s="1"/>
  <c r="AB52" i="11"/>
  <c r="AD52" i="11"/>
  <c r="AE52" i="11"/>
  <c r="AF52" i="11"/>
  <c r="AD53" i="11"/>
  <c r="C54" i="11"/>
  <c r="D54" i="11"/>
  <c r="D55" i="11" s="1"/>
  <c r="E54" i="11"/>
  <c r="F54" i="11"/>
  <c r="G54" i="11"/>
  <c r="H54" i="11"/>
  <c r="H55" i="11" s="1"/>
  <c r="Y54" i="11"/>
  <c r="AG54" i="11" s="1"/>
  <c r="Z54" i="11"/>
  <c r="AB54" i="11"/>
  <c r="AD54" i="11"/>
  <c r="AE54" i="11"/>
  <c r="AF54" i="11"/>
  <c r="G55" i="11"/>
  <c r="N55" i="11"/>
  <c r="AD55" i="11"/>
  <c r="AC56" i="11" s="1"/>
  <c r="D56" i="11"/>
  <c r="E58" i="11"/>
  <c r="E56" i="11"/>
  <c r="F56" i="11"/>
  <c r="G56" i="11"/>
  <c r="G58" i="11" s="1"/>
  <c r="N56" i="11"/>
  <c r="Y56" i="11"/>
  <c r="Z56" i="11"/>
  <c r="AH56" i="11" s="1"/>
  <c r="AB56" i="11"/>
  <c r="AD56" i="11"/>
  <c r="AE56" i="11"/>
  <c r="AF56" i="11"/>
  <c r="AF74" i="11"/>
  <c r="AD57" i="11"/>
  <c r="AC58" i="11" s="1"/>
  <c r="AD73" i="11"/>
  <c r="F58" i="11"/>
  <c r="Y58" i="11"/>
  <c r="AG58" i="11" s="1"/>
  <c r="AB58" i="11"/>
  <c r="AD58" i="11"/>
  <c r="AE58" i="11"/>
  <c r="AF58" i="11"/>
  <c r="K59" i="11"/>
  <c r="L59" i="11"/>
  <c r="M59" i="11"/>
  <c r="N59" i="11"/>
  <c r="R59" i="11"/>
  <c r="S59" i="11"/>
  <c r="AD59" i="11"/>
  <c r="Y60" i="11"/>
  <c r="AB60" i="11"/>
  <c r="AD60" i="11"/>
  <c r="AC60" i="11" s="1"/>
  <c r="AE60" i="11"/>
  <c r="AF60" i="11"/>
  <c r="K61" i="11"/>
  <c r="L61" i="11"/>
  <c r="M61" i="11"/>
  <c r="N61" i="11"/>
  <c r="R61" i="11"/>
  <c r="S61" i="11"/>
  <c r="AD61" i="11"/>
  <c r="Y62" i="11"/>
  <c r="Z62" i="11"/>
  <c r="AB62" i="11"/>
  <c r="AD62" i="11"/>
  <c r="AC62" i="11" s="1"/>
  <c r="AI62" i="11" s="1"/>
  <c r="AE62" i="11"/>
  <c r="AG62" i="11" s="1"/>
  <c r="AF62" i="11"/>
  <c r="AH62" i="11" s="1"/>
  <c r="K63" i="11"/>
  <c r="L63" i="11"/>
  <c r="M63" i="11"/>
  <c r="N63" i="11"/>
  <c r="R63" i="11"/>
  <c r="S63" i="11"/>
  <c r="AD63" i="11"/>
  <c r="C64" i="11"/>
  <c r="D64" i="11"/>
  <c r="E64" i="11"/>
  <c r="E65" i="11" s="1"/>
  <c r="F65" i="11"/>
  <c r="F64" i="11"/>
  <c r="G64" i="11"/>
  <c r="G65" i="11" s="1"/>
  <c r="H64" i="11"/>
  <c r="H65" i="11" s="1"/>
  <c r="Y64" i="11"/>
  <c r="Z64" i="11"/>
  <c r="AB64" i="11"/>
  <c r="AD64" i="11"/>
  <c r="AE64" i="11"/>
  <c r="AF64" i="11"/>
  <c r="AH64" i="11" s="1"/>
  <c r="AD65" i="11"/>
  <c r="D66" i="11"/>
  <c r="E66" i="11"/>
  <c r="E67" i="11" s="1"/>
  <c r="F70" i="11" s="1"/>
  <c r="F66" i="11"/>
  <c r="F67" i="11" s="1"/>
  <c r="G70" i="11" s="1"/>
  <c r="G66" i="11"/>
  <c r="Y66" i="11"/>
  <c r="AG66" i="11" s="1"/>
  <c r="Z66" i="11"/>
  <c r="AH66" i="11" s="1"/>
  <c r="AB66" i="11"/>
  <c r="AD66" i="11"/>
  <c r="AC66" i="11" s="1"/>
  <c r="AE66" i="11"/>
  <c r="AF66" i="11"/>
  <c r="AD67" i="11"/>
  <c r="Y68" i="11"/>
  <c r="Z68" i="11"/>
  <c r="AB68" i="11"/>
  <c r="AD68" i="11"/>
  <c r="AE68" i="11"/>
  <c r="AG68" i="11" s="1"/>
  <c r="AF68" i="11"/>
  <c r="AH68" i="11" s="1"/>
  <c r="AD69" i="11"/>
  <c r="Y70" i="11"/>
  <c r="AB70" i="11"/>
  <c r="AD70" i="11"/>
  <c r="AE70" i="11"/>
  <c r="AF70" i="11"/>
  <c r="E75" i="11"/>
  <c r="F75" i="11"/>
  <c r="H75" i="11"/>
  <c r="AD77" i="11"/>
  <c r="Y78" i="11"/>
  <c r="AG78" i="11" s="1"/>
  <c r="AE78" i="11"/>
  <c r="AM5" i="11"/>
  <c r="AN5" i="11"/>
  <c r="AP5" i="11" s="1"/>
  <c r="AL5" i="11"/>
  <c r="AL4" i="11"/>
  <c r="AL13" i="11"/>
  <c r="AK18" i="11"/>
  <c r="AO18" i="11" s="1"/>
  <c r="C56" i="11"/>
  <c r="C66" i="11"/>
  <c r="C75" i="11"/>
  <c r="Q20" i="12"/>
  <c r="L18" i="12"/>
  <c r="J18" i="12"/>
  <c r="I18" i="12"/>
  <c r="H18" i="12" s="1"/>
  <c r="L17" i="12"/>
  <c r="J17" i="12"/>
  <c r="I17" i="12"/>
  <c r="L16" i="12"/>
  <c r="J16" i="12" s="1"/>
  <c r="I16" i="12" s="1"/>
  <c r="H16" i="12" s="1"/>
  <c r="L15" i="12"/>
  <c r="J15" i="12" s="1"/>
  <c r="I15" i="12" s="1"/>
  <c r="H15" i="12"/>
  <c r="V15" i="12" s="1"/>
  <c r="L14" i="12"/>
  <c r="J14" i="12" s="1"/>
  <c r="I14" i="12" s="1"/>
  <c r="H14" i="12" s="1"/>
  <c r="L13" i="12"/>
  <c r="J13" i="12" s="1"/>
  <c r="I13" i="12" s="1"/>
  <c r="H13" i="12"/>
  <c r="L12" i="12"/>
  <c r="J12" i="12" s="1"/>
  <c r="J11" i="12"/>
  <c r="I11" i="12" s="1"/>
  <c r="H11" i="12" s="1"/>
  <c r="J10" i="12"/>
  <c r="I10" i="12"/>
  <c r="H10" i="12" s="1"/>
  <c r="J9" i="12"/>
  <c r="I9" i="12" s="1"/>
  <c r="S20" i="12"/>
  <c r="S21" i="12" s="1"/>
  <c r="AM11" i="12"/>
  <c r="R20" i="12"/>
  <c r="R21" i="12" s="1"/>
  <c r="AN11" i="12" s="1"/>
  <c r="Q21" i="12"/>
  <c r="O20" i="12"/>
  <c r="O21" i="12" s="1"/>
  <c r="N20" i="12"/>
  <c r="N21" i="12" s="1"/>
  <c r="M20" i="12"/>
  <c r="M21" i="12" s="1"/>
  <c r="K20" i="12"/>
  <c r="K21" i="12" s="1"/>
  <c r="J8" i="12"/>
  <c r="J26" i="12" s="1"/>
  <c r="G20" i="12"/>
  <c r="G21" i="12" s="1"/>
  <c r="F20" i="12"/>
  <c r="F21" i="12" s="1"/>
  <c r="C20" i="12"/>
  <c r="S2" i="12"/>
  <c r="S38" i="12"/>
  <c r="R2" i="12"/>
  <c r="Q2" i="12"/>
  <c r="Q38" i="12"/>
  <c r="P2" i="12"/>
  <c r="O2" i="12"/>
  <c r="O38" i="12"/>
  <c r="N2" i="12"/>
  <c r="M2" i="12"/>
  <c r="M38" i="12"/>
  <c r="L2" i="12"/>
  <c r="K2" i="12"/>
  <c r="K37" i="12"/>
  <c r="K38" i="12"/>
  <c r="J2" i="12"/>
  <c r="I2" i="12"/>
  <c r="G2" i="12"/>
  <c r="G37" i="12" s="1"/>
  <c r="G38" i="12"/>
  <c r="F2" i="12"/>
  <c r="F37" i="12" s="1"/>
  <c r="E2" i="12"/>
  <c r="C2" i="12"/>
  <c r="E9" i="12"/>
  <c r="D9" i="12" s="1"/>
  <c r="E8" i="12"/>
  <c r="E10" i="12"/>
  <c r="E11" i="12"/>
  <c r="D11" i="12" s="1"/>
  <c r="E12" i="12"/>
  <c r="D12" i="12" s="1"/>
  <c r="E13" i="12"/>
  <c r="D13" i="12"/>
  <c r="E14" i="12"/>
  <c r="D14" i="12" s="1"/>
  <c r="E15" i="12"/>
  <c r="D15" i="12"/>
  <c r="E16" i="12"/>
  <c r="D16" i="12" s="1"/>
  <c r="E17" i="12"/>
  <c r="D38" i="18"/>
  <c r="E18" i="12"/>
  <c r="D18" i="12" s="1"/>
  <c r="E21" i="12"/>
  <c r="D10" i="12"/>
  <c r="AL5" i="12"/>
  <c r="AM5" i="12"/>
  <c r="AN5" i="12"/>
  <c r="AL6" i="12"/>
  <c r="AP6" i="12" s="1"/>
  <c r="AM6" i="12"/>
  <c r="AN6" i="12"/>
  <c r="I8" i="12"/>
  <c r="I23" i="12" s="1"/>
  <c r="L8" i="12"/>
  <c r="L20" i="12" s="1"/>
  <c r="P8" i="12"/>
  <c r="P21" i="12"/>
  <c r="T8" i="12"/>
  <c r="AL8" i="12"/>
  <c r="AP8" i="12" s="1"/>
  <c r="AM8" i="12"/>
  <c r="AN8" i="12"/>
  <c r="L9" i="12"/>
  <c r="P9" i="12"/>
  <c r="T9" i="12"/>
  <c r="AL9" i="12"/>
  <c r="AP9" i="12" s="1"/>
  <c r="AR9" i="12" s="1"/>
  <c r="AM9" i="12"/>
  <c r="AN9" i="12"/>
  <c r="L10" i="12"/>
  <c r="P10" i="12"/>
  <c r="T10" i="12"/>
  <c r="AL10" i="12"/>
  <c r="AM10" i="12"/>
  <c r="AN10" i="12"/>
  <c r="L11" i="12"/>
  <c r="P11" i="12"/>
  <c r="T11" i="12"/>
  <c r="P12" i="12"/>
  <c r="T12" i="12"/>
  <c r="P13" i="12"/>
  <c r="T13" i="12"/>
  <c r="P14" i="12"/>
  <c r="T14" i="12"/>
  <c r="P15" i="12"/>
  <c r="T15" i="12"/>
  <c r="P16" i="12"/>
  <c r="T16" i="12"/>
  <c r="P17" i="12"/>
  <c r="T17" i="12"/>
  <c r="P18" i="12"/>
  <c r="T18" i="12"/>
  <c r="AL18" i="12"/>
  <c r="AL26" i="12" s="1"/>
  <c r="AM18" i="12"/>
  <c r="AN18" i="12"/>
  <c r="T19" i="12"/>
  <c r="U19" i="12"/>
  <c r="V19" i="12"/>
  <c r="AK19" i="12"/>
  <c r="AL19" i="12"/>
  <c r="AM19" i="12"/>
  <c r="AO19" i="12" s="1"/>
  <c r="AN19" i="12"/>
  <c r="AP19" i="12" s="1"/>
  <c r="AK20" i="12"/>
  <c r="AL20" i="12"/>
  <c r="AM20" i="12"/>
  <c r="AN20" i="12"/>
  <c r="AO20" i="12"/>
  <c r="AP20" i="12"/>
  <c r="L21" i="12"/>
  <c r="AL21" i="12"/>
  <c r="AP21" i="12" s="1"/>
  <c r="AR21" i="12" s="1"/>
  <c r="AM21" i="12"/>
  <c r="AN21" i="12"/>
  <c r="AK22" i="12"/>
  <c r="AO22" i="12" s="1"/>
  <c r="AL22" i="12"/>
  <c r="AP22" i="12" s="1"/>
  <c r="AM22" i="12"/>
  <c r="AN22" i="12"/>
  <c r="C23" i="12"/>
  <c r="F23" i="12"/>
  <c r="G23" i="12"/>
  <c r="J23" i="12"/>
  <c r="K23" i="12"/>
  <c r="M23" i="12"/>
  <c r="N23" i="12"/>
  <c r="O23" i="12"/>
  <c r="Q23" i="12"/>
  <c r="R23" i="12"/>
  <c r="S23" i="12"/>
  <c r="AL23" i="12"/>
  <c r="AM23" i="12"/>
  <c r="AN23" i="12"/>
  <c r="C24" i="12"/>
  <c r="F24" i="12"/>
  <c r="G24" i="12"/>
  <c r="J24" i="12"/>
  <c r="K24" i="12"/>
  <c r="M24" i="12"/>
  <c r="N24" i="12"/>
  <c r="O24" i="12"/>
  <c r="Q24" i="12"/>
  <c r="R24" i="12"/>
  <c r="S24" i="12"/>
  <c r="AL24" i="12"/>
  <c r="AM24" i="12"/>
  <c r="AN24" i="12"/>
  <c r="C25" i="12"/>
  <c r="F25" i="12"/>
  <c r="G25" i="12"/>
  <c r="J25" i="12"/>
  <c r="K25" i="12"/>
  <c r="M25" i="12"/>
  <c r="N25" i="12"/>
  <c r="O25" i="12"/>
  <c r="Q25" i="12"/>
  <c r="R25" i="12"/>
  <c r="S25" i="12"/>
  <c r="C26" i="12"/>
  <c r="F26" i="12"/>
  <c r="G26" i="12"/>
  <c r="K26" i="12"/>
  <c r="M26" i="12"/>
  <c r="N26" i="12"/>
  <c r="O26" i="12"/>
  <c r="Q26" i="12"/>
  <c r="R26" i="12"/>
  <c r="T26" i="12" s="1"/>
  <c r="S26" i="12"/>
  <c r="AM26" i="12"/>
  <c r="C27" i="12"/>
  <c r="F27" i="12"/>
  <c r="G27" i="12"/>
  <c r="K27" i="12"/>
  <c r="M27" i="12"/>
  <c r="N27" i="12"/>
  <c r="O27" i="12"/>
  <c r="Q27" i="12"/>
  <c r="R27" i="12"/>
  <c r="S27" i="12"/>
  <c r="C28" i="12"/>
  <c r="F28" i="12"/>
  <c r="G28" i="12"/>
  <c r="K28" i="12"/>
  <c r="M28" i="12"/>
  <c r="N28" i="12"/>
  <c r="O28" i="12"/>
  <c r="Q28" i="12"/>
  <c r="R28" i="12"/>
  <c r="S28" i="12"/>
  <c r="T28" i="12"/>
  <c r="C29" i="12"/>
  <c r="F29" i="12"/>
  <c r="G29" i="12"/>
  <c r="J29" i="12"/>
  <c r="K29" i="12"/>
  <c r="M29" i="12"/>
  <c r="N29" i="12"/>
  <c r="O29" i="12"/>
  <c r="Q29" i="12"/>
  <c r="R29" i="12"/>
  <c r="S29" i="12"/>
  <c r="C30" i="12"/>
  <c r="F30" i="12"/>
  <c r="G30" i="12"/>
  <c r="K30" i="12"/>
  <c r="M30" i="12"/>
  <c r="N30" i="12"/>
  <c r="O30" i="12"/>
  <c r="Q30" i="12"/>
  <c r="R30" i="12"/>
  <c r="S30" i="12"/>
  <c r="T30" i="12"/>
  <c r="C31" i="12"/>
  <c r="F31" i="12"/>
  <c r="G31" i="12"/>
  <c r="K31" i="12"/>
  <c r="M31" i="12"/>
  <c r="N31" i="12"/>
  <c r="N37" i="12" s="1"/>
  <c r="O31" i="12"/>
  <c r="O37" i="12" s="1"/>
  <c r="Q31" i="12"/>
  <c r="Q37" i="12" s="1"/>
  <c r="R31" i="12"/>
  <c r="S31" i="12"/>
  <c r="C32" i="12"/>
  <c r="F32" i="12"/>
  <c r="G32" i="12"/>
  <c r="K32" i="12"/>
  <c r="M32" i="12"/>
  <c r="N32" i="12"/>
  <c r="O32" i="12"/>
  <c r="Q32" i="12"/>
  <c r="R32" i="12"/>
  <c r="S32" i="12"/>
  <c r="T32" i="12"/>
  <c r="C33" i="12"/>
  <c r="F33" i="12"/>
  <c r="G33" i="12"/>
  <c r="K33" i="12"/>
  <c r="M33" i="12"/>
  <c r="N33" i="12"/>
  <c r="O33" i="12"/>
  <c r="Q33" i="12"/>
  <c r="R33" i="12"/>
  <c r="S33" i="12"/>
  <c r="C34" i="12"/>
  <c r="F34" i="12"/>
  <c r="G34" i="12"/>
  <c r="K34" i="12"/>
  <c r="M34" i="12"/>
  <c r="N34" i="12"/>
  <c r="O34" i="12"/>
  <c r="Q34" i="12"/>
  <c r="R34" i="12"/>
  <c r="T34" i="12" s="1"/>
  <c r="S34" i="12"/>
  <c r="C35" i="12"/>
  <c r="F35" i="12"/>
  <c r="G35" i="12"/>
  <c r="K35" i="12"/>
  <c r="M35" i="12"/>
  <c r="N35" i="12"/>
  <c r="R35" i="12"/>
  <c r="S35" i="12"/>
  <c r="T35" i="12"/>
  <c r="K36" i="12"/>
  <c r="F38" i="12"/>
  <c r="J38" i="12"/>
  <c r="L38" i="12"/>
  <c r="N38" i="12"/>
  <c r="P38" i="12"/>
  <c r="R38" i="12"/>
  <c r="M43" i="12"/>
  <c r="N43" i="12" s="1"/>
  <c r="R43" i="12" s="1"/>
  <c r="R42" i="12" s="1"/>
  <c r="C43" i="12"/>
  <c r="D43" i="12"/>
  <c r="D44" i="12"/>
  <c r="E43" i="12"/>
  <c r="E44" i="12" s="1"/>
  <c r="F43" i="12"/>
  <c r="G43" i="12"/>
  <c r="L43" i="12"/>
  <c r="K44" i="12"/>
  <c r="L44" i="12"/>
  <c r="M44" i="12"/>
  <c r="N44" i="12" s="1"/>
  <c r="Z44" i="12"/>
  <c r="C45" i="12"/>
  <c r="C46" i="12" s="1"/>
  <c r="D45" i="12"/>
  <c r="E45" i="12"/>
  <c r="F45" i="12"/>
  <c r="L47" i="12"/>
  <c r="M47" i="12"/>
  <c r="N47" i="12" s="1"/>
  <c r="R47" i="12" s="1"/>
  <c r="AD47" i="12"/>
  <c r="AC48" i="12" s="1"/>
  <c r="Y48" i="12"/>
  <c r="AB48" i="12"/>
  <c r="AD48" i="12"/>
  <c r="AD76" i="12" s="1"/>
  <c r="AD78" i="12"/>
  <c r="AE48" i="12"/>
  <c r="AF48" i="12"/>
  <c r="AD49" i="12"/>
  <c r="AC50" i="12" s="1"/>
  <c r="Y50" i="12"/>
  <c r="AB50" i="12"/>
  <c r="AD50" i="12"/>
  <c r="AD74" i="12"/>
  <c r="AE50" i="12"/>
  <c r="AF50" i="12"/>
  <c r="AF74" i="12"/>
  <c r="AD51" i="12"/>
  <c r="Y52" i="12"/>
  <c r="AB52" i="12"/>
  <c r="AD52" i="12"/>
  <c r="AE52" i="12"/>
  <c r="AG52" i="12" s="1"/>
  <c r="AF52" i="12"/>
  <c r="AD53" i="12"/>
  <c r="C54" i="12"/>
  <c r="D54" i="12"/>
  <c r="E54" i="12"/>
  <c r="F54" i="12"/>
  <c r="G55" i="12"/>
  <c r="G54" i="12"/>
  <c r="H54" i="12"/>
  <c r="H55" i="12" s="1"/>
  <c r="Y54" i="12"/>
  <c r="AB54" i="12"/>
  <c r="AD54" i="12"/>
  <c r="AE54" i="12"/>
  <c r="AF54" i="12"/>
  <c r="F55" i="12"/>
  <c r="N55" i="12"/>
  <c r="AD55" i="12"/>
  <c r="C56" i="12"/>
  <c r="C57" i="12" s="1"/>
  <c r="D56" i="12"/>
  <c r="E56" i="12"/>
  <c r="E57" i="12" s="1"/>
  <c r="F60" i="12" s="1"/>
  <c r="F56" i="12"/>
  <c r="F58" i="12" s="1"/>
  <c r="G56" i="12"/>
  <c r="N56" i="12"/>
  <c r="Y56" i="12"/>
  <c r="AB56" i="12"/>
  <c r="AD56" i="12"/>
  <c r="AE56" i="12"/>
  <c r="AG56" i="12" s="1"/>
  <c r="AF56" i="12"/>
  <c r="AD57" i="12"/>
  <c r="D58" i="12"/>
  <c r="Y58" i="12"/>
  <c r="AG58" i="12" s="1"/>
  <c r="AB58" i="12"/>
  <c r="AD58" i="12"/>
  <c r="AC58" i="12" s="1"/>
  <c r="AE58" i="12"/>
  <c r="AE74" i="12"/>
  <c r="AF58" i="12"/>
  <c r="K59" i="12"/>
  <c r="L59" i="12"/>
  <c r="M59" i="12"/>
  <c r="N59" i="12"/>
  <c r="R59" i="12"/>
  <c r="S59" i="12"/>
  <c r="AD59" i="12"/>
  <c r="Y60" i="12"/>
  <c r="AB60" i="12"/>
  <c r="AD60" i="12"/>
  <c r="AC60" i="12"/>
  <c r="AE60" i="12"/>
  <c r="AF60" i="12"/>
  <c r="K61" i="12"/>
  <c r="L61" i="12"/>
  <c r="M61" i="12"/>
  <c r="N61" i="12"/>
  <c r="R61" i="12"/>
  <c r="S61" i="12"/>
  <c r="AD61" i="12"/>
  <c r="AC62" i="12" s="1"/>
  <c r="Y62" i="12"/>
  <c r="AB62" i="12"/>
  <c r="AD62" i="12"/>
  <c r="AE62" i="12"/>
  <c r="AF62" i="12"/>
  <c r="AG62" i="12"/>
  <c r="K63" i="12"/>
  <c r="L63" i="12"/>
  <c r="M63" i="12"/>
  <c r="N63" i="12"/>
  <c r="R63" i="12"/>
  <c r="S63" i="12"/>
  <c r="AD63" i="12"/>
  <c r="AC64" i="12"/>
  <c r="C64" i="12"/>
  <c r="D65" i="12" s="1"/>
  <c r="D64" i="12"/>
  <c r="E64" i="12"/>
  <c r="F64" i="12"/>
  <c r="G64" i="12"/>
  <c r="H64" i="12"/>
  <c r="H65" i="12" s="1"/>
  <c r="Y64" i="12"/>
  <c r="AB64" i="12"/>
  <c r="AD64" i="12"/>
  <c r="AE64" i="12"/>
  <c r="AF64" i="12"/>
  <c r="F65" i="12"/>
  <c r="AD65" i="12"/>
  <c r="C66" i="12"/>
  <c r="C67" i="12" s="1"/>
  <c r="D70" i="12" s="1"/>
  <c r="D66" i="12"/>
  <c r="E66" i="12"/>
  <c r="F66" i="12"/>
  <c r="G66" i="12"/>
  <c r="Y66" i="12"/>
  <c r="AB66" i="12"/>
  <c r="AD66" i="12"/>
  <c r="AE66" i="12"/>
  <c r="AF66" i="12"/>
  <c r="AG66" i="12"/>
  <c r="AD67" i="12"/>
  <c r="Y68" i="12"/>
  <c r="AB68" i="12"/>
  <c r="AD68" i="12"/>
  <c r="AE68" i="12"/>
  <c r="AF68" i="12"/>
  <c r="AG68" i="12"/>
  <c r="AD69" i="12"/>
  <c r="AC70" i="12" s="1"/>
  <c r="AA70" i="12" s="1"/>
  <c r="Y70" i="12"/>
  <c r="AG70" i="12" s="1"/>
  <c r="Z70" i="12"/>
  <c r="AB70" i="12"/>
  <c r="AD70" i="12"/>
  <c r="AE70" i="12"/>
  <c r="AF70" i="12"/>
  <c r="AH70" i="12"/>
  <c r="AB74" i="12"/>
  <c r="D75" i="12"/>
  <c r="E75" i="12"/>
  <c r="G75" i="12"/>
  <c r="AD75" i="12"/>
  <c r="Y76" i="12"/>
  <c r="Y78" i="12"/>
  <c r="AE78" i="12"/>
  <c r="AD77" i="12"/>
  <c r="AM4" i="12"/>
  <c r="AL4" i="12"/>
  <c r="AN4" i="12"/>
  <c r="AM13" i="12"/>
  <c r="S2" i="18"/>
  <c r="R2" i="18"/>
  <c r="Q2" i="18"/>
  <c r="Q37" i="18" s="1"/>
  <c r="P2" i="18"/>
  <c r="O2" i="18"/>
  <c r="N2" i="18"/>
  <c r="M2" i="18"/>
  <c r="M37" i="18" s="1"/>
  <c r="AD77" i="18"/>
  <c r="L2" i="18"/>
  <c r="L37" i="18" s="1"/>
  <c r="K2" i="18"/>
  <c r="G2" i="18"/>
  <c r="F2" i="18"/>
  <c r="Q20" i="18"/>
  <c r="Q21" i="18" s="1"/>
  <c r="S20" i="18"/>
  <c r="S21" i="18" s="1"/>
  <c r="AM11" i="18" s="1"/>
  <c r="R20" i="18"/>
  <c r="N20" i="18"/>
  <c r="N21" i="18"/>
  <c r="M20" i="18"/>
  <c r="M21" i="18" s="1"/>
  <c r="J20" i="18"/>
  <c r="AL5" i="18"/>
  <c r="AM5" i="18"/>
  <c r="AN5" i="18"/>
  <c r="AL6" i="18"/>
  <c r="AP6" i="18" s="1"/>
  <c r="AM6" i="18"/>
  <c r="AN6" i="18"/>
  <c r="P8" i="18"/>
  <c r="T8" i="18"/>
  <c r="U8" i="18"/>
  <c r="V8" i="18"/>
  <c r="AL8" i="18"/>
  <c r="AP8" i="18" s="1"/>
  <c r="AM8" i="18"/>
  <c r="AN8" i="18"/>
  <c r="P9" i="18"/>
  <c r="P24" i="18" s="1"/>
  <c r="T9" i="18"/>
  <c r="U9" i="18"/>
  <c r="V9" i="18"/>
  <c r="AL9" i="18"/>
  <c r="AM9" i="18"/>
  <c r="AN9" i="18"/>
  <c r="P10" i="18"/>
  <c r="T10" i="18"/>
  <c r="U10" i="18"/>
  <c r="V10" i="18"/>
  <c r="AL10" i="18"/>
  <c r="AM10" i="18"/>
  <c r="AM13" i="18" s="1"/>
  <c r="AN10" i="18"/>
  <c r="AN13" i="18" s="1"/>
  <c r="P11" i="18"/>
  <c r="T11" i="18"/>
  <c r="U11" i="18"/>
  <c r="V11" i="18"/>
  <c r="AL11" i="18"/>
  <c r="P12" i="18"/>
  <c r="T12" i="18"/>
  <c r="U12" i="18"/>
  <c r="V12" i="18"/>
  <c r="P13" i="18"/>
  <c r="T13" i="18"/>
  <c r="P14" i="18"/>
  <c r="T14" i="18"/>
  <c r="P15" i="18"/>
  <c r="T15" i="18"/>
  <c r="U15" i="18"/>
  <c r="V15" i="18"/>
  <c r="P16" i="18"/>
  <c r="T16" i="18"/>
  <c r="T17" i="18"/>
  <c r="T18" i="18"/>
  <c r="AL18" i="18"/>
  <c r="AM18" i="18"/>
  <c r="AN18" i="18"/>
  <c r="T19" i="18"/>
  <c r="AK19" i="18"/>
  <c r="AL19" i="18"/>
  <c r="AM19" i="18"/>
  <c r="AN19" i="18"/>
  <c r="AP19" i="18"/>
  <c r="AK20" i="18"/>
  <c r="AL20" i="18"/>
  <c r="AM20" i="18"/>
  <c r="AN20" i="18"/>
  <c r="AP20" i="18" s="1"/>
  <c r="AR20" i="18" s="1"/>
  <c r="P21" i="18"/>
  <c r="AL21" i="18"/>
  <c r="AM21" i="18"/>
  <c r="AN21" i="18"/>
  <c r="AP21" i="18" s="1"/>
  <c r="AK22" i="18"/>
  <c r="AL22" i="18"/>
  <c r="AP22" i="18" s="1"/>
  <c r="AR22" i="18" s="1"/>
  <c r="AM22" i="18"/>
  <c r="AO22" i="18" s="1"/>
  <c r="AN22" i="18"/>
  <c r="C23" i="18"/>
  <c r="T23" i="18"/>
  <c r="D23" i="18"/>
  <c r="E23" i="18"/>
  <c r="F23" i="18"/>
  <c r="G23" i="18"/>
  <c r="H23" i="18"/>
  <c r="I23" i="18"/>
  <c r="J23" i="18"/>
  <c r="K23" i="18"/>
  <c r="L23" i="18"/>
  <c r="V23" i="18" s="1"/>
  <c r="M23" i="18"/>
  <c r="N23" i="18"/>
  <c r="O23" i="18"/>
  <c r="P23" i="18"/>
  <c r="Q23" i="18"/>
  <c r="R23" i="18"/>
  <c r="S23" i="18"/>
  <c r="U23" i="18"/>
  <c r="AL23" i="18"/>
  <c r="AM23" i="18"/>
  <c r="AN23" i="18"/>
  <c r="AN26" i="18" s="1"/>
  <c r="C24" i="18"/>
  <c r="D24" i="18"/>
  <c r="E24" i="18"/>
  <c r="F24" i="18"/>
  <c r="G24" i="18"/>
  <c r="H24" i="18"/>
  <c r="U24" i="18" s="1"/>
  <c r="I24" i="18"/>
  <c r="J24" i="18"/>
  <c r="K24" i="18"/>
  <c r="L24" i="18"/>
  <c r="M24" i="18"/>
  <c r="N24" i="18"/>
  <c r="O24" i="18"/>
  <c r="Q24" i="18"/>
  <c r="R24" i="18"/>
  <c r="S24" i="18"/>
  <c r="AL24" i="18"/>
  <c r="AM24" i="18"/>
  <c r="AN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Q25" i="18"/>
  <c r="R25" i="18"/>
  <c r="S25" i="18"/>
  <c r="U25" i="18" s="1"/>
  <c r="V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Q26" i="18"/>
  <c r="R26" i="18"/>
  <c r="S26" i="18"/>
  <c r="U26" i="18"/>
  <c r="V26" i="18"/>
  <c r="AL26" i="18"/>
  <c r="C27" i="18"/>
  <c r="T27" i="18" s="1"/>
  <c r="D27" i="18"/>
  <c r="E27" i="18"/>
  <c r="F27" i="18"/>
  <c r="G27" i="18"/>
  <c r="H27" i="18"/>
  <c r="H77" i="18" s="1"/>
  <c r="I27" i="18"/>
  <c r="J27" i="18"/>
  <c r="K27" i="18"/>
  <c r="G43" i="18" s="1"/>
  <c r="G44" i="18" s="1"/>
  <c r="L27" i="18"/>
  <c r="M27" i="18"/>
  <c r="N27" i="18"/>
  <c r="O27" i="18"/>
  <c r="P27" i="18"/>
  <c r="Q27" i="18"/>
  <c r="R27" i="18"/>
  <c r="S27" i="18"/>
  <c r="U27" i="18"/>
  <c r="C28" i="18"/>
  <c r="T28" i="18"/>
  <c r="D28" i="18"/>
  <c r="E28" i="18"/>
  <c r="F28" i="18"/>
  <c r="G28" i="18"/>
  <c r="I28" i="18"/>
  <c r="J28" i="18"/>
  <c r="K28" i="18"/>
  <c r="L28" i="18"/>
  <c r="M28" i="18"/>
  <c r="N28" i="18"/>
  <c r="O28" i="18"/>
  <c r="Q28" i="18"/>
  <c r="R28" i="18"/>
  <c r="S28" i="18"/>
  <c r="C29" i="18"/>
  <c r="T29" i="18"/>
  <c r="D29" i="18"/>
  <c r="E29" i="18"/>
  <c r="F29" i="18"/>
  <c r="G29" i="18"/>
  <c r="I29" i="18"/>
  <c r="J29" i="18"/>
  <c r="K29" i="18"/>
  <c r="L29" i="18"/>
  <c r="M29" i="18"/>
  <c r="N29" i="18"/>
  <c r="O29" i="18"/>
  <c r="Q29" i="18"/>
  <c r="R29" i="18"/>
  <c r="S29" i="18"/>
  <c r="C30" i="18"/>
  <c r="D30" i="18"/>
  <c r="E30" i="18"/>
  <c r="F30" i="18"/>
  <c r="G30" i="18"/>
  <c r="I30" i="18"/>
  <c r="J30" i="18"/>
  <c r="K30" i="18"/>
  <c r="L30" i="18"/>
  <c r="M30" i="18"/>
  <c r="N30" i="18"/>
  <c r="O30" i="18"/>
  <c r="Q30" i="18"/>
  <c r="R30" i="18"/>
  <c r="T30" i="18" s="1"/>
  <c r="S30" i="18"/>
  <c r="D31" i="18"/>
  <c r="E31" i="18"/>
  <c r="F31" i="18"/>
  <c r="F37" i="18" s="1"/>
  <c r="F38" i="18"/>
  <c r="G31" i="18"/>
  <c r="I31" i="18"/>
  <c r="J31" i="18"/>
  <c r="K31" i="18"/>
  <c r="L31" i="18"/>
  <c r="M31" i="18"/>
  <c r="N31" i="18"/>
  <c r="N38" i="18"/>
  <c r="O31" i="18"/>
  <c r="O37" i="18" s="1"/>
  <c r="P38" i="18"/>
  <c r="Q31" i="18"/>
  <c r="R31" i="18"/>
  <c r="S31" i="18"/>
  <c r="S37" i="18" s="1"/>
  <c r="C32" i="18"/>
  <c r="D32" i="18"/>
  <c r="E32" i="18"/>
  <c r="F32" i="18"/>
  <c r="G32" i="18"/>
  <c r="I32" i="18"/>
  <c r="J32" i="18"/>
  <c r="K32" i="18"/>
  <c r="L32" i="18"/>
  <c r="M32" i="18"/>
  <c r="N32" i="18"/>
  <c r="O32" i="18"/>
  <c r="Q32" i="18"/>
  <c r="R32" i="18"/>
  <c r="T32" i="18" s="1"/>
  <c r="S32" i="18"/>
  <c r="C33" i="18"/>
  <c r="F33" i="18"/>
  <c r="G33" i="18"/>
  <c r="J33" i="18"/>
  <c r="K33" i="18"/>
  <c r="M33" i="18"/>
  <c r="N33" i="18"/>
  <c r="O33" i="18"/>
  <c r="Q33" i="18"/>
  <c r="R33" i="18"/>
  <c r="S33" i="18"/>
  <c r="C34" i="18"/>
  <c r="T34" i="18" s="1"/>
  <c r="F34" i="18"/>
  <c r="G34" i="18"/>
  <c r="J34" i="18"/>
  <c r="K34" i="18"/>
  <c r="M34" i="18"/>
  <c r="N34" i="18"/>
  <c r="O34" i="18"/>
  <c r="P34" i="18"/>
  <c r="Q34" i="18"/>
  <c r="R34" i="18"/>
  <c r="S34" i="18"/>
  <c r="K36" i="18"/>
  <c r="K37" i="18"/>
  <c r="C38" i="18"/>
  <c r="E38" i="18"/>
  <c r="G38" i="18"/>
  <c r="K38" i="18"/>
  <c r="M38" i="18"/>
  <c r="O38" i="18"/>
  <c r="Q38" i="18"/>
  <c r="S38" i="18"/>
  <c r="M43" i="18"/>
  <c r="N43" i="18" s="1"/>
  <c r="R43" i="18" s="1"/>
  <c r="R42" i="18"/>
  <c r="C43" i="18"/>
  <c r="D43" i="18"/>
  <c r="E43" i="18"/>
  <c r="E44" i="18"/>
  <c r="F43" i="18"/>
  <c r="F44" i="18" s="1"/>
  <c r="L43" i="18"/>
  <c r="D44" i="18"/>
  <c r="K44" i="18"/>
  <c r="L44" i="18"/>
  <c r="M44" i="18"/>
  <c r="N44" i="18" s="1"/>
  <c r="Z44" i="18"/>
  <c r="C45" i="18"/>
  <c r="D45" i="18"/>
  <c r="D46" i="18" s="1"/>
  <c r="E45" i="18"/>
  <c r="E47" i="18" s="1"/>
  <c r="F45" i="18"/>
  <c r="L47" i="18"/>
  <c r="M47" i="18"/>
  <c r="N47" i="18" s="1"/>
  <c r="AD47" i="18"/>
  <c r="Y48" i="18"/>
  <c r="Z48" i="18"/>
  <c r="AB48" i="18"/>
  <c r="AD48" i="18"/>
  <c r="AE48" i="18"/>
  <c r="AE78" i="18"/>
  <c r="AF48" i="18"/>
  <c r="AG48" i="18"/>
  <c r="AD49" i="18"/>
  <c r="Y50" i="18"/>
  <c r="AG50" i="18" s="1"/>
  <c r="Y74" i="18"/>
  <c r="Z50" i="18"/>
  <c r="AB50" i="18"/>
  <c r="AD50" i="18"/>
  <c r="AE50" i="18"/>
  <c r="AE74" i="18"/>
  <c r="AF50" i="18"/>
  <c r="AH50" i="18"/>
  <c r="AD51" i="18"/>
  <c r="Y52" i="18"/>
  <c r="Z52" i="18"/>
  <c r="AH52" i="18" s="1"/>
  <c r="AB52" i="18"/>
  <c r="AD52" i="18"/>
  <c r="AC52" i="18"/>
  <c r="AI52" i="18" s="1"/>
  <c r="AE52" i="18"/>
  <c r="AF52" i="18"/>
  <c r="AD53" i="18"/>
  <c r="AC54" i="18" s="1"/>
  <c r="C54" i="18"/>
  <c r="D54" i="18"/>
  <c r="E54" i="18"/>
  <c r="E57" i="18" s="1"/>
  <c r="F60" i="18" s="1"/>
  <c r="F54" i="18"/>
  <c r="G54" i="18"/>
  <c r="G55" i="18" s="1"/>
  <c r="H54" i="18"/>
  <c r="Y54" i="18"/>
  <c r="AG54" i="18" s="1"/>
  <c r="Z54" i="18"/>
  <c r="AB54" i="18"/>
  <c r="AD54" i="18"/>
  <c r="AE54" i="18"/>
  <c r="AF54" i="18"/>
  <c r="N55" i="18"/>
  <c r="AD55" i="18"/>
  <c r="AC56" i="18" s="1"/>
  <c r="C56" i="18"/>
  <c r="C57" i="18"/>
  <c r="D60" i="18"/>
  <c r="D56" i="18"/>
  <c r="E58" i="18" s="1"/>
  <c r="E56" i="18"/>
  <c r="F56" i="18"/>
  <c r="G56" i="18"/>
  <c r="N56" i="18"/>
  <c r="Y56" i="18"/>
  <c r="Z56" i="18"/>
  <c r="AA56" i="18" s="1"/>
  <c r="AB56" i="18"/>
  <c r="AD56" i="18"/>
  <c r="AE56" i="18"/>
  <c r="AG56" i="18" s="1"/>
  <c r="AF56" i="18"/>
  <c r="AD57" i="18"/>
  <c r="Y58" i="18"/>
  <c r="AG58" i="18" s="1"/>
  <c r="AB58" i="18"/>
  <c r="AD58" i="18"/>
  <c r="AD74" i="18"/>
  <c r="AE58" i="18"/>
  <c r="AF58" i="18"/>
  <c r="AF74" i="18"/>
  <c r="K59" i="18"/>
  <c r="L59" i="18"/>
  <c r="M59" i="18"/>
  <c r="N59" i="18"/>
  <c r="R59" i="18"/>
  <c r="S59" i="18"/>
  <c r="AD59" i="18"/>
  <c r="Y60" i="18"/>
  <c r="AB60" i="18"/>
  <c r="AD60" i="18"/>
  <c r="AD72" i="18" s="1"/>
  <c r="AE60" i="18"/>
  <c r="AG60" i="18" s="1"/>
  <c r="AF60" i="18"/>
  <c r="K61" i="18"/>
  <c r="L61" i="18"/>
  <c r="M61" i="18"/>
  <c r="N61" i="18"/>
  <c r="R61" i="18"/>
  <c r="S61" i="18"/>
  <c r="AD61" i="18"/>
  <c r="AC62" i="18" s="1"/>
  <c r="AI62" i="18" s="1"/>
  <c r="Y62" i="18"/>
  <c r="AG62" i="18" s="1"/>
  <c r="Z62" i="18"/>
  <c r="AB62" i="18"/>
  <c r="AD62" i="18"/>
  <c r="AE62" i="18"/>
  <c r="AF62" i="18"/>
  <c r="K63" i="18"/>
  <c r="L63" i="18"/>
  <c r="M63" i="18"/>
  <c r="N63" i="18"/>
  <c r="R63" i="18"/>
  <c r="S63" i="18"/>
  <c r="AD63" i="18"/>
  <c r="AC64" i="18" s="1"/>
  <c r="C64" i="18"/>
  <c r="D64" i="18"/>
  <c r="E64" i="18"/>
  <c r="F64" i="18"/>
  <c r="F65" i="18" s="1"/>
  <c r="G64" i="18"/>
  <c r="G65" i="18" s="1"/>
  <c r="H64" i="18"/>
  <c r="H65" i="18" s="1"/>
  <c r="Y64" i="18"/>
  <c r="AB64" i="18"/>
  <c r="AD64" i="18"/>
  <c r="AE64" i="18"/>
  <c r="AG64" i="18" s="1"/>
  <c r="AF64" i="18"/>
  <c r="AD65" i="18"/>
  <c r="AC66" i="18" s="1"/>
  <c r="C66" i="18"/>
  <c r="D66" i="18"/>
  <c r="E66" i="18"/>
  <c r="F66" i="18"/>
  <c r="G66" i="18"/>
  <c r="Y66" i="18"/>
  <c r="AB66" i="18"/>
  <c r="AD66" i="18"/>
  <c r="AE66" i="18"/>
  <c r="AF66" i="18"/>
  <c r="AG66" i="18"/>
  <c r="AD67" i="18"/>
  <c r="Y68" i="18"/>
  <c r="AB68" i="18"/>
  <c r="AD68" i="18"/>
  <c r="AE68" i="18"/>
  <c r="AF68" i="18"/>
  <c r="AD69" i="18"/>
  <c r="AC70" i="18" s="1"/>
  <c r="Y70" i="18"/>
  <c r="AG70" i="18" s="1"/>
  <c r="AB70" i="18"/>
  <c r="AD70" i="18"/>
  <c r="AE70" i="18"/>
  <c r="AF70" i="18"/>
  <c r="D75" i="18"/>
  <c r="E75" i="18"/>
  <c r="G75" i="18"/>
  <c r="AD76" i="18"/>
  <c r="AD78" i="18"/>
  <c r="AF78" i="18"/>
  <c r="AM4" i="18"/>
  <c r="AL4" i="18"/>
  <c r="AN4" i="18"/>
  <c r="AP4" i="18"/>
  <c r="AL13" i="18"/>
  <c r="I8" i="1"/>
  <c r="I26" i="1" s="1"/>
  <c r="L8" i="1"/>
  <c r="I9" i="1"/>
  <c r="L9" i="1"/>
  <c r="L25" i="1" s="1"/>
  <c r="H9" i="1"/>
  <c r="S9" i="1" s="1"/>
  <c r="I10" i="1"/>
  <c r="H10" i="1" s="1"/>
  <c r="L10" i="1"/>
  <c r="Q10" i="1"/>
  <c r="I11" i="1"/>
  <c r="L11" i="1"/>
  <c r="H11" i="1"/>
  <c r="S11" i="1" s="1"/>
  <c r="Q11" i="1"/>
  <c r="I12" i="1"/>
  <c r="L12" i="1"/>
  <c r="Q12" i="1"/>
  <c r="I13" i="1"/>
  <c r="L13" i="1"/>
  <c r="H13" i="1"/>
  <c r="S13" i="1" s="1"/>
  <c r="Q13" i="1"/>
  <c r="I14" i="1"/>
  <c r="H14" i="1" s="1"/>
  <c r="L14" i="1"/>
  <c r="Q14" i="1"/>
  <c r="I15" i="1"/>
  <c r="H15" i="1" s="1"/>
  <c r="L15" i="1"/>
  <c r="Q15" i="1"/>
  <c r="I16" i="1"/>
  <c r="L16" i="1"/>
  <c r="H16" i="1" s="1"/>
  <c r="I17" i="1"/>
  <c r="L17" i="1"/>
  <c r="H17" i="1"/>
  <c r="Q17" i="1"/>
  <c r="I18" i="1"/>
  <c r="L18" i="1"/>
  <c r="H18" i="1"/>
  <c r="R18" i="1" s="1"/>
  <c r="I19" i="1"/>
  <c r="H19" i="1" s="1"/>
  <c r="L19" i="1"/>
  <c r="Q19" i="1"/>
  <c r="E20" i="1"/>
  <c r="E21" i="1" s="1"/>
  <c r="F20" i="1"/>
  <c r="F21" i="1"/>
  <c r="G20" i="1"/>
  <c r="G21" i="1" s="1"/>
  <c r="J20" i="1"/>
  <c r="J21" i="1"/>
  <c r="K20" i="1"/>
  <c r="K21" i="1" s="1"/>
  <c r="M20" i="1"/>
  <c r="M21" i="1" s="1"/>
  <c r="N20" i="1"/>
  <c r="N21" i="1"/>
  <c r="O20" i="1"/>
  <c r="O21" i="1" s="1"/>
  <c r="P20" i="1"/>
  <c r="P21" i="1"/>
  <c r="E23" i="1"/>
  <c r="F23" i="1"/>
  <c r="G23" i="1"/>
  <c r="J23" i="1"/>
  <c r="K23" i="1"/>
  <c r="M23" i="1"/>
  <c r="N23" i="1"/>
  <c r="O23" i="1"/>
  <c r="P23" i="1"/>
  <c r="D24" i="1"/>
  <c r="E24" i="1"/>
  <c r="F24" i="1"/>
  <c r="G24" i="1"/>
  <c r="J24" i="1"/>
  <c r="K24" i="1"/>
  <c r="M24" i="1"/>
  <c r="N24" i="1"/>
  <c r="O24" i="1"/>
  <c r="P24" i="1"/>
  <c r="E25" i="1"/>
  <c r="F25" i="1"/>
  <c r="G25" i="1"/>
  <c r="J25" i="1"/>
  <c r="K25" i="1"/>
  <c r="M25" i="1"/>
  <c r="N25" i="1"/>
  <c r="O25" i="1"/>
  <c r="P25" i="1"/>
  <c r="E26" i="1"/>
  <c r="F26" i="1"/>
  <c r="G26" i="1"/>
  <c r="J26" i="1"/>
  <c r="K26" i="1"/>
  <c r="M26" i="1"/>
  <c r="N26" i="1"/>
  <c r="O26" i="1"/>
  <c r="P26" i="1"/>
  <c r="D27" i="1"/>
  <c r="E27" i="1"/>
  <c r="F27" i="1"/>
  <c r="G27" i="1"/>
  <c r="J27" i="1"/>
  <c r="K27" i="1"/>
  <c r="L27" i="1"/>
  <c r="M27" i="1"/>
  <c r="N27" i="1"/>
  <c r="O27" i="1"/>
  <c r="P27" i="1"/>
  <c r="E28" i="1"/>
  <c r="F28" i="1"/>
  <c r="G28" i="1"/>
  <c r="J28" i="1"/>
  <c r="K28" i="1"/>
  <c r="M28" i="1"/>
  <c r="N28" i="1"/>
  <c r="O28" i="1"/>
  <c r="P28" i="1"/>
  <c r="E29" i="1"/>
  <c r="F29" i="1"/>
  <c r="G29" i="1"/>
  <c r="J29" i="1"/>
  <c r="K29" i="1"/>
  <c r="M29" i="1"/>
  <c r="N29" i="1"/>
  <c r="O29" i="1"/>
  <c r="P29" i="1"/>
  <c r="E30" i="1"/>
  <c r="F30" i="1"/>
  <c r="G30" i="1"/>
  <c r="J30" i="1"/>
  <c r="K30" i="1"/>
  <c r="M30" i="1"/>
  <c r="N30" i="1"/>
  <c r="O30" i="1"/>
  <c r="P30" i="1"/>
  <c r="E31" i="1"/>
  <c r="F31" i="1"/>
  <c r="F37" i="1" s="1"/>
  <c r="F38" i="1" s="1"/>
  <c r="G31" i="1"/>
  <c r="G37" i="1" s="1"/>
  <c r="G38" i="1" s="1"/>
  <c r="J31" i="1"/>
  <c r="J37" i="1" s="1"/>
  <c r="J38" i="1" s="1"/>
  <c r="K31" i="1"/>
  <c r="M31" i="1"/>
  <c r="M37" i="1" s="1"/>
  <c r="M38" i="1" s="1"/>
  <c r="N31" i="1"/>
  <c r="N37" i="1" s="1"/>
  <c r="N38" i="1" s="1"/>
  <c r="O31" i="1"/>
  <c r="O37" i="1" s="1"/>
  <c r="O38" i="1" s="1"/>
  <c r="P31" i="1"/>
  <c r="P37" i="1" s="1"/>
  <c r="P38" i="1" s="1"/>
  <c r="E32" i="1"/>
  <c r="F32" i="1"/>
  <c r="G32" i="1"/>
  <c r="J32" i="1"/>
  <c r="K32" i="1"/>
  <c r="M32" i="1"/>
  <c r="N32" i="1"/>
  <c r="O32" i="1"/>
  <c r="P32" i="1"/>
  <c r="E33" i="1"/>
  <c r="F33" i="1"/>
  <c r="G33" i="1"/>
  <c r="J33" i="1"/>
  <c r="K33" i="1"/>
  <c r="M33" i="1"/>
  <c r="N33" i="1"/>
  <c r="O33" i="1"/>
  <c r="P33" i="1"/>
  <c r="E34" i="1"/>
  <c r="F34" i="1"/>
  <c r="G34" i="1"/>
  <c r="J34" i="1"/>
  <c r="K34" i="1"/>
  <c r="M34" i="1"/>
  <c r="N34" i="1"/>
  <c r="O34" i="1"/>
  <c r="P34" i="1"/>
  <c r="Q35" i="1"/>
  <c r="R35" i="1"/>
  <c r="S35" i="1"/>
  <c r="E37" i="1"/>
  <c r="E38" i="1" s="1"/>
  <c r="K37" i="1"/>
  <c r="K38" i="1" s="1"/>
  <c r="P2" i="2"/>
  <c r="O2" i="2"/>
  <c r="N2" i="2"/>
  <c r="M2" i="2"/>
  <c r="K2" i="2"/>
  <c r="J2" i="2"/>
  <c r="I2" i="2"/>
  <c r="G2" i="2"/>
  <c r="F2" i="2"/>
  <c r="F37" i="2" s="1"/>
  <c r="F38" i="2" s="1"/>
  <c r="E2" i="2"/>
  <c r="D2" i="2"/>
  <c r="Q8" i="2"/>
  <c r="R8" i="2"/>
  <c r="S8" i="2"/>
  <c r="Q9" i="2"/>
  <c r="Q10" i="2"/>
  <c r="R11" i="2"/>
  <c r="S11" i="2"/>
  <c r="Q12" i="2"/>
  <c r="R12" i="2"/>
  <c r="S12" i="2"/>
  <c r="Q14" i="2"/>
  <c r="Q15" i="2"/>
  <c r="Q16" i="2"/>
  <c r="R16" i="2"/>
  <c r="S16" i="2"/>
  <c r="Q17" i="2"/>
  <c r="Q18" i="2"/>
  <c r="S18" i="2"/>
  <c r="R19" i="2"/>
  <c r="S19" i="2"/>
  <c r="E20" i="2"/>
  <c r="E21" i="2" s="1"/>
  <c r="F20" i="2"/>
  <c r="F21" i="2" s="1"/>
  <c r="G20" i="2"/>
  <c r="G21" i="2" s="1"/>
  <c r="I20" i="2"/>
  <c r="I21" i="2" s="1"/>
  <c r="J20" i="2"/>
  <c r="K20" i="2"/>
  <c r="K21" i="2" s="1"/>
  <c r="M20" i="2"/>
  <c r="M21" i="2"/>
  <c r="N20" i="2"/>
  <c r="N21" i="2" s="1"/>
  <c r="J21" i="2"/>
  <c r="C23" i="2"/>
  <c r="Q23" i="2" s="1"/>
  <c r="D23" i="2"/>
  <c r="E23" i="2"/>
  <c r="F23" i="2"/>
  <c r="G23" i="2"/>
  <c r="H23" i="2"/>
  <c r="I23" i="2"/>
  <c r="J23" i="2"/>
  <c r="K23" i="2"/>
  <c r="L23" i="2"/>
  <c r="S23" i="2" s="1"/>
  <c r="M23" i="2"/>
  <c r="N23" i="2"/>
  <c r="O23" i="2"/>
  <c r="P23" i="2"/>
  <c r="C24" i="2"/>
  <c r="D24" i="2"/>
  <c r="E24" i="2"/>
  <c r="F24" i="2"/>
  <c r="G24" i="2"/>
  <c r="I24" i="2"/>
  <c r="J24" i="2"/>
  <c r="K24" i="2"/>
  <c r="M24" i="2"/>
  <c r="N24" i="2"/>
  <c r="O24" i="2"/>
  <c r="P24" i="2"/>
  <c r="C25" i="2"/>
  <c r="D25" i="2"/>
  <c r="E25" i="2"/>
  <c r="F25" i="2"/>
  <c r="G25" i="2"/>
  <c r="I25" i="2"/>
  <c r="J25" i="2"/>
  <c r="K25" i="2"/>
  <c r="M25" i="2"/>
  <c r="N25" i="2"/>
  <c r="O25" i="2"/>
  <c r="P25" i="2"/>
  <c r="Q25" i="2"/>
  <c r="E26" i="2"/>
  <c r="F26" i="2"/>
  <c r="G26" i="2"/>
  <c r="J26" i="2"/>
  <c r="K26" i="2"/>
  <c r="M26" i="2"/>
  <c r="N26" i="2"/>
  <c r="O26" i="2"/>
  <c r="P26" i="2"/>
  <c r="E27" i="2"/>
  <c r="F27" i="2"/>
  <c r="G27" i="2"/>
  <c r="I27" i="2"/>
  <c r="J27" i="2"/>
  <c r="K27" i="2"/>
  <c r="L27" i="2"/>
  <c r="M27" i="2"/>
  <c r="N27" i="2"/>
  <c r="O27" i="2"/>
  <c r="P27" i="2"/>
  <c r="E28" i="2"/>
  <c r="F28" i="2"/>
  <c r="G28" i="2"/>
  <c r="I28" i="2"/>
  <c r="J28" i="2"/>
  <c r="K28" i="2"/>
  <c r="M28" i="2"/>
  <c r="N28" i="2"/>
  <c r="O28" i="2"/>
  <c r="P28" i="2"/>
  <c r="E29" i="2"/>
  <c r="F29" i="2"/>
  <c r="G29" i="2"/>
  <c r="I29" i="2"/>
  <c r="J29" i="2"/>
  <c r="K29" i="2"/>
  <c r="M29" i="2"/>
  <c r="N29" i="2"/>
  <c r="O29" i="2"/>
  <c r="P29" i="2"/>
  <c r="E30" i="2"/>
  <c r="F30" i="2"/>
  <c r="G30" i="2"/>
  <c r="I30" i="2"/>
  <c r="J30" i="2"/>
  <c r="K30" i="2"/>
  <c r="M30" i="2"/>
  <c r="N30" i="2"/>
  <c r="O30" i="2"/>
  <c r="P30" i="2"/>
  <c r="E31" i="2"/>
  <c r="F31" i="2"/>
  <c r="G31" i="2"/>
  <c r="G37" i="2" s="1"/>
  <c r="G38" i="2" s="1"/>
  <c r="I31" i="2"/>
  <c r="J31" i="2"/>
  <c r="J37" i="2" s="1"/>
  <c r="J38" i="2" s="1"/>
  <c r="K31" i="2"/>
  <c r="K37" i="2" s="1"/>
  <c r="K38" i="2" s="1"/>
  <c r="L31" i="2"/>
  <c r="M31" i="2"/>
  <c r="N31" i="2"/>
  <c r="O31" i="2"/>
  <c r="O37" i="2" s="1"/>
  <c r="O38" i="2" s="1"/>
  <c r="P31" i="2"/>
  <c r="E32" i="2"/>
  <c r="F32" i="2"/>
  <c r="G32" i="2"/>
  <c r="I32" i="2"/>
  <c r="J32" i="2"/>
  <c r="K32" i="2"/>
  <c r="M32" i="2"/>
  <c r="N32" i="2"/>
  <c r="O32" i="2"/>
  <c r="P32" i="2"/>
  <c r="E33" i="2"/>
  <c r="F33" i="2"/>
  <c r="G33" i="2"/>
  <c r="J33" i="2"/>
  <c r="K33" i="2"/>
  <c r="M33" i="2"/>
  <c r="N33" i="2"/>
  <c r="O33" i="2"/>
  <c r="P33" i="2"/>
  <c r="E34" i="2"/>
  <c r="F34" i="2"/>
  <c r="G34" i="2"/>
  <c r="I34" i="2"/>
  <c r="J34" i="2"/>
  <c r="K34" i="2"/>
  <c r="M34" i="2"/>
  <c r="N34" i="2"/>
  <c r="O34" i="2"/>
  <c r="P34" i="2"/>
  <c r="E35" i="2"/>
  <c r="F35" i="2"/>
  <c r="G35" i="2"/>
  <c r="I35" i="2"/>
  <c r="J35" i="2"/>
  <c r="K35" i="2"/>
  <c r="K36" i="2"/>
  <c r="C45" i="5"/>
  <c r="D47" i="5" s="1"/>
  <c r="M35" i="2"/>
  <c r="N35" i="2"/>
  <c r="O35" i="2"/>
  <c r="P35" i="2"/>
  <c r="E37" i="2"/>
  <c r="E38" i="2" s="1"/>
  <c r="I37" i="2"/>
  <c r="I38" i="2" s="1"/>
  <c r="M37" i="2"/>
  <c r="M38" i="2" s="1"/>
  <c r="P2" i="3"/>
  <c r="O2" i="3"/>
  <c r="N2" i="3"/>
  <c r="N37" i="3" s="1"/>
  <c r="N38" i="3" s="1"/>
  <c r="M2" i="3"/>
  <c r="K2" i="3"/>
  <c r="J2" i="3"/>
  <c r="J37" i="3" s="1"/>
  <c r="J38" i="3" s="1"/>
  <c r="I2" i="3"/>
  <c r="G2" i="3"/>
  <c r="F2" i="3"/>
  <c r="F37" i="3" s="1"/>
  <c r="F38" i="3" s="1"/>
  <c r="E2" i="3"/>
  <c r="D2" i="3"/>
  <c r="Q8" i="3"/>
  <c r="Q9" i="3"/>
  <c r="R9" i="3"/>
  <c r="S9" i="3"/>
  <c r="Q11" i="3"/>
  <c r="Q12" i="3"/>
  <c r="R12" i="3"/>
  <c r="S12" i="3"/>
  <c r="Q13" i="3"/>
  <c r="R13" i="3"/>
  <c r="S13" i="3"/>
  <c r="Q14" i="3"/>
  <c r="R14" i="3"/>
  <c r="S14" i="3"/>
  <c r="Q15" i="3"/>
  <c r="Q16" i="3"/>
  <c r="R16" i="3"/>
  <c r="Q17" i="3"/>
  <c r="R17" i="3"/>
  <c r="S17" i="3"/>
  <c r="Q18" i="3"/>
  <c r="Q19" i="3"/>
  <c r="D20" i="3"/>
  <c r="D21" i="3"/>
  <c r="E20" i="3"/>
  <c r="E21" i="3" s="1"/>
  <c r="F20" i="3"/>
  <c r="F21" i="3"/>
  <c r="G20" i="3"/>
  <c r="G21" i="3" s="1"/>
  <c r="J20" i="3"/>
  <c r="K20" i="3"/>
  <c r="K21" i="3" s="1"/>
  <c r="M20" i="3"/>
  <c r="M21" i="3" s="1"/>
  <c r="N20" i="3"/>
  <c r="N21" i="3" s="1"/>
  <c r="J21" i="3"/>
  <c r="C23" i="3"/>
  <c r="Q23" i="3" s="1"/>
  <c r="D23" i="3"/>
  <c r="E23" i="3"/>
  <c r="F23" i="3"/>
  <c r="G23" i="3"/>
  <c r="I23" i="3"/>
  <c r="J23" i="3"/>
  <c r="K23" i="3"/>
  <c r="L23" i="3"/>
  <c r="M23" i="3"/>
  <c r="N23" i="3"/>
  <c r="O23" i="3"/>
  <c r="P23" i="3"/>
  <c r="C24" i="3"/>
  <c r="Q24" i="3" s="1"/>
  <c r="D24" i="3"/>
  <c r="E24" i="3"/>
  <c r="F24" i="3"/>
  <c r="G24" i="3"/>
  <c r="I24" i="3"/>
  <c r="J24" i="3"/>
  <c r="K24" i="3"/>
  <c r="L24" i="3"/>
  <c r="M24" i="3"/>
  <c r="N24" i="3"/>
  <c r="O24" i="3"/>
  <c r="P24" i="3"/>
  <c r="E25" i="3"/>
  <c r="F25" i="3"/>
  <c r="G25" i="3"/>
  <c r="J25" i="3"/>
  <c r="K25" i="3"/>
  <c r="L25" i="3"/>
  <c r="M25" i="3"/>
  <c r="N25" i="3"/>
  <c r="O25" i="3"/>
  <c r="P25" i="3"/>
  <c r="D26" i="3"/>
  <c r="E26" i="3"/>
  <c r="F26" i="3"/>
  <c r="G26" i="3"/>
  <c r="I26" i="3"/>
  <c r="J26" i="3"/>
  <c r="K26" i="3"/>
  <c r="L26" i="3"/>
  <c r="M26" i="3"/>
  <c r="N26" i="3"/>
  <c r="O26" i="3"/>
  <c r="P26" i="3"/>
  <c r="C27" i="3"/>
  <c r="D27" i="3"/>
  <c r="E27" i="3"/>
  <c r="F27" i="3"/>
  <c r="G27" i="3"/>
  <c r="I27" i="3"/>
  <c r="J27" i="3"/>
  <c r="M27" i="3"/>
  <c r="N27" i="3"/>
  <c r="O27" i="3"/>
  <c r="Q27" i="3" s="1"/>
  <c r="P27" i="3"/>
  <c r="C28" i="3"/>
  <c r="Q28" i="3" s="1"/>
  <c r="E28" i="3"/>
  <c r="F28" i="3"/>
  <c r="G28" i="3"/>
  <c r="J28" i="3"/>
  <c r="K28" i="3"/>
  <c r="L28" i="3"/>
  <c r="M28" i="3"/>
  <c r="N28" i="3"/>
  <c r="O28" i="3"/>
  <c r="P28" i="3"/>
  <c r="E29" i="3"/>
  <c r="F29" i="3"/>
  <c r="G29" i="3"/>
  <c r="J29" i="3"/>
  <c r="K29" i="3"/>
  <c r="L29" i="3"/>
  <c r="M29" i="3"/>
  <c r="N29" i="3"/>
  <c r="O29" i="3"/>
  <c r="P29" i="3"/>
  <c r="D30" i="3"/>
  <c r="E30" i="3"/>
  <c r="F30" i="3"/>
  <c r="G30" i="3"/>
  <c r="I30" i="3"/>
  <c r="J30" i="3"/>
  <c r="K30" i="3"/>
  <c r="M30" i="3"/>
  <c r="N30" i="3"/>
  <c r="O30" i="3"/>
  <c r="P30" i="3"/>
  <c r="C31" i="3"/>
  <c r="D31" i="3"/>
  <c r="D37" i="3" s="1"/>
  <c r="D38" i="3" s="1"/>
  <c r="E31" i="3"/>
  <c r="E37" i="3" s="1"/>
  <c r="E38" i="3" s="1"/>
  <c r="F31" i="3"/>
  <c r="G31" i="3"/>
  <c r="J31" i="3"/>
  <c r="K31" i="3"/>
  <c r="L31" i="3"/>
  <c r="M31" i="3"/>
  <c r="N31" i="3"/>
  <c r="O31" i="3"/>
  <c r="P31" i="3"/>
  <c r="C32" i="3"/>
  <c r="Q32" i="3" s="1"/>
  <c r="E32" i="3"/>
  <c r="F32" i="3"/>
  <c r="G32" i="3"/>
  <c r="J32" i="3"/>
  <c r="K32" i="3"/>
  <c r="L32" i="3"/>
  <c r="M32" i="3"/>
  <c r="N32" i="3"/>
  <c r="O32" i="3"/>
  <c r="P32" i="3"/>
  <c r="E33" i="3"/>
  <c r="F33" i="3"/>
  <c r="G33" i="3"/>
  <c r="J33" i="3"/>
  <c r="K33" i="3"/>
  <c r="L33" i="3"/>
  <c r="M33" i="3"/>
  <c r="N33" i="3"/>
  <c r="O33" i="3"/>
  <c r="P33" i="3"/>
  <c r="D34" i="3"/>
  <c r="E34" i="3"/>
  <c r="F34" i="3"/>
  <c r="G34" i="3"/>
  <c r="I34" i="3"/>
  <c r="J34" i="3"/>
  <c r="K34" i="3"/>
  <c r="L34" i="3"/>
  <c r="M34" i="3"/>
  <c r="N34" i="3"/>
  <c r="O34" i="3"/>
  <c r="P34" i="3"/>
  <c r="E35" i="3"/>
  <c r="F35" i="3"/>
  <c r="G35" i="3"/>
  <c r="J35" i="3"/>
  <c r="L35" i="3"/>
  <c r="M35" i="3"/>
  <c r="N35" i="3"/>
  <c r="O35" i="3"/>
  <c r="P35" i="3"/>
  <c r="K37" i="3"/>
  <c r="K38" i="3" s="1"/>
  <c r="O37" i="3"/>
  <c r="O38" i="3" s="1"/>
  <c r="P2" i="4"/>
  <c r="P37" i="4"/>
  <c r="P38" i="4" s="1"/>
  <c r="O2" i="4"/>
  <c r="N2" i="4"/>
  <c r="M2" i="4"/>
  <c r="M37" i="4" s="1"/>
  <c r="M38" i="4" s="1"/>
  <c r="L2" i="4"/>
  <c r="K2" i="4"/>
  <c r="J2" i="4"/>
  <c r="I2" i="4"/>
  <c r="G2" i="4"/>
  <c r="F2" i="4"/>
  <c r="E2" i="4"/>
  <c r="D2" i="4"/>
  <c r="D37" i="4" s="1"/>
  <c r="D38" i="4" s="1"/>
  <c r="C2" i="4"/>
  <c r="Q8" i="4"/>
  <c r="R8" i="4"/>
  <c r="S8" i="4"/>
  <c r="Q9" i="4"/>
  <c r="R9" i="4"/>
  <c r="S9" i="4"/>
  <c r="Q10" i="4"/>
  <c r="R10" i="4"/>
  <c r="S10" i="4"/>
  <c r="Q11" i="4"/>
  <c r="Q12" i="4"/>
  <c r="Q13" i="4"/>
  <c r="Q15" i="4"/>
  <c r="Q16" i="4"/>
  <c r="R16" i="4"/>
  <c r="S16" i="4"/>
  <c r="Q17" i="4"/>
  <c r="R17" i="4"/>
  <c r="S17" i="4"/>
  <c r="Q18" i="4"/>
  <c r="Q19" i="4"/>
  <c r="D20" i="4"/>
  <c r="D21" i="4" s="1"/>
  <c r="E20" i="4"/>
  <c r="F20" i="4"/>
  <c r="F21" i="4" s="1"/>
  <c r="G20" i="4"/>
  <c r="J20" i="4"/>
  <c r="J21" i="4" s="1"/>
  <c r="K20" i="4"/>
  <c r="K21" i="4" s="1"/>
  <c r="M20" i="4"/>
  <c r="M21" i="4" s="1"/>
  <c r="N20" i="4"/>
  <c r="N21" i="4" s="1"/>
  <c r="E21" i="4"/>
  <c r="G21" i="4"/>
  <c r="C23" i="4"/>
  <c r="D23" i="4"/>
  <c r="E23" i="4"/>
  <c r="F23" i="4"/>
  <c r="G23" i="4"/>
  <c r="H23" i="4"/>
  <c r="I23" i="4"/>
  <c r="J23" i="4"/>
  <c r="K23" i="4"/>
  <c r="L23" i="4"/>
  <c r="S23" i="4" s="1"/>
  <c r="M23" i="4"/>
  <c r="N23" i="4"/>
  <c r="O23" i="4"/>
  <c r="P23" i="4"/>
  <c r="R23" i="4"/>
  <c r="D24" i="4"/>
  <c r="E24" i="4"/>
  <c r="F24" i="4"/>
  <c r="G24" i="4"/>
  <c r="H24" i="4"/>
  <c r="I24" i="4"/>
  <c r="J24" i="4"/>
  <c r="K24" i="4"/>
  <c r="L24" i="4"/>
  <c r="S24" i="4"/>
  <c r="M24" i="4"/>
  <c r="N24" i="4"/>
  <c r="O24" i="4"/>
  <c r="P24" i="4"/>
  <c r="R24" i="4" s="1"/>
  <c r="D25" i="4"/>
  <c r="E25" i="4"/>
  <c r="F25" i="4"/>
  <c r="G25" i="4"/>
  <c r="H25" i="4"/>
  <c r="I25" i="4"/>
  <c r="J25" i="4"/>
  <c r="K25" i="4"/>
  <c r="L25" i="4"/>
  <c r="S25" i="4" s="1"/>
  <c r="M25" i="4"/>
  <c r="N25" i="4"/>
  <c r="O25" i="4"/>
  <c r="P25" i="4"/>
  <c r="C26" i="4"/>
  <c r="D26" i="4"/>
  <c r="E26" i="4"/>
  <c r="F26" i="4"/>
  <c r="G26" i="4"/>
  <c r="J26" i="4"/>
  <c r="K26" i="4"/>
  <c r="L26" i="4"/>
  <c r="M26" i="4"/>
  <c r="N26" i="4"/>
  <c r="O26" i="4"/>
  <c r="Q26" i="4" s="1"/>
  <c r="P26" i="4"/>
  <c r="C27" i="4"/>
  <c r="Q27" i="4" s="1"/>
  <c r="D27" i="4"/>
  <c r="E27" i="4"/>
  <c r="F27" i="4"/>
  <c r="G27" i="4"/>
  <c r="J27" i="4"/>
  <c r="L27" i="4"/>
  <c r="M27" i="4"/>
  <c r="N27" i="4"/>
  <c r="O27" i="4"/>
  <c r="P27" i="4"/>
  <c r="D28" i="4"/>
  <c r="E28" i="4"/>
  <c r="F28" i="4"/>
  <c r="G28" i="4"/>
  <c r="J28" i="4"/>
  <c r="K28" i="4"/>
  <c r="L28" i="4"/>
  <c r="M28" i="4"/>
  <c r="N28" i="4"/>
  <c r="O28" i="4"/>
  <c r="P28" i="4"/>
  <c r="D29" i="4"/>
  <c r="E29" i="4"/>
  <c r="F29" i="4"/>
  <c r="G29" i="4"/>
  <c r="J29" i="4"/>
  <c r="K29" i="4"/>
  <c r="M29" i="4"/>
  <c r="N29" i="4"/>
  <c r="O29" i="4"/>
  <c r="P29" i="4"/>
  <c r="C30" i="4"/>
  <c r="D30" i="4"/>
  <c r="E30" i="4"/>
  <c r="F30" i="4"/>
  <c r="G30" i="4"/>
  <c r="J30" i="4"/>
  <c r="K30" i="4"/>
  <c r="M30" i="4"/>
  <c r="N30" i="4"/>
  <c r="O30" i="4"/>
  <c r="P30" i="4"/>
  <c r="Q30" i="4"/>
  <c r="C31" i="4"/>
  <c r="D31" i="4"/>
  <c r="E31" i="4"/>
  <c r="F31" i="4"/>
  <c r="G31" i="4"/>
  <c r="J31" i="4"/>
  <c r="K31" i="4"/>
  <c r="L31" i="4"/>
  <c r="M31" i="4"/>
  <c r="N31" i="4"/>
  <c r="O31" i="4"/>
  <c r="O37" i="4" s="1"/>
  <c r="O38" i="4" s="1"/>
  <c r="P31" i="4"/>
  <c r="D32" i="4"/>
  <c r="E32" i="4"/>
  <c r="F32" i="4"/>
  <c r="G32" i="4"/>
  <c r="J32" i="4"/>
  <c r="K32" i="4"/>
  <c r="M32" i="4"/>
  <c r="N32" i="4"/>
  <c r="O32" i="4"/>
  <c r="P32" i="4"/>
  <c r="D33" i="4"/>
  <c r="E33" i="4"/>
  <c r="F33" i="4"/>
  <c r="G33" i="4"/>
  <c r="J33" i="4"/>
  <c r="K33" i="4"/>
  <c r="M33" i="4"/>
  <c r="N33" i="4"/>
  <c r="O33" i="4"/>
  <c r="P33" i="4"/>
  <c r="C34" i="4"/>
  <c r="D34" i="4"/>
  <c r="E34" i="4"/>
  <c r="F34" i="4"/>
  <c r="G34" i="4"/>
  <c r="J34" i="4"/>
  <c r="K34" i="4"/>
  <c r="M34" i="4"/>
  <c r="N34" i="4"/>
  <c r="O34" i="4"/>
  <c r="P34" i="4"/>
  <c r="Q34" i="4"/>
  <c r="C35" i="4"/>
  <c r="Q35" i="4" s="1"/>
  <c r="D35" i="4"/>
  <c r="E35" i="4"/>
  <c r="F35" i="4"/>
  <c r="G35" i="4"/>
  <c r="I35" i="4"/>
  <c r="J35" i="4"/>
  <c r="M35" i="4"/>
  <c r="N35" i="4"/>
  <c r="O35" i="4"/>
  <c r="P35" i="4"/>
  <c r="G37" i="4"/>
  <c r="G38" i="4" s="1"/>
  <c r="Z42" i="4"/>
  <c r="X42" i="4"/>
  <c r="AD42" i="4"/>
  <c r="AE42" i="4"/>
  <c r="AF42" i="4"/>
  <c r="Z44" i="4"/>
  <c r="X44" i="4" s="1"/>
  <c r="AD44" i="4"/>
  <c r="AE44" i="4"/>
  <c r="Z46" i="4"/>
  <c r="X46" i="4" s="1"/>
  <c r="AD46" i="4"/>
  <c r="AE46" i="4"/>
  <c r="AF46" i="4"/>
  <c r="Z48" i="4"/>
  <c r="X48" i="4"/>
  <c r="AD48" i="4"/>
  <c r="AE48" i="4"/>
  <c r="AF48" i="4"/>
  <c r="Z50" i="4"/>
  <c r="AD50" i="4"/>
  <c r="AE50" i="4"/>
  <c r="Z52" i="4"/>
  <c r="AD52" i="4"/>
  <c r="AE52" i="4"/>
  <c r="Z54" i="4"/>
  <c r="X54" i="4" s="1"/>
  <c r="AD54" i="4"/>
  <c r="AE54" i="4"/>
  <c r="AF54" i="4"/>
  <c r="Z56" i="4"/>
  <c r="X56" i="4"/>
  <c r="AD56" i="4"/>
  <c r="AE56" i="4"/>
  <c r="AF56" i="4"/>
  <c r="Z58" i="4"/>
  <c r="X58" i="4" s="1"/>
  <c r="AD58" i="4"/>
  <c r="AE58" i="4"/>
  <c r="Z60" i="4"/>
  <c r="X60" i="4" s="1"/>
  <c r="AD60" i="4"/>
  <c r="AE60" i="4"/>
  <c r="Z62" i="4"/>
  <c r="X62" i="4" s="1"/>
  <c r="AD62" i="4"/>
  <c r="AE62" i="4"/>
  <c r="Z64" i="4"/>
  <c r="X64" i="4"/>
  <c r="AD64" i="4"/>
  <c r="AE64" i="4"/>
  <c r="AF64" i="4"/>
  <c r="AA65" i="4"/>
  <c r="V66" i="4"/>
  <c r="W66" i="4"/>
  <c r="Y66" i="4"/>
  <c r="Y68" i="4" s="1"/>
  <c r="AA66" i="4"/>
  <c r="AA68" i="4" s="1"/>
  <c r="AB66" i="4"/>
  <c r="AB68" i="4" s="1"/>
  <c r="AC66" i="4"/>
  <c r="AC68" i="4" s="1"/>
  <c r="AA67" i="4"/>
  <c r="P2" i="5"/>
  <c r="O2" i="5"/>
  <c r="N2" i="5"/>
  <c r="M2" i="5"/>
  <c r="AA75" i="5" s="1"/>
  <c r="K2" i="5"/>
  <c r="J2" i="5"/>
  <c r="I2" i="5"/>
  <c r="G2" i="5"/>
  <c r="G37" i="5" s="1"/>
  <c r="G38" i="5" s="1"/>
  <c r="F2" i="5"/>
  <c r="F37" i="5" s="1"/>
  <c r="F38" i="5" s="1"/>
  <c r="E2" i="5"/>
  <c r="D2" i="5"/>
  <c r="C2" i="5"/>
  <c r="V76" i="5" s="1"/>
  <c r="E8" i="5"/>
  <c r="E23" i="5" s="1"/>
  <c r="Q8" i="5"/>
  <c r="E9" i="5"/>
  <c r="E25" i="5" s="1"/>
  <c r="Q9" i="5"/>
  <c r="E10" i="5"/>
  <c r="D10" i="5" s="1"/>
  <c r="Q10" i="5"/>
  <c r="R10" i="5"/>
  <c r="S10" i="5"/>
  <c r="E11" i="5"/>
  <c r="Q11" i="5"/>
  <c r="E12" i="5"/>
  <c r="Q12" i="5"/>
  <c r="E13" i="5"/>
  <c r="D13" i="5" s="1"/>
  <c r="Q13" i="5"/>
  <c r="E14" i="5"/>
  <c r="D14" i="5" s="1"/>
  <c r="Q14" i="5"/>
  <c r="E15" i="5"/>
  <c r="D15" i="5" s="1"/>
  <c r="Q15" i="5"/>
  <c r="E16" i="5"/>
  <c r="D16" i="5" s="1"/>
  <c r="Q16" i="5"/>
  <c r="R16" i="5"/>
  <c r="S16" i="5"/>
  <c r="E17" i="5"/>
  <c r="D17" i="5"/>
  <c r="Q17" i="5"/>
  <c r="R17" i="5"/>
  <c r="S17" i="5"/>
  <c r="E18" i="5"/>
  <c r="Q18" i="5"/>
  <c r="E19" i="5"/>
  <c r="D19" i="5" s="1"/>
  <c r="Q19" i="5"/>
  <c r="R19" i="5"/>
  <c r="S19" i="5"/>
  <c r="F20" i="5"/>
  <c r="F21" i="5" s="1"/>
  <c r="G20" i="5"/>
  <c r="J20" i="5"/>
  <c r="J21" i="5" s="1"/>
  <c r="K20" i="5"/>
  <c r="K21" i="5" s="1"/>
  <c r="M20" i="5"/>
  <c r="M21" i="5" s="1"/>
  <c r="N20" i="5"/>
  <c r="N21" i="5" s="1"/>
  <c r="G21" i="5"/>
  <c r="C23" i="5"/>
  <c r="Q23" i="5" s="1"/>
  <c r="F23" i="5"/>
  <c r="G23" i="5"/>
  <c r="I23" i="5"/>
  <c r="J23" i="5"/>
  <c r="K23" i="5"/>
  <c r="L23" i="5"/>
  <c r="M23" i="5"/>
  <c r="N23" i="5"/>
  <c r="O23" i="5"/>
  <c r="P23" i="5"/>
  <c r="C24" i="5"/>
  <c r="Q24" i="5" s="1"/>
  <c r="F24" i="5"/>
  <c r="G24" i="5"/>
  <c r="I24" i="5"/>
  <c r="J24" i="5"/>
  <c r="K24" i="5"/>
  <c r="M24" i="5"/>
  <c r="N24" i="5"/>
  <c r="O24" i="5"/>
  <c r="P24" i="5"/>
  <c r="C25" i="5"/>
  <c r="F25" i="5"/>
  <c r="G25" i="5"/>
  <c r="I25" i="5"/>
  <c r="J25" i="5"/>
  <c r="K25" i="5"/>
  <c r="M25" i="5"/>
  <c r="N25" i="5"/>
  <c r="O25" i="5"/>
  <c r="Q25" i="5"/>
  <c r="P25" i="5"/>
  <c r="C26" i="5"/>
  <c r="Q26" i="5" s="1"/>
  <c r="F26" i="5"/>
  <c r="G26" i="5"/>
  <c r="I26" i="5"/>
  <c r="J26" i="5"/>
  <c r="K26" i="5"/>
  <c r="M26" i="5"/>
  <c r="N26" i="5"/>
  <c r="O26" i="5"/>
  <c r="P26" i="5"/>
  <c r="C27" i="5"/>
  <c r="F27" i="5"/>
  <c r="G27" i="5"/>
  <c r="I27" i="5"/>
  <c r="J27" i="5"/>
  <c r="L27" i="5"/>
  <c r="M27" i="5"/>
  <c r="N27" i="5"/>
  <c r="O27" i="5"/>
  <c r="P27" i="5"/>
  <c r="C28" i="5"/>
  <c r="F28" i="5"/>
  <c r="G28" i="5"/>
  <c r="J28" i="5"/>
  <c r="K28" i="5"/>
  <c r="M28" i="5"/>
  <c r="N28" i="5"/>
  <c r="O28" i="5"/>
  <c r="P28" i="5"/>
  <c r="Q28" i="5"/>
  <c r="C29" i="5"/>
  <c r="Q29" i="5" s="1"/>
  <c r="F29" i="5"/>
  <c r="G29" i="5"/>
  <c r="J29" i="5"/>
  <c r="K29" i="5"/>
  <c r="M29" i="5"/>
  <c r="N29" i="5"/>
  <c r="O29" i="5"/>
  <c r="P29" i="5"/>
  <c r="C30" i="5"/>
  <c r="Q30" i="5" s="1"/>
  <c r="F30" i="5"/>
  <c r="G30" i="5"/>
  <c r="J30" i="5"/>
  <c r="K30" i="5"/>
  <c r="M30" i="5"/>
  <c r="N30" i="5"/>
  <c r="O30" i="5"/>
  <c r="P30" i="5"/>
  <c r="C31" i="5"/>
  <c r="F31" i="5"/>
  <c r="G31" i="5"/>
  <c r="J31" i="5"/>
  <c r="K31" i="5"/>
  <c r="M31" i="5"/>
  <c r="N31" i="5"/>
  <c r="O31" i="5"/>
  <c r="P31" i="5"/>
  <c r="C32" i="5"/>
  <c r="Q32" i="5" s="1"/>
  <c r="F32" i="5"/>
  <c r="G32" i="5"/>
  <c r="J32" i="5"/>
  <c r="K32" i="5"/>
  <c r="M32" i="5"/>
  <c r="N32" i="5"/>
  <c r="O32" i="5"/>
  <c r="P32" i="5"/>
  <c r="C33" i="5"/>
  <c r="Q33" i="5" s="1"/>
  <c r="F33" i="5"/>
  <c r="G33" i="5"/>
  <c r="J33" i="5"/>
  <c r="K33" i="5"/>
  <c r="M33" i="5"/>
  <c r="N33" i="5"/>
  <c r="O33" i="5"/>
  <c r="P33" i="5"/>
  <c r="C34" i="5"/>
  <c r="F34" i="5"/>
  <c r="G34" i="5"/>
  <c r="J34" i="5"/>
  <c r="K34" i="5"/>
  <c r="M34" i="5"/>
  <c r="N34" i="5"/>
  <c r="O34" i="5"/>
  <c r="P34" i="5"/>
  <c r="Q34" i="5"/>
  <c r="C35" i="5"/>
  <c r="Q35" i="5"/>
  <c r="F35" i="5"/>
  <c r="G35" i="5"/>
  <c r="J35" i="5"/>
  <c r="M35" i="5"/>
  <c r="N35" i="5"/>
  <c r="O35" i="5"/>
  <c r="P35" i="5"/>
  <c r="C37" i="5"/>
  <c r="C43" i="5"/>
  <c r="D43" i="5"/>
  <c r="D44" i="5" s="1"/>
  <c r="E43" i="5"/>
  <c r="E44" i="5" s="1"/>
  <c r="D45" i="5"/>
  <c r="E45" i="5"/>
  <c r="E47" i="5" s="1"/>
  <c r="Z48" i="5"/>
  <c r="AD48" i="5"/>
  <c r="AE48" i="5"/>
  <c r="Z50" i="5"/>
  <c r="X50" i="5" s="1"/>
  <c r="AD50" i="5"/>
  <c r="AE50" i="5"/>
  <c r="AF50" i="5"/>
  <c r="Z52" i="5"/>
  <c r="X52" i="5" s="1"/>
  <c r="AD52" i="5"/>
  <c r="AE52" i="5"/>
  <c r="AF52" i="5"/>
  <c r="Z54" i="5"/>
  <c r="X54" i="5"/>
  <c r="AD54" i="5"/>
  <c r="AE54" i="5"/>
  <c r="AF54" i="5"/>
  <c r="Z56" i="5"/>
  <c r="X56" i="5"/>
  <c r="AD56" i="5"/>
  <c r="AE56" i="5"/>
  <c r="AF56" i="5"/>
  <c r="Z58" i="5"/>
  <c r="X58" i="5" s="1"/>
  <c r="AD58" i="5"/>
  <c r="AE58" i="5"/>
  <c r="Z60" i="5"/>
  <c r="AF60" i="5" s="1"/>
  <c r="X60" i="5"/>
  <c r="AD60" i="5"/>
  <c r="AE60" i="5"/>
  <c r="Z62" i="5"/>
  <c r="X62" i="5" s="1"/>
  <c r="AD62" i="5"/>
  <c r="AE62" i="5"/>
  <c r="Z64" i="5"/>
  <c r="X64" i="5"/>
  <c r="AD64" i="5"/>
  <c r="AE64" i="5"/>
  <c r="AF64" i="5"/>
  <c r="Z66" i="5"/>
  <c r="AD66" i="5"/>
  <c r="AE66" i="5"/>
  <c r="Z68" i="5"/>
  <c r="AF68" i="5" s="1"/>
  <c r="X68" i="5"/>
  <c r="AD68" i="5"/>
  <c r="AE68" i="5"/>
  <c r="Z70" i="5"/>
  <c r="X70" i="5" s="1"/>
  <c r="AD70" i="5"/>
  <c r="AE70" i="5"/>
  <c r="AA71" i="5"/>
  <c r="AA73" i="5"/>
  <c r="V72" i="5"/>
  <c r="AD72" i="5" s="1"/>
  <c r="W72" i="5"/>
  <c r="AE72" i="5" s="1"/>
  <c r="W74" i="5"/>
  <c r="Y72" i="5"/>
  <c r="Y74" i="5"/>
  <c r="AA72" i="5"/>
  <c r="AA74" i="5"/>
  <c r="AB72" i="5"/>
  <c r="AC72" i="5"/>
  <c r="AC74" i="5"/>
  <c r="V74" i="5"/>
  <c r="AB74" i="5"/>
  <c r="V78" i="5"/>
  <c r="AB76" i="5"/>
  <c r="AB78" i="5" s="1"/>
  <c r="AD78" i="5" s="1"/>
  <c r="AA77" i="5"/>
  <c r="P2" i="6"/>
  <c r="P38" i="6"/>
  <c r="O2" i="6"/>
  <c r="O37" i="6" s="1"/>
  <c r="N2" i="6"/>
  <c r="N38" i="6"/>
  <c r="M2" i="6"/>
  <c r="L2" i="6"/>
  <c r="K2" i="6"/>
  <c r="J2" i="6"/>
  <c r="J38" i="6"/>
  <c r="I2" i="6"/>
  <c r="G2" i="6"/>
  <c r="G37" i="6" s="1"/>
  <c r="F2" i="6"/>
  <c r="F37" i="6" s="1"/>
  <c r="F38" i="6"/>
  <c r="C2" i="6"/>
  <c r="E8" i="6"/>
  <c r="D8" i="6"/>
  <c r="D23" i="6" s="1"/>
  <c r="Q8" i="6"/>
  <c r="E9" i="6"/>
  <c r="D9" i="6"/>
  <c r="Q9" i="6"/>
  <c r="R9" i="6"/>
  <c r="S9" i="6"/>
  <c r="E10" i="6"/>
  <c r="D10" i="6" s="1"/>
  <c r="Q10" i="6"/>
  <c r="E11" i="6"/>
  <c r="Q11" i="6"/>
  <c r="R11" i="6"/>
  <c r="S11" i="6"/>
  <c r="E12" i="6"/>
  <c r="D12" i="6" s="1"/>
  <c r="Q12" i="6"/>
  <c r="E13" i="6"/>
  <c r="D13" i="6" s="1"/>
  <c r="Q13" i="6"/>
  <c r="R13" i="6"/>
  <c r="S13" i="6"/>
  <c r="E14" i="6"/>
  <c r="D14" i="6" s="1"/>
  <c r="Q14" i="6"/>
  <c r="R14" i="6"/>
  <c r="S14" i="6"/>
  <c r="E15" i="6"/>
  <c r="D15" i="6"/>
  <c r="Q15" i="6"/>
  <c r="E16" i="6"/>
  <c r="D16" i="6" s="1"/>
  <c r="Q16" i="6"/>
  <c r="R16" i="6"/>
  <c r="S16" i="6"/>
  <c r="Q17" i="6"/>
  <c r="R17" i="6"/>
  <c r="S17" i="6"/>
  <c r="Q18" i="6"/>
  <c r="Q19" i="6"/>
  <c r="F20" i="6"/>
  <c r="F21" i="6"/>
  <c r="G20" i="6"/>
  <c r="I20" i="6"/>
  <c r="I21" i="6"/>
  <c r="J20" i="6"/>
  <c r="K20" i="6"/>
  <c r="K21" i="6"/>
  <c r="L20" i="6"/>
  <c r="M20" i="6"/>
  <c r="M21" i="6"/>
  <c r="N20" i="6"/>
  <c r="Q20" i="6"/>
  <c r="G21" i="6"/>
  <c r="J21" i="6"/>
  <c r="L21" i="6"/>
  <c r="N21" i="6"/>
  <c r="Q21" i="6"/>
  <c r="C23" i="6"/>
  <c r="Q23" i="6" s="1"/>
  <c r="E23" i="6"/>
  <c r="F23" i="6"/>
  <c r="G23" i="6"/>
  <c r="I23" i="6"/>
  <c r="J23" i="6"/>
  <c r="K23" i="6"/>
  <c r="L23" i="6"/>
  <c r="M23" i="6"/>
  <c r="N23" i="6"/>
  <c r="O23" i="6"/>
  <c r="P23" i="6"/>
  <c r="C24" i="6"/>
  <c r="F24" i="6"/>
  <c r="G24" i="6"/>
  <c r="I24" i="6"/>
  <c r="J24" i="6"/>
  <c r="K24" i="6"/>
  <c r="L24" i="6"/>
  <c r="M24" i="6"/>
  <c r="N24" i="6"/>
  <c r="O24" i="6"/>
  <c r="P24" i="6"/>
  <c r="C25" i="6"/>
  <c r="F25" i="6"/>
  <c r="G25" i="6"/>
  <c r="I25" i="6"/>
  <c r="J25" i="6"/>
  <c r="K25" i="6"/>
  <c r="L25" i="6"/>
  <c r="M25" i="6"/>
  <c r="N25" i="6"/>
  <c r="O25" i="6"/>
  <c r="P25" i="6"/>
  <c r="C26" i="6"/>
  <c r="F26" i="6"/>
  <c r="G26" i="6"/>
  <c r="I26" i="6"/>
  <c r="J26" i="6"/>
  <c r="K26" i="6"/>
  <c r="L26" i="6"/>
  <c r="M26" i="6"/>
  <c r="N26" i="6"/>
  <c r="O26" i="6"/>
  <c r="P26" i="6"/>
  <c r="C27" i="6"/>
  <c r="Q27" i="6" s="1"/>
  <c r="F27" i="6"/>
  <c r="G27" i="6"/>
  <c r="I27" i="6"/>
  <c r="J27" i="6"/>
  <c r="L27" i="6"/>
  <c r="M27" i="6"/>
  <c r="N27" i="6"/>
  <c r="O27" i="6"/>
  <c r="P27" i="6"/>
  <c r="C28" i="6"/>
  <c r="Q28" i="6" s="1"/>
  <c r="F28" i="6"/>
  <c r="G28" i="6"/>
  <c r="I28" i="6"/>
  <c r="J28" i="6"/>
  <c r="K28" i="6"/>
  <c r="L28" i="6"/>
  <c r="M28" i="6"/>
  <c r="N28" i="6"/>
  <c r="O28" i="6"/>
  <c r="P28" i="6"/>
  <c r="C29" i="6"/>
  <c r="F29" i="6"/>
  <c r="G29" i="6"/>
  <c r="I29" i="6"/>
  <c r="J29" i="6"/>
  <c r="K29" i="6"/>
  <c r="L29" i="6"/>
  <c r="M29" i="6"/>
  <c r="N29" i="6"/>
  <c r="O29" i="6"/>
  <c r="Q29" i="6" s="1"/>
  <c r="P29" i="6"/>
  <c r="C30" i="6"/>
  <c r="F30" i="6"/>
  <c r="G30" i="6"/>
  <c r="I30" i="6"/>
  <c r="J30" i="6"/>
  <c r="K30" i="6"/>
  <c r="L30" i="6"/>
  <c r="M30" i="6"/>
  <c r="N30" i="6"/>
  <c r="O30" i="6"/>
  <c r="P30" i="6"/>
  <c r="Q30" i="6"/>
  <c r="C31" i="6"/>
  <c r="C37" i="6" s="1"/>
  <c r="F31" i="6"/>
  <c r="G31" i="6"/>
  <c r="I31" i="6"/>
  <c r="J31" i="6"/>
  <c r="J37" i="6" s="1"/>
  <c r="K31" i="6"/>
  <c r="K37" i="6" s="1"/>
  <c r="L31" i="6"/>
  <c r="M31" i="6"/>
  <c r="N31" i="6"/>
  <c r="O31" i="6"/>
  <c r="P31" i="6"/>
  <c r="C32" i="6"/>
  <c r="F32" i="6"/>
  <c r="G32" i="6"/>
  <c r="I32" i="6"/>
  <c r="J32" i="6"/>
  <c r="K32" i="6"/>
  <c r="L32" i="6"/>
  <c r="M32" i="6"/>
  <c r="N32" i="6"/>
  <c r="O32" i="6"/>
  <c r="P32" i="6"/>
  <c r="Q32" i="6"/>
  <c r="C33" i="6"/>
  <c r="F33" i="6"/>
  <c r="G33" i="6"/>
  <c r="I33" i="6"/>
  <c r="J33" i="6"/>
  <c r="K33" i="6"/>
  <c r="L33" i="6"/>
  <c r="M33" i="6"/>
  <c r="N33" i="6"/>
  <c r="O33" i="6"/>
  <c r="Q33" i="6" s="1"/>
  <c r="P33" i="6"/>
  <c r="C34" i="6"/>
  <c r="F34" i="6"/>
  <c r="G34" i="6"/>
  <c r="I34" i="6"/>
  <c r="J34" i="6"/>
  <c r="K34" i="6"/>
  <c r="L34" i="6"/>
  <c r="M34" i="6"/>
  <c r="N34" i="6"/>
  <c r="O34" i="6"/>
  <c r="P34" i="6"/>
  <c r="C35" i="6"/>
  <c r="Q35" i="6" s="1"/>
  <c r="F35" i="6"/>
  <c r="G35" i="6"/>
  <c r="I35" i="6"/>
  <c r="J35" i="6"/>
  <c r="L35" i="6"/>
  <c r="M35" i="6"/>
  <c r="N35" i="6"/>
  <c r="O35" i="6"/>
  <c r="P35" i="6"/>
  <c r="C38" i="6"/>
  <c r="G38" i="6"/>
  <c r="I38" i="6"/>
  <c r="K38" i="6"/>
  <c r="M38" i="6"/>
  <c r="C43" i="6"/>
  <c r="D43" i="6"/>
  <c r="F43" i="6"/>
  <c r="G43" i="6"/>
  <c r="G44" i="6" s="1"/>
  <c r="C45" i="6"/>
  <c r="C46" i="6" s="1"/>
  <c r="D45" i="6"/>
  <c r="D47" i="6" s="1"/>
  <c r="E45" i="6"/>
  <c r="F47" i="6" s="1"/>
  <c r="F45" i="6"/>
  <c r="G45" i="6" s="1"/>
  <c r="G47" i="6" s="1"/>
  <c r="E47" i="6"/>
  <c r="AA47" i="6"/>
  <c r="V48" i="6"/>
  <c r="Y48" i="6"/>
  <c r="AA48" i="6"/>
  <c r="AB48" i="6"/>
  <c r="AB78" i="6"/>
  <c r="AC48" i="6"/>
  <c r="AD48" i="6"/>
  <c r="AA49" i="6"/>
  <c r="V50" i="6"/>
  <c r="V74" i="6"/>
  <c r="W50" i="6"/>
  <c r="Y50" i="6"/>
  <c r="AA50" i="6"/>
  <c r="Z50" i="6" s="1"/>
  <c r="AF50" i="6" s="1"/>
  <c r="Z74" i="6"/>
  <c r="AB50" i="6"/>
  <c r="AB74" i="6"/>
  <c r="AC50" i="6"/>
  <c r="AA51" i="6"/>
  <c r="V52" i="6"/>
  <c r="Y52" i="6"/>
  <c r="AA52" i="6"/>
  <c r="AB52" i="6"/>
  <c r="AD52" i="6" s="1"/>
  <c r="AC52" i="6"/>
  <c r="AA53" i="6"/>
  <c r="Z54" i="6" s="1"/>
  <c r="AF54" i="6" s="1"/>
  <c r="V54" i="6"/>
  <c r="W54" i="6"/>
  <c r="Y54" i="6"/>
  <c r="X54" i="6" s="1"/>
  <c r="AA54" i="6"/>
  <c r="AB54" i="6"/>
  <c r="AC54" i="6"/>
  <c r="AE54" i="6" s="1"/>
  <c r="AA55" i="6"/>
  <c r="V56" i="6"/>
  <c r="Y56" i="6"/>
  <c r="AA56" i="6"/>
  <c r="Z56" i="6"/>
  <c r="AB56" i="6"/>
  <c r="AD56" i="6" s="1"/>
  <c r="AC56" i="6"/>
  <c r="AA57" i="6"/>
  <c r="V58" i="6"/>
  <c r="W58" i="6"/>
  <c r="Y58" i="6"/>
  <c r="AA58" i="6"/>
  <c r="Z58" i="6" s="1"/>
  <c r="AF58" i="6" s="1"/>
  <c r="AB58" i="6"/>
  <c r="AC58" i="6"/>
  <c r="AA59" i="6"/>
  <c r="V60" i="6"/>
  <c r="W60" i="6"/>
  <c r="Y60" i="6"/>
  <c r="AA60" i="6"/>
  <c r="AB60" i="6"/>
  <c r="AD60" i="6" s="1"/>
  <c r="AC60" i="6"/>
  <c r="AE60" i="6" s="1"/>
  <c r="AA61" i="6"/>
  <c r="V62" i="6"/>
  <c r="Y62" i="6"/>
  <c r="AA62" i="6"/>
  <c r="AB62" i="6"/>
  <c r="AC62" i="6"/>
  <c r="AA63" i="6"/>
  <c r="V64" i="6"/>
  <c r="W64" i="6"/>
  <c r="Y64" i="6"/>
  <c r="AA64" i="6"/>
  <c r="Z64" i="6"/>
  <c r="AB64" i="6"/>
  <c r="AD64" i="6" s="1"/>
  <c r="AC64" i="6"/>
  <c r="AA65" i="6"/>
  <c r="V66" i="6"/>
  <c r="W66" i="6"/>
  <c r="Y66" i="6"/>
  <c r="AA66" i="6"/>
  <c r="Z66" i="6"/>
  <c r="AF66" i="6" s="1"/>
  <c r="AB66" i="6"/>
  <c r="AC66" i="6"/>
  <c r="AA67" i="6"/>
  <c r="V68" i="6"/>
  <c r="Y68" i="6"/>
  <c r="AA68" i="6"/>
  <c r="AB68" i="6"/>
  <c r="AD68" i="6" s="1"/>
  <c r="AC68" i="6"/>
  <c r="AA69" i="6"/>
  <c r="Z70" i="6" s="1"/>
  <c r="V70" i="6"/>
  <c r="Y70" i="6"/>
  <c r="AA70" i="6"/>
  <c r="AB70" i="6"/>
  <c r="AD70" i="6" s="1"/>
  <c r="AC70" i="6"/>
  <c r="AA73" i="6"/>
  <c r="W74" i="6"/>
  <c r="AA74" i="6"/>
  <c r="AC74" i="6"/>
  <c r="AE74" i="6"/>
  <c r="AA77" i="6"/>
  <c r="W78" i="6"/>
  <c r="AA78" i="6"/>
  <c r="AC78" i="6"/>
  <c r="U10" i="27"/>
  <c r="V10" i="27"/>
  <c r="J21" i="27"/>
  <c r="Z52" i="27"/>
  <c r="AH52" i="27"/>
  <c r="I23" i="31"/>
  <c r="J23" i="31"/>
  <c r="F35" i="31"/>
  <c r="F36" i="31"/>
  <c r="H9" i="31"/>
  <c r="I24" i="31"/>
  <c r="J24" i="31"/>
  <c r="H2" i="31"/>
  <c r="I2" i="31"/>
  <c r="J2" i="31"/>
  <c r="H10" i="31"/>
  <c r="I25" i="31"/>
  <c r="J25" i="31"/>
  <c r="H11" i="31"/>
  <c r="U11" i="31" s="1"/>
  <c r="V11" i="31"/>
  <c r="J11" i="31"/>
  <c r="I26" i="31"/>
  <c r="J26" i="31"/>
  <c r="H12" i="31"/>
  <c r="J12" i="31"/>
  <c r="J29" i="31" s="1"/>
  <c r="I27" i="31"/>
  <c r="H13" i="31"/>
  <c r="U13" i="31" s="1"/>
  <c r="Z58" i="31"/>
  <c r="AH58" i="31" s="1"/>
  <c r="J13" i="31"/>
  <c r="I28" i="31"/>
  <c r="H14" i="31"/>
  <c r="J14" i="31"/>
  <c r="I29" i="31"/>
  <c r="H15" i="31"/>
  <c r="J15" i="31"/>
  <c r="I30" i="31"/>
  <c r="H16" i="31"/>
  <c r="J16" i="31"/>
  <c r="I31" i="31"/>
  <c r="I37" i="31" s="1"/>
  <c r="I38" i="31"/>
  <c r="J38" i="31"/>
  <c r="H17" i="31"/>
  <c r="H2" i="32"/>
  <c r="I20" i="31"/>
  <c r="I21" i="31"/>
  <c r="J17" i="31"/>
  <c r="J2" i="32" s="1"/>
  <c r="I32" i="31"/>
  <c r="I33" i="31"/>
  <c r="I34" i="31"/>
  <c r="I35" i="31"/>
  <c r="I36" i="31" s="1"/>
  <c r="P20" i="33"/>
  <c r="P21" i="33" s="1"/>
  <c r="X74" i="5"/>
  <c r="X73" i="5" s="1"/>
  <c r="C46" i="5"/>
  <c r="R13" i="1"/>
  <c r="R9" i="1"/>
  <c r="Y78" i="18"/>
  <c r="AG78" i="18" s="1"/>
  <c r="R47" i="18"/>
  <c r="R48" i="18" s="1"/>
  <c r="N48" i="18"/>
  <c r="AI70" i="12"/>
  <c r="U10" i="12"/>
  <c r="Z52" i="12"/>
  <c r="V13" i="12"/>
  <c r="Z60" i="12"/>
  <c r="AK24" i="12"/>
  <c r="AO24" i="12" s="1"/>
  <c r="Z62" i="12"/>
  <c r="AA62" i="12" s="1"/>
  <c r="U15" i="12"/>
  <c r="H17" i="12"/>
  <c r="V18" i="12"/>
  <c r="G67" i="11"/>
  <c r="Z74" i="11"/>
  <c r="AH74" i="11" s="1"/>
  <c r="AC74" i="11"/>
  <c r="AG74" i="11"/>
  <c r="R44" i="11"/>
  <c r="N45" i="11"/>
  <c r="D21" i="11"/>
  <c r="D24" i="11"/>
  <c r="D25" i="11"/>
  <c r="D38" i="11"/>
  <c r="H38" i="11"/>
  <c r="U38" i="11"/>
  <c r="L38" i="11"/>
  <c r="V38" i="11" s="1"/>
  <c r="Y78" i="10"/>
  <c r="AG78" i="10" s="1"/>
  <c r="R47" i="10"/>
  <c r="N48" i="10"/>
  <c r="X74" i="6"/>
  <c r="X73" i="6" s="1"/>
  <c r="V78" i="6"/>
  <c r="AD78" i="6" s="1"/>
  <c r="D21" i="6"/>
  <c r="H38" i="6"/>
  <c r="R38" i="6" s="1"/>
  <c r="L38" i="6"/>
  <c r="D38" i="6"/>
  <c r="S18" i="1"/>
  <c r="S16" i="1"/>
  <c r="R16" i="1"/>
  <c r="AC74" i="18"/>
  <c r="AG74" i="18"/>
  <c r="R38" i="18"/>
  <c r="T38" i="18" s="1"/>
  <c r="L38" i="18"/>
  <c r="AG78" i="12"/>
  <c r="AI60" i="12"/>
  <c r="Y74" i="12"/>
  <c r="AG74" i="12" s="1"/>
  <c r="AC78" i="12"/>
  <c r="D21" i="12"/>
  <c r="C38" i="12"/>
  <c r="T38" i="12" s="1"/>
  <c r="AA74" i="11"/>
  <c r="AA73" i="11" s="1"/>
  <c r="R47" i="11"/>
  <c r="N48" i="11"/>
  <c r="R48" i="11" s="1"/>
  <c r="D2" i="12"/>
  <c r="D38" i="12"/>
  <c r="AA74" i="10"/>
  <c r="Z74" i="10"/>
  <c r="AH74" i="10" s="1"/>
  <c r="AC74" i="10"/>
  <c r="AI74" i="10" s="1"/>
  <c r="AA78" i="10"/>
  <c r="G50" i="10"/>
  <c r="H45" i="10"/>
  <c r="H50" i="10" s="1"/>
  <c r="J21" i="31"/>
  <c r="H38" i="31"/>
  <c r="V38" i="31" s="1"/>
  <c r="Y78" i="6"/>
  <c r="X78" i="6"/>
  <c r="Y74" i="6"/>
  <c r="F46" i="6"/>
  <c r="O38" i="6"/>
  <c r="E21" i="6"/>
  <c r="E38" i="6"/>
  <c r="AC76" i="5"/>
  <c r="AC78" i="5"/>
  <c r="E24" i="5"/>
  <c r="L35" i="2"/>
  <c r="L28" i="1"/>
  <c r="L26" i="1"/>
  <c r="L24" i="1"/>
  <c r="AB78" i="18"/>
  <c r="AB74" i="18"/>
  <c r="AD73" i="18"/>
  <c r="F58" i="18"/>
  <c r="D58" i="18"/>
  <c r="J2" i="18"/>
  <c r="AF78" i="12"/>
  <c r="AB78" i="12"/>
  <c r="AD73" i="12"/>
  <c r="F67" i="12"/>
  <c r="G58" i="12"/>
  <c r="E58" i="12"/>
  <c r="N48" i="12"/>
  <c r="R48" i="12" s="1"/>
  <c r="F47" i="12"/>
  <c r="I38" i="12"/>
  <c r="E38" i="12"/>
  <c r="E27" i="12"/>
  <c r="C67" i="11"/>
  <c r="D70" i="11" s="1"/>
  <c r="C57" i="11"/>
  <c r="D60" i="11"/>
  <c r="AA78" i="11"/>
  <c r="AF78" i="11"/>
  <c r="AD78" i="11"/>
  <c r="AB78" i="11"/>
  <c r="AD74" i="11"/>
  <c r="AB74" i="11"/>
  <c r="E57" i="11"/>
  <c r="E58" i="10"/>
  <c r="AB78" i="10"/>
  <c r="AD77" i="10"/>
  <c r="AB74" i="10"/>
  <c r="AA73" i="10" s="1"/>
  <c r="AD73" i="10"/>
  <c r="E67" i="10"/>
  <c r="F58" i="10"/>
  <c r="E34" i="10"/>
  <c r="E33" i="10"/>
  <c r="E38" i="10"/>
  <c r="E30" i="10"/>
  <c r="D9" i="10"/>
  <c r="D24" i="10" s="1"/>
  <c r="E24" i="10"/>
  <c r="E25" i="10"/>
  <c r="E26" i="10"/>
  <c r="E27" i="10"/>
  <c r="E28" i="10"/>
  <c r="E29" i="10"/>
  <c r="C57" i="9"/>
  <c r="D60" i="9"/>
  <c r="Y76" i="9"/>
  <c r="AC66" i="9"/>
  <c r="AH58" i="9"/>
  <c r="AF74" i="9"/>
  <c r="AF76" i="9"/>
  <c r="AF78" i="9"/>
  <c r="G55" i="9"/>
  <c r="AA52" i="9"/>
  <c r="AE74" i="9"/>
  <c r="N48" i="9"/>
  <c r="R43" i="9"/>
  <c r="R42" i="9"/>
  <c r="AM13" i="9"/>
  <c r="D21" i="9"/>
  <c r="AB78" i="9"/>
  <c r="AK6" i="8"/>
  <c r="D66" i="8"/>
  <c r="X66" i="8"/>
  <c r="AF66" i="8"/>
  <c r="AE74" i="8"/>
  <c r="C38" i="8"/>
  <c r="Q38" i="8" s="1"/>
  <c r="D45" i="7"/>
  <c r="C45" i="8"/>
  <c r="C46" i="8" s="1"/>
  <c r="E45" i="8"/>
  <c r="D45" i="9"/>
  <c r="D44" i="7"/>
  <c r="AE78" i="7"/>
  <c r="AD74" i="7"/>
  <c r="D21" i="7"/>
  <c r="C38" i="7"/>
  <c r="Q38" i="7" s="1"/>
  <c r="F33" i="13"/>
  <c r="E33" i="13"/>
  <c r="D325" i="14"/>
  <c r="D400" i="14"/>
  <c r="F46" i="14"/>
  <c r="E46" i="14" s="1"/>
  <c r="R46" i="14"/>
  <c r="F44" i="14"/>
  <c r="E44" i="14"/>
  <c r="R44" i="14"/>
  <c r="D141" i="14"/>
  <c r="D321" i="14"/>
  <c r="F321" i="14" s="1"/>
  <c r="E321" i="14" s="1"/>
  <c r="F42" i="14"/>
  <c r="E42" i="14" s="1"/>
  <c r="R42" i="14"/>
  <c r="D40" i="14"/>
  <c r="D232" i="14" s="1"/>
  <c r="AI19" i="8"/>
  <c r="AM19" i="8" s="1"/>
  <c r="F38" i="14"/>
  <c r="E38" i="14" s="1"/>
  <c r="R38" i="14"/>
  <c r="F36" i="14"/>
  <c r="E36" i="14"/>
  <c r="R36" i="14"/>
  <c r="F34" i="14"/>
  <c r="E34" i="14" s="1"/>
  <c r="R34" i="14"/>
  <c r="D131" i="14"/>
  <c r="F32" i="14"/>
  <c r="E32" i="14" s="1"/>
  <c r="R32" i="14"/>
  <c r="D129" i="14"/>
  <c r="F30" i="14"/>
  <c r="E30" i="14" s="1"/>
  <c r="R30" i="14"/>
  <c r="F26" i="14"/>
  <c r="E26" i="14" s="1"/>
  <c r="R26" i="14"/>
  <c r="F24" i="14"/>
  <c r="E24" i="14" s="1"/>
  <c r="R24" i="14"/>
  <c r="D121" i="14"/>
  <c r="F22" i="14"/>
  <c r="E22" i="14" s="1"/>
  <c r="R22" i="14"/>
  <c r="F18" i="14"/>
  <c r="E18" i="14"/>
  <c r="R18" i="14"/>
  <c r="F16" i="14"/>
  <c r="E16" i="14" s="1"/>
  <c r="R16" i="14"/>
  <c r="F14" i="14"/>
  <c r="E14" i="14" s="1"/>
  <c r="R14" i="14"/>
  <c r="F10" i="14"/>
  <c r="E10" i="14" s="1"/>
  <c r="R10" i="14"/>
  <c r="F8" i="14"/>
  <c r="E8" i="14"/>
  <c r="R8" i="14"/>
  <c r="D105" i="14"/>
  <c r="F6" i="14"/>
  <c r="E6" i="14" s="1"/>
  <c r="R6" i="14"/>
  <c r="R21" i="10"/>
  <c r="T21" i="10" s="1"/>
  <c r="T20" i="10"/>
  <c r="E67" i="9"/>
  <c r="E57" i="9"/>
  <c r="G57" i="9" s="1"/>
  <c r="H60" i="9" s="1"/>
  <c r="AC56" i="9"/>
  <c r="AD72" i="9"/>
  <c r="AD74" i="9"/>
  <c r="AD78" i="9"/>
  <c r="Y74" i="9"/>
  <c r="AG74" i="9"/>
  <c r="AB72" i="9"/>
  <c r="AB74" i="9"/>
  <c r="AL18" i="8"/>
  <c r="AH26" i="8"/>
  <c r="AK5" i="8"/>
  <c r="C66" i="8"/>
  <c r="C67" i="8" s="1"/>
  <c r="D70" i="8" s="1"/>
  <c r="W78" i="8"/>
  <c r="Z78" i="8"/>
  <c r="AF78" i="8" s="1"/>
  <c r="E45" i="7"/>
  <c r="D45" i="8"/>
  <c r="C45" i="9"/>
  <c r="Z78" i="7"/>
  <c r="AF78" i="7" s="1"/>
  <c r="X74" i="7"/>
  <c r="X73" i="7" s="1"/>
  <c r="X78" i="7"/>
  <c r="V78" i="7"/>
  <c r="AD78" i="7" s="1"/>
  <c r="R38" i="7"/>
  <c r="R13" i="13"/>
  <c r="R15" i="13" s="1"/>
  <c r="F52" i="14"/>
  <c r="E52" i="14" s="1"/>
  <c r="R52" i="14"/>
  <c r="D151" i="14"/>
  <c r="D244" i="14"/>
  <c r="D331" i="14"/>
  <c r="D406" i="14"/>
  <c r="R406" i="14" s="1"/>
  <c r="F51" i="14"/>
  <c r="E51" i="14" s="1"/>
  <c r="R51" i="14"/>
  <c r="D150" i="14"/>
  <c r="D243" i="14"/>
  <c r="D330" i="14"/>
  <c r="D405" i="14"/>
  <c r="F50" i="14"/>
  <c r="E50" i="14" s="1"/>
  <c r="R50" i="14"/>
  <c r="D149" i="14"/>
  <c r="D242" i="14"/>
  <c r="D329" i="14"/>
  <c r="D404" i="14"/>
  <c r="F49" i="14"/>
  <c r="E49" i="14" s="1"/>
  <c r="R49" i="14"/>
  <c r="D148" i="14"/>
  <c r="D241" i="14"/>
  <c r="D328" i="14"/>
  <c r="D403" i="14"/>
  <c r="R48" i="14"/>
  <c r="D147" i="14"/>
  <c r="F47" i="14"/>
  <c r="E47" i="14"/>
  <c r="R47" i="14"/>
  <c r="D239" i="14"/>
  <c r="D144" i="14"/>
  <c r="F144" i="14" s="1"/>
  <c r="E144" i="14" s="1"/>
  <c r="F45" i="14"/>
  <c r="E45" i="14" s="1"/>
  <c r="R45" i="14"/>
  <c r="D399" i="14"/>
  <c r="F43" i="14"/>
  <c r="E43" i="14"/>
  <c r="R43" i="14"/>
  <c r="D41" i="14"/>
  <c r="D233" i="14" s="1"/>
  <c r="C20" i="4"/>
  <c r="Q20" i="4" s="1"/>
  <c r="F39" i="14"/>
  <c r="E39" i="14" s="1"/>
  <c r="R39" i="14"/>
  <c r="F35" i="14"/>
  <c r="E35" i="14"/>
  <c r="R35" i="14"/>
  <c r="F33" i="14"/>
  <c r="E33" i="14"/>
  <c r="R33" i="14"/>
  <c r="D130" i="14"/>
  <c r="F31" i="14"/>
  <c r="E31" i="14" s="1"/>
  <c r="R31" i="14"/>
  <c r="D29" i="14"/>
  <c r="C20" i="3"/>
  <c r="C21" i="3" s="1"/>
  <c r="F27" i="14"/>
  <c r="E27" i="14" s="1"/>
  <c r="R27" i="14"/>
  <c r="F25" i="14"/>
  <c r="E25" i="14" s="1"/>
  <c r="R25" i="14"/>
  <c r="F23" i="14"/>
  <c r="E23" i="14" s="1"/>
  <c r="R23" i="14"/>
  <c r="D120" i="14"/>
  <c r="F21" i="14"/>
  <c r="E21" i="14" s="1"/>
  <c r="R21" i="14"/>
  <c r="R19" i="14"/>
  <c r="D17" i="14"/>
  <c r="F15" i="14"/>
  <c r="E15" i="14"/>
  <c r="R15" i="14"/>
  <c r="F11" i="14"/>
  <c r="E11" i="14" s="1"/>
  <c r="R11" i="14"/>
  <c r="F9" i="14"/>
  <c r="E9" i="14" s="1"/>
  <c r="R9" i="14"/>
  <c r="F7" i="14"/>
  <c r="E7" i="14" s="1"/>
  <c r="R7" i="14"/>
  <c r="AK20" i="9"/>
  <c r="AO20" i="9" s="1"/>
  <c r="E38" i="9"/>
  <c r="D38" i="9"/>
  <c r="E20" i="9"/>
  <c r="E21" i="9"/>
  <c r="F75" i="8"/>
  <c r="C75" i="8"/>
  <c r="F67" i="8"/>
  <c r="G70" i="8" s="1"/>
  <c r="F57" i="8"/>
  <c r="G60" i="8"/>
  <c r="D56" i="8"/>
  <c r="Y78" i="8"/>
  <c r="AA73" i="8"/>
  <c r="N48" i="8"/>
  <c r="O48" i="8" s="1"/>
  <c r="L38" i="8"/>
  <c r="S38" i="8"/>
  <c r="D38" i="8"/>
  <c r="E35" i="8"/>
  <c r="E31" i="8"/>
  <c r="E38" i="8"/>
  <c r="E29" i="8"/>
  <c r="E27" i="8"/>
  <c r="D26" i="8"/>
  <c r="E25" i="8"/>
  <c r="D24" i="8"/>
  <c r="Y78" i="7"/>
  <c r="Y72" i="7"/>
  <c r="Y74" i="7"/>
  <c r="L38" i="7"/>
  <c r="S38" i="7" s="1"/>
  <c r="E34" i="7"/>
  <c r="E32" i="7"/>
  <c r="D38" i="7"/>
  <c r="E30" i="7"/>
  <c r="E28" i="7"/>
  <c r="E27" i="7"/>
  <c r="E25" i="7"/>
  <c r="D24" i="7"/>
  <c r="L21" i="7"/>
  <c r="E21" i="7"/>
  <c r="F32" i="13"/>
  <c r="J28" i="13"/>
  <c r="B24" i="13"/>
  <c r="E12" i="13"/>
  <c r="R419" i="14"/>
  <c r="R417" i="14"/>
  <c r="R415" i="14"/>
  <c r="I69" i="14"/>
  <c r="I68" i="14"/>
  <c r="T68" i="14" s="1"/>
  <c r="I50" i="14"/>
  <c r="T50" i="14" s="1"/>
  <c r="I48" i="14"/>
  <c r="T48" i="14" s="1"/>
  <c r="I47" i="14"/>
  <c r="T47" i="14" s="1"/>
  <c r="I42" i="14"/>
  <c r="I39" i="14"/>
  <c r="T39" i="14" s="1"/>
  <c r="I97" i="14"/>
  <c r="I89" i="14"/>
  <c r="T89" i="14"/>
  <c r="I71" i="14"/>
  <c r="I70" i="14"/>
  <c r="T70" i="14" s="1"/>
  <c r="I58" i="14"/>
  <c r="I54" i="14"/>
  <c r="T54" i="14" s="1"/>
  <c r="T42" i="14"/>
  <c r="S12" i="14"/>
  <c r="T12" i="14"/>
  <c r="R77" i="14"/>
  <c r="I27" i="14"/>
  <c r="T27" i="14" s="1"/>
  <c r="T17" i="14"/>
  <c r="I7" i="14"/>
  <c r="S7" i="14" s="1"/>
  <c r="I19" i="12"/>
  <c r="AE76" i="20"/>
  <c r="F68" i="20"/>
  <c r="E67" i="20"/>
  <c r="AH66" i="20"/>
  <c r="AH64" i="20"/>
  <c r="AH60" i="20"/>
  <c r="AB76" i="20"/>
  <c r="AB78" i="20"/>
  <c r="Y72" i="20"/>
  <c r="F57" i="20"/>
  <c r="G60" i="20" s="1"/>
  <c r="G58" i="20"/>
  <c r="AC56" i="20"/>
  <c r="AC54" i="20"/>
  <c r="AC52" i="20"/>
  <c r="AD74" i="20"/>
  <c r="Z74" i="20"/>
  <c r="AF76" i="20"/>
  <c r="AF78" i="20"/>
  <c r="AC48" i="20"/>
  <c r="AD77" i="20"/>
  <c r="F46" i="20"/>
  <c r="F47" i="20"/>
  <c r="AK11" i="20"/>
  <c r="AO11" i="20"/>
  <c r="U21" i="20"/>
  <c r="H79" i="20"/>
  <c r="AG78" i="23"/>
  <c r="Y74" i="23"/>
  <c r="AG74" i="23" s="1"/>
  <c r="G60" i="23"/>
  <c r="AA52" i="23"/>
  <c r="AI52" i="23"/>
  <c r="AC78" i="23"/>
  <c r="AI78" i="23" s="1"/>
  <c r="AC74" i="23"/>
  <c r="AA68" i="24"/>
  <c r="AI68" i="24"/>
  <c r="AA54" i="24"/>
  <c r="AC74" i="24"/>
  <c r="AI54" i="24"/>
  <c r="R44" i="24"/>
  <c r="N45" i="24"/>
  <c r="AA68" i="20"/>
  <c r="G65" i="20"/>
  <c r="F67" i="20"/>
  <c r="G70" i="20" s="1"/>
  <c r="E65" i="20"/>
  <c r="AC64" i="20"/>
  <c r="AI64" i="20" s="1"/>
  <c r="AC62" i="20"/>
  <c r="AF74" i="20"/>
  <c r="AC50" i="20"/>
  <c r="AD73" i="20"/>
  <c r="AD78" i="20"/>
  <c r="R47" i="20"/>
  <c r="N48" i="20"/>
  <c r="R44" i="20"/>
  <c r="R45" i="20"/>
  <c r="N45" i="20"/>
  <c r="D21" i="20"/>
  <c r="D24" i="20"/>
  <c r="D25" i="20"/>
  <c r="D26" i="20"/>
  <c r="D27" i="20"/>
  <c r="AA62" i="23"/>
  <c r="AI62" i="23"/>
  <c r="R45" i="23"/>
  <c r="R47" i="24"/>
  <c r="N48" i="24"/>
  <c r="R45" i="24"/>
  <c r="Y78" i="24"/>
  <c r="AG78" i="24" s="1"/>
  <c r="I34" i="20"/>
  <c r="E34" i="20"/>
  <c r="I33" i="20"/>
  <c r="E33" i="20"/>
  <c r="I32" i="20"/>
  <c r="E32" i="20"/>
  <c r="I31" i="20"/>
  <c r="I38" i="20"/>
  <c r="E31" i="20"/>
  <c r="I30" i="20"/>
  <c r="E30" i="20"/>
  <c r="I29" i="20"/>
  <c r="E29" i="20"/>
  <c r="I28" i="20"/>
  <c r="E28" i="20"/>
  <c r="I27" i="20"/>
  <c r="E27" i="20"/>
  <c r="I26" i="20"/>
  <c r="E26" i="20"/>
  <c r="I25" i="20"/>
  <c r="E25" i="20"/>
  <c r="I24" i="20"/>
  <c r="E24" i="20"/>
  <c r="I23" i="20"/>
  <c r="E21" i="20"/>
  <c r="L20" i="20"/>
  <c r="I20" i="20"/>
  <c r="I21" i="20"/>
  <c r="C35" i="18"/>
  <c r="T35" i="18" s="1"/>
  <c r="AD76" i="23"/>
  <c r="AD78" i="23"/>
  <c r="AB76" i="23"/>
  <c r="AB78" i="23"/>
  <c r="AD75" i="23"/>
  <c r="AD77" i="23"/>
  <c r="AD73" i="23"/>
  <c r="F67" i="23"/>
  <c r="G67" i="23" s="1"/>
  <c r="D67" i="23"/>
  <c r="E70" i="23" s="1"/>
  <c r="G58" i="23"/>
  <c r="N48" i="23"/>
  <c r="R48" i="23" s="1"/>
  <c r="N45" i="23"/>
  <c r="AB78" i="24"/>
  <c r="AD72" i="24"/>
  <c r="AD74" i="24"/>
  <c r="AB72" i="24"/>
  <c r="AB74" i="24"/>
  <c r="AD71" i="24"/>
  <c r="AD73" i="24"/>
  <c r="E67" i="24"/>
  <c r="G58" i="24"/>
  <c r="C38" i="24"/>
  <c r="T38" i="24" s="1"/>
  <c r="Y76" i="27"/>
  <c r="AC68" i="27"/>
  <c r="F65" i="27"/>
  <c r="E67" i="27"/>
  <c r="F70" i="27" s="1"/>
  <c r="D65" i="27"/>
  <c r="C67" i="27"/>
  <c r="D70" i="27" s="1"/>
  <c r="AH58" i="27"/>
  <c r="AF72" i="27"/>
  <c r="AF74" i="27"/>
  <c r="AF76" i="27"/>
  <c r="AF78" i="27"/>
  <c r="G55" i="27"/>
  <c r="AC52" i="27"/>
  <c r="AD72" i="27"/>
  <c r="AD74" i="27"/>
  <c r="AD76" i="27"/>
  <c r="AD78" i="27"/>
  <c r="AE78" i="27"/>
  <c r="N48" i="27"/>
  <c r="R48" i="27" s="1"/>
  <c r="N45" i="27"/>
  <c r="R43" i="27"/>
  <c r="R42" i="27" s="1"/>
  <c r="R45" i="27" s="1"/>
  <c r="E19" i="18"/>
  <c r="E38" i="20"/>
  <c r="AR19" i="27"/>
  <c r="AP26" i="27"/>
  <c r="J7" i="34"/>
  <c r="J7" i="27"/>
  <c r="I7" i="27" s="1"/>
  <c r="I19" i="24"/>
  <c r="H19" i="24" s="1"/>
  <c r="J2" i="34"/>
  <c r="J2" i="27"/>
  <c r="I17" i="24"/>
  <c r="H17" i="24" s="1"/>
  <c r="V17" i="24" s="1"/>
  <c r="I15" i="24"/>
  <c r="H15" i="24" s="1"/>
  <c r="J35" i="24"/>
  <c r="J36" i="24"/>
  <c r="Y72" i="29"/>
  <c r="AH68" i="29"/>
  <c r="F67" i="29"/>
  <c r="G70" i="29" s="1"/>
  <c r="G65" i="29"/>
  <c r="AA62" i="29"/>
  <c r="AE74" i="29"/>
  <c r="Y76" i="29"/>
  <c r="R47" i="29"/>
  <c r="N48" i="29"/>
  <c r="R48" i="29" s="1"/>
  <c r="AP11" i="29"/>
  <c r="AA62" i="27"/>
  <c r="AC58" i="27"/>
  <c r="AD71" i="27"/>
  <c r="AD73" i="27"/>
  <c r="AD75" i="27"/>
  <c r="AD77" i="27"/>
  <c r="C57" i="27"/>
  <c r="D60" i="27" s="1"/>
  <c r="AA54" i="27"/>
  <c r="Y74" i="27"/>
  <c r="AG74" i="27" s="1"/>
  <c r="AB72" i="27"/>
  <c r="AB74" i="27"/>
  <c r="AB76" i="27"/>
  <c r="AB78" i="27"/>
  <c r="AL11" i="27"/>
  <c r="AP11" i="27"/>
  <c r="T21" i="27"/>
  <c r="AC68" i="29"/>
  <c r="AI68" i="29" s="1"/>
  <c r="AA66" i="29"/>
  <c r="F65" i="29"/>
  <c r="D65" i="29"/>
  <c r="AD72" i="29"/>
  <c r="AD74" i="29"/>
  <c r="Y74" i="29"/>
  <c r="AE76" i="29"/>
  <c r="AE78" i="29"/>
  <c r="R44" i="29"/>
  <c r="N45" i="29"/>
  <c r="D38" i="23"/>
  <c r="C38" i="29"/>
  <c r="T38" i="29"/>
  <c r="T37" i="29"/>
  <c r="E2" i="34"/>
  <c r="E38" i="34"/>
  <c r="D17" i="24"/>
  <c r="E2" i="27"/>
  <c r="E38" i="27"/>
  <c r="D17" i="27"/>
  <c r="D2" i="29" s="1"/>
  <c r="D38" i="29"/>
  <c r="E2" i="29"/>
  <c r="E38" i="29"/>
  <c r="D8" i="27"/>
  <c r="D23" i="27" s="1"/>
  <c r="D17" i="23"/>
  <c r="D2" i="24" s="1"/>
  <c r="D38" i="24"/>
  <c r="E2" i="24"/>
  <c r="E38" i="24"/>
  <c r="C37" i="23"/>
  <c r="AM10" i="34"/>
  <c r="G56" i="34"/>
  <c r="G56" i="31"/>
  <c r="AM10" i="31"/>
  <c r="H21" i="11"/>
  <c r="G79" i="20" s="1"/>
  <c r="AM9" i="34"/>
  <c r="F56" i="34"/>
  <c r="AM9" i="31"/>
  <c r="F56" i="31"/>
  <c r="F58" i="31" s="1"/>
  <c r="E67" i="31"/>
  <c r="AM8" i="34"/>
  <c r="E56" i="34"/>
  <c r="E56" i="31"/>
  <c r="E58" i="31" s="1"/>
  <c r="AM8" i="31"/>
  <c r="H21" i="9"/>
  <c r="AK8" i="24" s="1"/>
  <c r="AC74" i="31"/>
  <c r="AB78" i="29"/>
  <c r="AB72" i="29"/>
  <c r="AB74" i="29"/>
  <c r="AD71" i="29"/>
  <c r="AD73" i="29"/>
  <c r="V21" i="29"/>
  <c r="T21" i="29"/>
  <c r="S37" i="24"/>
  <c r="S38" i="24"/>
  <c r="R37" i="27"/>
  <c r="R38" i="27"/>
  <c r="T38" i="27" s="1"/>
  <c r="H21" i="7"/>
  <c r="AK5" i="20" s="1"/>
  <c r="AO5" i="20" s="1"/>
  <c r="AQ5" i="20" s="1"/>
  <c r="H21" i="6"/>
  <c r="H21" i="23"/>
  <c r="V9" i="23"/>
  <c r="V17" i="23"/>
  <c r="I17" i="27"/>
  <c r="H17" i="27" s="1"/>
  <c r="J2" i="29"/>
  <c r="J37" i="29" s="1"/>
  <c r="I19" i="27"/>
  <c r="H19" i="27" s="1"/>
  <c r="V19" i="27" s="1"/>
  <c r="J7" i="29"/>
  <c r="J35" i="29" s="1"/>
  <c r="J36" i="29" s="1"/>
  <c r="AG78" i="31"/>
  <c r="E20" i="23"/>
  <c r="E21" i="23"/>
  <c r="E43" i="34"/>
  <c r="E43" i="31"/>
  <c r="F44" i="31" s="1"/>
  <c r="C43" i="34"/>
  <c r="C43" i="31"/>
  <c r="P2" i="34"/>
  <c r="P38" i="34"/>
  <c r="AB72" i="31"/>
  <c r="AB74" i="31"/>
  <c r="AD71" i="31"/>
  <c r="AD73" i="31"/>
  <c r="F45" i="31"/>
  <c r="D43" i="31"/>
  <c r="D44" i="31" s="1"/>
  <c r="AP11" i="31"/>
  <c r="D38" i="31"/>
  <c r="D23" i="31"/>
  <c r="E45" i="34"/>
  <c r="E45" i="31"/>
  <c r="C45" i="34"/>
  <c r="C46" i="34"/>
  <c r="C45" i="31"/>
  <c r="AN10" i="34"/>
  <c r="G66" i="34"/>
  <c r="AN10" i="31"/>
  <c r="AN13" i="31" s="1"/>
  <c r="AM23" i="34"/>
  <c r="AM26" i="34"/>
  <c r="AM23" i="31"/>
  <c r="AM26" i="31" s="1"/>
  <c r="AL10" i="34"/>
  <c r="AP10" i="34" s="1"/>
  <c r="AL10" i="31"/>
  <c r="AP10" i="31" s="1"/>
  <c r="AN9" i="34"/>
  <c r="AP9" i="34" s="1"/>
  <c r="F66" i="34"/>
  <c r="AN9" i="31"/>
  <c r="AM22" i="34"/>
  <c r="AM22" i="31"/>
  <c r="AL9" i="34"/>
  <c r="AL9" i="31"/>
  <c r="AK22" i="34"/>
  <c r="AO22" i="34" s="1"/>
  <c r="G75" i="34"/>
  <c r="AK22" i="31"/>
  <c r="AO22" i="31" s="1"/>
  <c r="AN8" i="34"/>
  <c r="E66" i="34"/>
  <c r="E68" i="34" s="1"/>
  <c r="AN8" i="31"/>
  <c r="AM21" i="34"/>
  <c r="AM21" i="31"/>
  <c r="AL8" i="34"/>
  <c r="AL8" i="31"/>
  <c r="AP8" i="31" s="1"/>
  <c r="AN6" i="34"/>
  <c r="AP6" i="34" s="1"/>
  <c r="D66" i="34"/>
  <c r="AN6" i="31"/>
  <c r="AM6" i="34"/>
  <c r="D56" i="34"/>
  <c r="D58" i="34" s="1"/>
  <c r="AM6" i="31"/>
  <c r="AL6" i="34"/>
  <c r="AL6" i="31"/>
  <c r="AK20" i="34"/>
  <c r="AO20" i="34"/>
  <c r="E75" i="34"/>
  <c r="AK20" i="31"/>
  <c r="AO20" i="31" s="1"/>
  <c r="AN5" i="34"/>
  <c r="C66" i="34"/>
  <c r="D68" i="34" s="1"/>
  <c r="C67" i="34"/>
  <c r="D70" i="34" s="1"/>
  <c r="AN5" i="31"/>
  <c r="AM5" i="34"/>
  <c r="C56" i="34"/>
  <c r="C57" i="34" s="1"/>
  <c r="D60" i="34"/>
  <c r="C56" i="31"/>
  <c r="C57" i="31" s="1"/>
  <c r="D60" i="31" s="1"/>
  <c r="AM5" i="31"/>
  <c r="AL5" i="34"/>
  <c r="AP5" i="34" s="1"/>
  <c r="AL5" i="31"/>
  <c r="AK19" i="34"/>
  <c r="AO19" i="34" s="1"/>
  <c r="D75" i="34"/>
  <c r="AK19" i="31"/>
  <c r="AO19" i="31" s="1"/>
  <c r="AN4" i="34"/>
  <c r="AN13" i="34" s="1"/>
  <c r="AN4" i="31"/>
  <c r="AM4" i="34"/>
  <c r="AM4" i="31"/>
  <c r="AL4" i="34"/>
  <c r="AL4" i="31"/>
  <c r="AP4" i="31" s="1"/>
  <c r="H8" i="23"/>
  <c r="D75" i="31"/>
  <c r="F66" i="31"/>
  <c r="F67" i="31" s="1"/>
  <c r="G67" i="31" s="1"/>
  <c r="H70" i="31" s="1"/>
  <c r="D66" i="31"/>
  <c r="D56" i="31"/>
  <c r="R47" i="31"/>
  <c r="N48" i="31"/>
  <c r="R48" i="31" s="1"/>
  <c r="D45" i="31"/>
  <c r="R44" i="31"/>
  <c r="R45" i="31" s="1"/>
  <c r="N45" i="31"/>
  <c r="F43" i="31"/>
  <c r="G44" i="31" s="1"/>
  <c r="J2" i="33"/>
  <c r="E2" i="33"/>
  <c r="E37" i="33" s="1"/>
  <c r="E38" i="33" s="1"/>
  <c r="L2" i="33"/>
  <c r="H17" i="32"/>
  <c r="H2" i="33" s="1"/>
  <c r="H13" i="32"/>
  <c r="V13" i="32" s="1"/>
  <c r="P35" i="32"/>
  <c r="P36" i="32"/>
  <c r="L35" i="32"/>
  <c r="E35" i="32"/>
  <c r="E36" i="32"/>
  <c r="J35" i="32"/>
  <c r="J36" i="32"/>
  <c r="T37" i="33"/>
  <c r="C38" i="33"/>
  <c r="T38" i="33" s="1"/>
  <c r="P2" i="32"/>
  <c r="D17" i="31"/>
  <c r="D2" i="32"/>
  <c r="P2" i="33"/>
  <c r="D17" i="32"/>
  <c r="D2" i="33" s="1"/>
  <c r="AA64" i="34"/>
  <c r="AI64" i="34"/>
  <c r="U8" i="32"/>
  <c r="U19" i="33"/>
  <c r="D8" i="33"/>
  <c r="E35" i="33"/>
  <c r="J35" i="33"/>
  <c r="J36" i="33" s="1"/>
  <c r="R47" i="34"/>
  <c r="N48" i="34"/>
  <c r="AR22" i="34"/>
  <c r="AC58" i="34"/>
  <c r="R44" i="34"/>
  <c r="R45" i="34" s="1"/>
  <c r="N45" i="34"/>
  <c r="U19" i="34"/>
  <c r="V19" i="34"/>
  <c r="U18" i="34"/>
  <c r="V18" i="34"/>
  <c r="U17" i="34"/>
  <c r="V17" i="34"/>
  <c r="U16" i="34"/>
  <c r="V16" i="34"/>
  <c r="U15" i="34"/>
  <c r="V15" i="34"/>
  <c r="U14" i="34"/>
  <c r="V14" i="34"/>
  <c r="U12" i="34"/>
  <c r="V12" i="34"/>
  <c r="U10" i="34"/>
  <c r="V10" i="34"/>
  <c r="H9" i="34"/>
  <c r="Z50" i="34" s="1"/>
  <c r="AI50" i="34" s="1"/>
  <c r="I21" i="34"/>
  <c r="AK8" i="34"/>
  <c r="AO8" i="34" s="1"/>
  <c r="E79" i="34"/>
  <c r="AK8" i="31"/>
  <c r="AO8" i="31" s="1"/>
  <c r="E79" i="29"/>
  <c r="E79" i="27"/>
  <c r="E79" i="23"/>
  <c r="AK8" i="27"/>
  <c r="AK8" i="23"/>
  <c r="E79" i="20"/>
  <c r="AK11" i="9"/>
  <c r="AO11" i="9" s="1"/>
  <c r="H79" i="9"/>
  <c r="AK8" i="12"/>
  <c r="AO8" i="12" s="1"/>
  <c r="AK10" i="10"/>
  <c r="AO10" i="10" s="1"/>
  <c r="G79" i="10"/>
  <c r="E79" i="18"/>
  <c r="V21" i="9"/>
  <c r="U13" i="32"/>
  <c r="R48" i="34"/>
  <c r="D47" i="31"/>
  <c r="D67" i="31"/>
  <c r="E70" i="31" s="1"/>
  <c r="L38" i="34"/>
  <c r="D67" i="34"/>
  <c r="E70" i="34" s="1"/>
  <c r="AP8" i="34"/>
  <c r="AR8" i="34" s="1"/>
  <c r="E67" i="34"/>
  <c r="G67" i="34" s="1"/>
  <c r="H70" i="34" s="1"/>
  <c r="F68" i="34"/>
  <c r="F67" i="34"/>
  <c r="G70" i="34"/>
  <c r="AL13" i="34"/>
  <c r="G68" i="34"/>
  <c r="D21" i="31"/>
  <c r="F47" i="31"/>
  <c r="J38" i="29"/>
  <c r="AA78" i="29"/>
  <c r="AA77" i="29" s="1"/>
  <c r="AK4" i="34"/>
  <c r="AO4" i="34" s="1"/>
  <c r="AK4" i="31"/>
  <c r="AO4" i="31" s="1"/>
  <c r="AK4" i="29"/>
  <c r="AO4" i="29" s="1"/>
  <c r="AK4" i="24"/>
  <c r="AO4" i="24" s="1"/>
  <c r="AK4" i="20"/>
  <c r="AO4" i="20" s="1"/>
  <c r="AK4" i="27"/>
  <c r="AO4" i="27"/>
  <c r="AK4" i="23"/>
  <c r="AO4" i="23" s="1"/>
  <c r="F79" i="8"/>
  <c r="AH9" i="8"/>
  <c r="AL9" i="8" s="1"/>
  <c r="C79" i="11"/>
  <c r="AK4" i="12"/>
  <c r="AO4" i="12" s="1"/>
  <c r="E79" i="9"/>
  <c r="AK6" i="10"/>
  <c r="AO6" i="10" s="1"/>
  <c r="AK5" i="11"/>
  <c r="AO5" i="11" s="1"/>
  <c r="AQ6" i="11" s="1"/>
  <c r="AK4" i="18"/>
  <c r="AO4" i="18" s="1"/>
  <c r="R21" i="6"/>
  <c r="C79" i="34"/>
  <c r="AK5" i="31"/>
  <c r="AO5" i="31" s="1"/>
  <c r="AK5" i="24"/>
  <c r="AO5" i="24" s="1"/>
  <c r="C79" i="23"/>
  <c r="AK9" i="9"/>
  <c r="AO9" i="9" s="1"/>
  <c r="AK6" i="11"/>
  <c r="AO6" i="11" s="1"/>
  <c r="D79" i="11"/>
  <c r="AK5" i="18"/>
  <c r="AO5" i="18" s="1"/>
  <c r="AQ5" i="18" s="1"/>
  <c r="C79" i="18"/>
  <c r="E57" i="34"/>
  <c r="G57" i="34" s="1"/>
  <c r="H60" i="34" s="1"/>
  <c r="F70" i="31"/>
  <c r="AM13" i="31"/>
  <c r="G58" i="34"/>
  <c r="C38" i="23"/>
  <c r="T38" i="23" s="1"/>
  <c r="T37" i="23"/>
  <c r="D24" i="27"/>
  <c r="D21" i="27"/>
  <c r="Z74" i="29"/>
  <c r="AH74" i="29" s="1"/>
  <c r="AC78" i="29"/>
  <c r="I38" i="24"/>
  <c r="I21" i="24"/>
  <c r="J38" i="27"/>
  <c r="I7" i="34"/>
  <c r="AI52" i="27"/>
  <c r="AA52" i="27"/>
  <c r="AA78" i="27"/>
  <c r="AA77" i="27" s="1"/>
  <c r="Y78" i="27"/>
  <c r="AG78" i="27"/>
  <c r="H70" i="23"/>
  <c r="G70" i="23"/>
  <c r="R48" i="24"/>
  <c r="AC78" i="24"/>
  <c r="G45" i="20"/>
  <c r="Y74" i="20"/>
  <c r="AG74" i="20" s="1"/>
  <c r="G67" i="20"/>
  <c r="H70" i="20" s="1"/>
  <c r="F70" i="20"/>
  <c r="S27" i="14"/>
  <c r="AA64" i="20"/>
  <c r="S58" i="14"/>
  <c r="S42" i="14"/>
  <c r="S50" i="14"/>
  <c r="S68" i="14"/>
  <c r="T69" i="14"/>
  <c r="S69" i="14"/>
  <c r="S21" i="7"/>
  <c r="D58" i="8"/>
  <c r="D57" i="8"/>
  <c r="E60" i="8"/>
  <c r="Q20" i="3"/>
  <c r="C21" i="4"/>
  <c r="AL5" i="9" s="1"/>
  <c r="AP5" i="9" s="1"/>
  <c r="F399" i="14"/>
  <c r="E399" i="14" s="1"/>
  <c r="R399" i="14"/>
  <c r="F403" i="14"/>
  <c r="E403" i="14" s="1"/>
  <c r="R403" i="14"/>
  <c r="F404" i="14"/>
  <c r="E404" i="14" s="1"/>
  <c r="F242" i="14"/>
  <c r="E242" i="14" s="1"/>
  <c r="F405" i="14"/>
  <c r="E405" i="14" s="1"/>
  <c r="R405" i="14"/>
  <c r="F243" i="14"/>
  <c r="E243" i="14" s="1"/>
  <c r="F406" i="14"/>
  <c r="E406" i="14" s="1"/>
  <c r="F244" i="14"/>
  <c r="E244" i="14"/>
  <c r="AA78" i="9"/>
  <c r="AA77" i="9" s="1"/>
  <c r="Z74" i="9"/>
  <c r="AH74" i="9" s="1"/>
  <c r="F70" i="9"/>
  <c r="D113" i="14"/>
  <c r="D309" i="14"/>
  <c r="R141" i="14"/>
  <c r="D47" i="9"/>
  <c r="D46" i="9"/>
  <c r="D46" i="7"/>
  <c r="D47" i="7"/>
  <c r="Z74" i="8"/>
  <c r="AF74" i="8" s="1"/>
  <c r="AA74" i="9"/>
  <c r="AA73" i="9" s="1"/>
  <c r="Y78" i="9"/>
  <c r="AG78" i="9"/>
  <c r="E47" i="9"/>
  <c r="D21" i="10"/>
  <c r="D25" i="10"/>
  <c r="D26" i="10"/>
  <c r="D38" i="10"/>
  <c r="F70" i="10"/>
  <c r="F60" i="11"/>
  <c r="Z78" i="11"/>
  <c r="AH78" i="11" s="1"/>
  <c r="J37" i="18"/>
  <c r="J38" i="18"/>
  <c r="AA78" i="18"/>
  <c r="AA77" i="18" s="1"/>
  <c r="Z74" i="5"/>
  <c r="AF74" i="5" s="1"/>
  <c r="Z78" i="6"/>
  <c r="AF78" i="6" s="1"/>
  <c r="AA77" i="10"/>
  <c r="I21" i="12"/>
  <c r="V17" i="12"/>
  <c r="Z66" i="12"/>
  <c r="AH66" i="12" s="1"/>
  <c r="U17" i="12"/>
  <c r="AC74" i="12"/>
  <c r="AC78" i="18"/>
  <c r="H21" i="34"/>
  <c r="D57" i="31"/>
  <c r="E60" i="31" s="1"/>
  <c r="D58" i="31"/>
  <c r="G70" i="31"/>
  <c r="AC78" i="34"/>
  <c r="Z48" i="23"/>
  <c r="AH48" i="23" s="1"/>
  <c r="AQ20" i="34"/>
  <c r="D47" i="34"/>
  <c r="E47" i="34"/>
  <c r="I38" i="29"/>
  <c r="I21" i="27"/>
  <c r="U21" i="23"/>
  <c r="AK11" i="23"/>
  <c r="AO11" i="23"/>
  <c r="H79" i="23"/>
  <c r="AC78" i="31"/>
  <c r="E57" i="31"/>
  <c r="E68" i="31"/>
  <c r="H21" i="10"/>
  <c r="F79" i="20" s="1"/>
  <c r="F58" i="34"/>
  <c r="F57" i="34"/>
  <c r="G60" i="34" s="1"/>
  <c r="AK10" i="34"/>
  <c r="AK13" i="34" s="1"/>
  <c r="G79" i="34"/>
  <c r="G79" i="31"/>
  <c r="G79" i="29"/>
  <c r="AK10" i="29"/>
  <c r="AK13" i="29" s="1"/>
  <c r="G79" i="23"/>
  <c r="AK10" i="20"/>
  <c r="AK10" i="27"/>
  <c r="AK13" i="27" s="1"/>
  <c r="G79" i="27"/>
  <c r="G79" i="24"/>
  <c r="U21" i="11"/>
  <c r="G79" i="12"/>
  <c r="H79" i="11"/>
  <c r="AM13" i="34"/>
  <c r="T37" i="27"/>
  <c r="D2" i="34"/>
  <c r="D38" i="34"/>
  <c r="D2" i="27"/>
  <c r="D38" i="27"/>
  <c r="D21" i="23"/>
  <c r="V21" i="23"/>
  <c r="Y78" i="29"/>
  <c r="AG78" i="29" s="1"/>
  <c r="I2" i="34"/>
  <c r="I38" i="34"/>
  <c r="I2" i="27"/>
  <c r="I38" i="27"/>
  <c r="J38" i="34"/>
  <c r="D19" i="18"/>
  <c r="E35" i="20"/>
  <c r="F70" i="24"/>
  <c r="L21" i="20"/>
  <c r="V21" i="20" s="1"/>
  <c r="D21" i="24"/>
  <c r="AA68" i="29"/>
  <c r="AA74" i="29"/>
  <c r="AA73" i="29"/>
  <c r="AC74" i="20"/>
  <c r="L21" i="18"/>
  <c r="AH74" i="20"/>
  <c r="AE78" i="20"/>
  <c r="AG78" i="20"/>
  <c r="S54" i="14"/>
  <c r="S70" i="14"/>
  <c r="T71" i="14"/>
  <c r="S71" i="14"/>
  <c r="S89" i="14"/>
  <c r="S39" i="14"/>
  <c r="S47" i="14"/>
  <c r="S48" i="14"/>
  <c r="I28" i="13"/>
  <c r="H28" i="13"/>
  <c r="J32" i="13"/>
  <c r="I32" i="13" s="1"/>
  <c r="I34" i="13" s="1"/>
  <c r="E42" i="13" s="1"/>
  <c r="E44" i="13" s="1"/>
  <c r="R17" i="14"/>
  <c r="D128" i="14"/>
  <c r="F128" i="14" s="1"/>
  <c r="E128" i="14" s="1"/>
  <c r="D221" i="14"/>
  <c r="F29" i="14"/>
  <c r="E29" i="14"/>
  <c r="R29" i="14"/>
  <c r="R130" i="14"/>
  <c r="D320" i="14"/>
  <c r="F41" i="14"/>
  <c r="E41" i="14" s="1"/>
  <c r="R41" i="14"/>
  <c r="F329" i="14"/>
  <c r="E329" i="14" s="1"/>
  <c r="F151" i="14"/>
  <c r="E151" i="14" s="1"/>
  <c r="E47" i="7"/>
  <c r="X74" i="8"/>
  <c r="X73" i="8" s="1"/>
  <c r="Z78" i="9"/>
  <c r="D386" i="14"/>
  <c r="F386" i="14" s="1"/>
  <c r="E386" i="14" s="1"/>
  <c r="D224" i="14"/>
  <c r="D390" i="14"/>
  <c r="R390" i="14" s="1"/>
  <c r="F400" i="14"/>
  <c r="E400" i="14"/>
  <c r="R400" i="14"/>
  <c r="E46" i="8"/>
  <c r="F47" i="8"/>
  <c r="E47" i="8"/>
  <c r="X78" i="8"/>
  <c r="X77" i="8"/>
  <c r="D67" i="8"/>
  <c r="E70" i="8" s="1"/>
  <c r="AO20" i="8"/>
  <c r="AI66" i="9"/>
  <c r="AA66" i="9"/>
  <c r="G70" i="12"/>
  <c r="U38" i="31"/>
  <c r="H21" i="31"/>
  <c r="AK11" i="31" s="1"/>
  <c r="AO11" i="31" s="1"/>
  <c r="S21" i="6"/>
  <c r="AC78" i="10"/>
  <c r="AI78" i="10"/>
  <c r="AC78" i="11"/>
  <c r="AI78" i="11" s="1"/>
  <c r="I2" i="18"/>
  <c r="I37" i="18" s="1"/>
  <c r="I38" i="18"/>
  <c r="AA60" i="12"/>
  <c r="AH60" i="12"/>
  <c r="AH52" i="12"/>
  <c r="Z74" i="31"/>
  <c r="AH74" i="31" s="1"/>
  <c r="AA74" i="31"/>
  <c r="AA73" i="31"/>
  <c r="AA78" i="31"/>
  <c r="AA77" i="31"/>
  <c r="AC78" i="9"/>
  <c r="AI78" i="9" s="1"/>
  <c r="AC74" i="9"/>
  <c r="Z78" i="12"/>
  <c r="AH78" i="12" s="1"/>
  <c r="AC78" i="20"/>
  <c r="G47" i="20"/>
  <c r="G50" i="20"/>
  <c r="H45" i="20"/>
  <c r="H50" i="20" s="1"/>
  <c r="L38" i="20"/>
  <c r="AC74" i="27"/>
  <c r="Z62" i="24"/>
  <c r="AI62" i="24" s="1"/>
  <c r="Z78" i="20"/>
  <c r="AH78" i="20"/>
  <c r="H38" i="12"/>
  <c r="H21" i="12"/>
  <c r="V21" i="12" s="1"/>
  <c r="Z78" i="31"/>
  <c r="AH78" i="31" s="1"/>
  <c r="AA78" i="20"/>
  <c r="AA74" i="20"/>
  <c r="AA73" i="20" s="1"/>
  <c r="H21" i="18"/>
  <c r="V21" i="18" s="1"/>
  <c r="D38" i="20"/>
  <c r="AO10" i="27"/>
  <c r="AO13" i="27" s="1"/>
  <c r="AK9" i="34"/>
  <c r="F79" i="34"/>
  <c r="AK9" i="31"/>
  <c r="AO9" i="31" s="1"/>
  <c r="F79" i="31"/>
  <c r="AK9" i="27"/>
  <c r="AO9" i="27" s="1"/>
  <c r="F79" i="27"/>
  <c r="F79" i="24"/>
  <c r="AK9" i="24"/>
  <c r="AO9" i="24" s="1"/>
  <c r="AK9" i="23"/>
  <c r="AO9" i="23" s="1"/>
  <c r="F79" i="23"/>
  <c r="AK11" i="10"/>
  <c r="AO11" i="10" s="1"/>
  <c r="H79" i="10"/>
  <c r="G79" i="11"/>
  <c r="F79" i="18"/>
  <c r="U21" i="10"/>
  <c r="AK9" i="18"/>
  <c r="AO9" i="18"/>
  <c r="F60" i="31"/>
  <c r="Z66" i="27"/>
  <c r="H79" i="34"/>
  <c r="Z74" i="12"/>
  <c r="AA78" i="12"/>
  <c r="AA77" i="12" s="1"/>
  <c r="AA74" i="12"/>
  <c r="AA73" i="12" s="1"/>
  <c r="AA74" i="18"/>
  <c r="AA73" i="18" s="1"/>
  <c r="AC74" i="29"/>
  <c r="AC78" i="27"/>
  <c r="F60" i="34"/>
  <c r="AR10" i="34"/>
  <c r="AC74" i="34"/>
  <c r="H38" i="20"/>
  <c r="U38" i="20"/>
  <c r="AA74" i="34"/>
  <c r="AA73" i="34" s="1"/>
  <c r="AA78" i="34"/>
  <c r="AA77" i="34" s="1"/>
  <c r="AI78" i="20"/>
  <c r="H38" i="18"/>
  <c r="Z74" i="23"/>
  <c r="AA78" i="23"/>
  <c r="AA77" i="23" s="1"/>
  <c r="AA74" i="23"/>
  <c r="AA73" i="23"/>
  <c r="AI74" i="31"/>
  <c r="Z74" i="18"/>
  <c r="Z74" i="34"/>
  <c r="AH74" i="34"/>
  <c r="H21" i="27"/>
  <c r="AA74" i="27"/>
  <c r="AA73" i="27"/>
  <c r="U21" i="18"/>
  <c r="H79" i="18"/>
  <c r="V38" i="12"/>
  <c r="U38" i="12"/>
  <c r="H21" i="24"/>
  <c r="AK11" i="24" s="1"/>
  <c r="Z78" i="18"/>
  <c r="AH78" i="18" s="1"/>
  <c r="H38" i="23"/>
  <c r="U38" i="23" s="1"/>
  <c r="Z78" i="23"/>
  <c r="AH78" i="23" s="1"/>
  <c r="AO11" i="24"/>
  <c r="U21" i="24"/>
  <c r="H38" i="27"/>
  <c r="V38" i="27" s="1"/>
  <c r="Z78" i="29"/>
  <c r="Z74" i="27"/>
  <c r="AI74" i="27" s="1"/>
  <c r="AH74" i="18"/>
  <c r="AI74" i="18"/>
  <c r="H38" i="24"/>
  <c r="U38" i="24" s="1"/>
  <c r="Z74" i="24"/>
  <c r="AI74" i="24" s="1"/>
  <c r="Z78" i="34"/>
  <c r="V38" i="23"/>
  <c r="Z78" i="27"/>
  <c r="AH78" i="27" s="1"/>
  <c r="H38" i="29"/>
  <c r="AI74" i="34"/>
  <c r="U38" i="18"/>
  <c r="V38" i="18"/>
  <c r="Z78" i="24"/>
  <c r="AI78" i="24" s="1"/>
  <c r="AA74" i="24"/>
  <c r="AA73" i="24" s="1"/>
  <c r="AA78" i="24"/>
  <c r="H38" i="34"/>
  <c r="U38" i="34"/>
  <c r="K21" i="33"/>
  <c r="K34" i="33"/>
  <c r="K20" i="33"/>
  <c r="J19" i="33"/>
  <c r="J34" i="33" s="1"/>
  <c r="M20" i="33"/>
  <c r="M34" i="33"/>
  <c r="M21" i="33"/>
  <c r="L19" i="33"/>
  <c r="V19" i="33"/>
  <c r="F34" i="33"/>
  <c r="F21" i="33"/>
  <c r="F20" i="33"/>
  <c r="E34" i="33"/>
  <c r="D19" i="33"/>
  <c r="E20" i="33"/>
  <c r="E21" i="33"/>
  <c r="P28" i="35"/>
  <c r="V11" i="35"/>
  <c r="V12" i="35"/>
  <c r="V17" i="35"/>
  <c r="V18" i="35"/>
  <c r="P35" i="35"/>
  <c r="P36" i="35"/>
  <c r="P20" i="35"/>
  <c r="P21" i="35"/>
  <c r="L23" i="35"/>
  <c r="V23" i="35" s="1"/>
  <c r="P24" i="35"/>
  <c r="P26" i="35"/>
  <c r="E23" i="35"/>
  <c r="P30" i="35"/>
  <c r="P32" i="35"/>
  <c r="P34" i="35"/>
  <c r="T26" i="35"/>
  <c r="P33" i="35"/>
  <c r="P31" i="35"/>
  <c r="P37" i="35" s="1"/>
  <c r="P38" i="35" s="1"/>
  <c r="P29" i="35"/>
  <c r="P27" i="35"/>
  <c r="C24" i="35"/>
  <c r="T24" i="35"/>
  <c r="C25" i="35"/>
  <c r="T25" i="35"/>
  <c r="F24" i="35"/>
  <c r="E9" i="35"/>
  <c r="E24" i="35" s="1"/>
  <c r="I24" i="35"/>
  <c r="K24" i="35"/>
  <c r="J9" i="35"/>
  <c r="M24" i="35"/>
  <c r="L9" i="35"/>
  <c r="H9" i="35"/>
  <c r="F26" i="35"/>
  <c r="F27" i="35"/>
  <c r="F25" i="35"/>
  <c r="E10" i="35"/>
  <c r="E35" i="35" s="1"/>
  <c r="I25" i="35"/>
  <c r="I27" i="35"/>
  <c r="I26" i="35"/>
  <c r="K27" i="35"/>
  <c r="K25" i="35"/>
  <c r="K26" i="35"/>
  <c r="J10" i="35"/>
  <c r="J25" i="35"/>
  <c r="M26" i="35"/>
  <c r="M25" i="35"/>
  <c r="M27" i="35"/>
  <c r="L10" i="35"/>
  <c r="L34" i="35" s="1"/>
  <c r="V8" i="35"/>
  <c r="U8" i="35"/>
  <c r="H23" i="35"/>
  <c r="L24" i="35"/>
  <c r="P25" i="35"/>
  <c r="E26" i="35"/>
  <c r="U23" i="35"/>
  <c r="T36" i="35"/>
  <c r="C34" i="35"/>
  <c r="T34" i="35"/>
  <c r="C35" i="35"/>
  <c r="T35" i="35"/>
  <c r="C31" i="35"/>
  <c r="C37" i="35"/>
  <c r="C27" i="35"/>
  <c r="T27" i="35" s="1"/>
  <c r="C21" i="35"/>
  <c r="T21" i="35" s="1"/>
  <c r="C33" i="35"/>
  <c r="T33" i="35" s="1"/>
  <c r="C32" i="35"/>
  <c r="T32" i="35"/>
  <c r="C29" i="35"/>
  <c r="T29" i="35"/>
  <c r="C28" i="35"/>
  <c r="T28" i="35"/>
  <c r="E12" i="35"/>
  <c r="T12" i="35"/>
  <c r="C30" i="35"/>
  <c r="T30" i="35"/>
  <c r="O28" i="35"/>
  <c r="O29" i="35"/>
  <c r="O30" i="35"/>
  <c r="O31" i="35"/>
  <c r="O37" i="35" s="1"/>
  <c r="O38" i="35" s="1"/>
  <c r="O32" i="35"/>
  <c r="O33" i="35"/>
  <c r="O34" i="35"/>
  <c r="O35" i="35"/>
  <c r="F28" i="35"/>
  <c r="F34" i="35"/>
  <c r="F33" i="35"/>
  <c r="F29" i="35"/>
  <c r="F20" i="35"/>
  <c r="F35" i="35"/>
  <c r="F30" i="35"/>
  <c r="F32" i="35"/>
  <c r="F21" i="35"/>
  <c r="F36" i="35"/>
  <c r="E36" i="35" s="1"/>
  <c r="D36" i="35" s="1"/>
  <c r="F31" i="35"/>
  <c r="F37" i="35" s="1"/>
  <c r="F38" i="35" s="1"/>
  <c r="E13" i="35"/>
  <c r="D13" i="35" s="1"/>
  <c r="E33" i="35"/>
  <c r="E28" i="35"/>
  <c r="E32" i="35"/>
  <c r="I28" i="35"/>
  <c r="K28" i="35"/>
  <c r="K33" i="35"/>
  <c r="K20" i="35"/>
  <c r="K32" i="35"/>
  <c r="K34" i="35"/>
  <c r="K29" i="35"/>
  <c r="K36" i="35"/>
  <c r="K30" i="35"/>
  <c r="K21" i="35"/>
  <c r="K35" i="35"/>
  <c r="J13" i="35"/>
  <c r="K31" i="35"/>
  <c r="K37" i="35"/>
  <c r="K38" i="35" s="1"/>
  <c r="M20" i="35"/>
  <c r="M33" i="35"/>
  <c r="M32" i="35"/>
  <c r="M29" i="35"/>
  <c r="M36" i="35"/>
  <c r="M28" i="35"/>
  <c r="M21" i="35"/>
  <c r="M34" i="35"/>
  <c r="M35" i="35"/>
  <c r="M30" i="35"/>
  <c r="M31" i="35"/>
  <c r="M37" i="35" s="1"/>
  <c r="M38" i="35" s="1"/>
  <c r="L13" i="35"/>
  <c r="H13" i="35" s="1"/>
  <c r="U13" i="35" s="1"/>
  <c r="V13" i="35"/>
  <c r="I29" i="35"/>
  <c r="J14" i="35"/>
  <c r="H14" i="35"/>
  <c r="U14" i="35" s="1"/>
  <c r="V14" i="35"/>
  <c r="I30" i="35"/>
  <c r="H15" i="35"/>
  <c r="V15" i="35" s="1"/>
  <c r="U15" i="35"/>
  <c r="J15" i="35"/>
  <c r="C38" i="35"/>
  <c r="T38" i="35" s="1"/>
  <c r="T37" i="35"/>
  <c r="T31" i="35"/>
  <c r="I20" i="35"/>
  <c r="I21" i="35"/>
  <c r="I32" i="35"/>
  <c r="I33" i="35"/>
  <c r="I34" i="35"/>
  <c r="I35" i="35"/>
  <c r="I36" i="35"/>
  <c r="I31" i="35"/>
  <c r="I37" i="35" s="1"/>
  <c r="I38" i="35" s="1"/>
  <c r="H16" i="35"/>
  <c r="V16" i="35" s="1"/>
  <c r="U16" i="35"/>
  <c r="J16" i="35"/>
  <c r="T23" i="36"/>
  <c r="T25" i="36"/>
  <c r="T27" i="36"/>
  <c r="J27" i="36"/>
  <c r="V9" i="36"/>
  <c r="V10" i="36"/>
  <c r="V11" i="36"/>
  <c r="V12" i="36"/>
  <c r="D8" i="36"/>
  <c r="D23" i="36" s="1"/>
  <c r="L29" i="36"/>
  <c r="V8" i="36"/>
  <c r="H23" i="36"/>
  <c r="U23" i="36"/>
  <c r="J23" i="36"/>
  <c r="L23" i="36"/>
  <c r="V23" i="36"/>
  <c r="P23" i="36"/>
  <c r="H24" i="36"/>
  <c r="U24" i="36" s="1"/>
  <c r="J24" i="36"/>
  <c r="L24" i="36"/>
  <c r="P24" i="36"/>
  <c r="H25" i="36"/>
  <c r="U25" i="36" s="1"/>
  <c r="J25" i="36"/>
  <c r="L25" i="36"/>
  <c r="V25" i="36" s="1"/>
  <c r="P25" i="36"/>
  <c r="H26" i="36"/>
  <c r="J26" i="36"/>
  <c r="L26" i="36"/>
  <c r="P26" i="36"/>
  <c r="H27" i="36"/>
  <c r="U27" i="36"/>
  <c r="L27" i="36"/>
  <c r="V27" i="36" s="1"/>
  <c r="J28" i="36"/>
  <c r="P28" i="36"/>
  <c r="E23" i="36"/>
  <c r="E24" i="36"/>
  <c r="E25" i="36"/>
  <c r="E26" i="36"/>
  <c r="E27" i="36"/>
  <c r="D25" i="36"/>
  <c r="L30" i="36"/>
  <c r="L28" i="36"/>
  <c r="H13" i="36"/>
  <c r="V13" i="36" s="1"/>
  <c r="D13" i="36"/>
  <c r="D35" i="36" s="1"/>
  <c r="E28" i="36"/>
  <c r="P29" i="36"/>
  <c r="V14" i="36"/>
  <c r="J29" i="36"/>
  <c r="U14" i="36"/>
  <c r="E30" i="36"/>
  <c r="D14" i="36"/>
  <c r="T36" i="36"/>
  <c r="E29" i="36"/>
  <c r="D29" i="36"/>
  <c r="R37" i="36"/>
  <c r="R38" i="36" s="1"/>
  <c r="P31" i="36"/>
  <c r="P37" i="36"/>
  <c r="P38" i="36"/>
  <c r="P30" i="36"/>
  <c r="V15" i="36"/>
  <c r="J31" i="36"/>
  <c r="J30" i="36"/>
  <c r="D30" i="36"/>
  <c r="E31" i="36"/>
  <c r="E37" i="36" s="1"/>
  <c r="E38" i="36" s="1"/>
  <c r="L33" i="36"/>
  <c r="V16" i="36"/>
  <c r="L32" i="36"/>
  <c r="L31" i="36"/>
  <c r="L20" i="36"/>
  <c r="L21" i="36" s="1"/>
  <c r="L35" i="36"/>
  <c r="L36" i="36"/>
  <c r="H36" i="36" s="1"/>
  <c r="N36" i="36"/>
  <c r="U16" i="36"/>
  <c r="P20" i="36"/>
  <c r="P21" i="36"/>
  <c r="P33" i="36"/>
  <c r="P35" i="36"/>
  <c r="P36" i="36" s="1"/>
  <c r="P34" i="36"/>
  <c r="U17" i="36"/>
  <c r="V17" i="36"/>
  <c r="J32" i="36"/>
  <c r="E32" i="36"/>
  <c r="E34" i="36"/>
  <c r="V18" i="36"/>
  <c r="H33" i="36"/>
  <c r="U33" i="36" s="1"/>
  <c r="J20" i="36"/>
  <c r="J21" i="36" s="1"/>
  <c r="J33" i="36"/>
  <c r="J35" i="36"/>
  <c r="J36" i="36" s="1"/>
  <c r="E36" i="36"/>
  <c r="D36" i="36" s="1"/>
  <c r="E33" i="36"/>
  <c r="E35" i="36"/>
  <c r="E20" i="36"/>
  <c r="E21" i="36" s="1"/>
  <c r="V13" i="37"/>
  <c r="V11" i="37"/>
  <c r="V12" i="37"/>
  <c r="V15" i="37"/>
  <c r="T24" i="37"/>
  <c r="D8" i="37"/>
  <c r="D31" i="37" s="1"/>
  <c r="L31" i="37"/>
  <c r="V8" i="37"/>
  <c r="E23" i="37"/>
  <c r="E24" i="37"/>
  <c r="J30" i="37"/>
  <c r="J28" i="37"/>
  <c r="P29" i="37"/>
  <c r="H23" i="37"/>
  <c r="U23" i="37" s="1"/>
  <c r="J23" i="37"/>
  <c r="L23" i="37"/>
  <c r="V23" i="37" s="1"/>
  <c r="P23" i="37"/>
  <c r="J24" i="37"/>
  <c r="L24" i="37"/>
  <c r="J25" i="37"/>
  <c r="J26" i="37"/>
  <c r="J27" i="37"/>
  <c r="L27" i="37"/>
  <c r="T21" i="36"/>
  <c r="T34" i="36"/>
  <c r="U19" i="36"/>
  <c r="L34" i="36"/>
  <c r="V19" i="36"/>
  <c r="D34" i="36"/>
  <c r="P24" i="37"/>
  <c r="P28" i="37"/>
  <c r="P27" i="37"/>
  <c r="P25" i="37"/>
  <c r="T25" i="37"/>
  <c r="L34" i="37"/>
  <c r="L30" i="37"/>
  <c r="L26" i="37"/>
  <c r="L25" i="37"/>
  <c r="L35" i="37"/>
  <c r="L36" i="37" s="1"/>
  <c r="L20" i="37"/>
  <c r="L28" i="37"/>
  <c r="V10" i="37"/>
  <c r="E27" i="37"/>
  <c r="E25" i="37"/>
  <c r="E28" i="37"/>
  <c r="E26" i="37"/>
  <c r="P30" i="37"/>
  <c r="P31" i="37"/>
  <c r="T21" i="37"/>
  <c r="L32" i="37"/>
  <c r="L29" i="37"/>
  <c r="H14" i="37"/>
  <c r="J29" i="37"/>
  <c r="E30" i="37"/>
  <c r="C38" i="37"/>
  <c r="E29" i="37"/>
  <c r="D14" i="37"/>
  <c r="T31" i="37"/>
  <c r="U14" i="37"/>
  <c r="V14" i="37"/>
  <c r="V16" i="37"/>
  <c r="J31" i="37"/>
  <c r="J20" i="37"/>
  <c r="J21" i="37" s="1"/>
  <c r="E31" i="37"/>
  <c r="E32" i="37"/>
  <c r="P32" i="37"/>
  <c r="P20" i="37"/>
  <c r="P21" i="37" s="1"/>
  <c r="J32" i="37"/>
  <c r="J33" i="37"/>
  <c r="J34" i="37"/>
  <c r="E34" i="37"/>
  <c r="P33" i="37"/>
  <c r="V18" i="37"/>
  <c r="E33" i="37"/>
  <c r="E20" i="37"/>
  <c r="E21" i="37" s="1"/>
  <c r="E35" i="37"/>
  <c r="T34" i="37"/>
  <c r="T36" i="37"/>
  <c r="T35" i="37"/>
  <c r="U19" i="37"/>
  <c r="V19" i="37"/>
  <c r="L23" i="38"/>
  <c r="V15" i="38"/>
  <c r="V19" i="38"/>
  <c r="V11" i="38"/>
  <c r="V14" i="38"/>
  <c r="V18" i="38"/>
  <c r="D8" i="38"/>
  <c r="D33" i="38" s="1"/>
  <c r="V9" i="38"/>
  <c r="P23" i="38"/>
  <c r="L24" i="38"/>
  <c r="P24" i="38"/>
  <c r="L25" i="38"/>
  <c r="P25" i="38"/>
  <c r="P26" i="38"/>
  <c r="P27" i="38"/>
  <c r="P28" i="38"/>
  <c r="P29" i="38"/>
  <c r="P30" i="38"/>
  <c r="P31" i="38"/>
  <c r="P32" i="38"/>
  <c r="P33" i="38"/>
  <c r="E23" i="38"/>
  <c r="E24" i="38"/>
  <c r="E25" i="38"/>
  <c r="E26" i="38"/>
  <c r="J23" i="38"/>
  <c r="J24" i="38"/>
  <c r="J26" i="38"/>
  <c r="J30" i="38"/>
  <c r="T25" i="38"/>
  <c r="T29" i="38"/>
  <c r="U8" i="38"/>
  <c r="H24" i="38"/>
  <c r="U24" i="38" s="1"/>
  <c r="V8" i="38"/>
  <c r="H23" i="38"/>
  <c r="U23" i="38" s="1"/>
  <c r="T24" i="38"/>
  <c r="T35" i="38"/>
  <c r="L27" i="38"/>
  <c r="L35" i="38"/>
  <c r="L36" i="38" s="1"/>
  <c r="N36" i="38" s="1"/>
  <c r="L34" i="38"/>
  <c r="H10" i="38"/>
  <c r="H27" i="38" s="1"/>
  <c r="U27" i="38" s="1"/>
  <c r="L33" i="38"/>
  <c r="L26" i="38"/>
  <c r="J20" i="38"/>
  <c r="J21" i="38"/>
  <c r="J35" i="38"/>
  <c r="J36" i="38"/>
  <c r="J25" i="38"/>
  <c r="J31" i="38"/>
  <c r="T36" i="38"/>
  <c r="E36" i="38"/>
  <c r="D36" i="38" s="1"/>
  <c r="L28" i="38"/>
  <c r="L29" i="38"/>
  <c r="L30" i="38"/>
  <c r="L32" i="38"/>
  <c r="L31" i="38"/>
  <c r="U12" i="38"/>
  <c r="L20" i="38"/>
  <c r="L21" i="38" s="1"/>
  <c r="J27" i="38"/>
  <c r="J33" i="38"/>
  <c r="J28" i="38"/>
  <c r="J29" i="38"/>
  <c r="J34" i="38"/>
  <c r="V12" i="38"/>
  <c r="E29" i="38"/>
  <c r="E28" i="38"/>
  <c r="D12" i="38"/>
  <c r="D34" i="38" s="1"/>
  <c r="E31" i="38"/>
  <c r="E27" i="38"/>
  <c r="E32" i="38"/>
  <c r="T30" i="38"/>
  <c r="T33" i="38"/>
  <c r="U13" i="38"/>
  <c r="V13" i="38"/>
  <c r="C37" i="38"/>
  <c r="C38" i="38"/>
  <c r="E30" i="38"/>
  <c r="S38" i="38"/>
  <c r="R38" i="38"/>
  <c r="T37" i="38"/>
  <c r="T32" i="38"/>
  <c r="U16" i="38"/>
  <c r="V16" i="38"/>
  <c r="E33" i="38"/>
  <c r="E35" i="38"/>
  <c r="E34" i="38"/>
  <c r="E20" i="38"/>
  <c r="E21" i="38" s="1"/>
  <c r="T23" i="39"/>
  <c r="M37" i="39"/>
  <c r="M38" i="39" s="1"/>
  <c r="P24" i="39"/>
  <c r="P23" i="39"/>
  <c r="L29" i="39"/>
  <c r="L23" i="39"/>
  <c r="J23" i="39"/>
  <c r="J24" i="39"/>
  <c r="J28" i="39"/>
  <c r="P34" i="38"/>
  <c r="C2" i="3" l="1"/>
  <c r="C37" i="3" s="1"/>
  <c r="D28" i="14"/>
  <c r="AI18" i="8"/>
  <c r="Q19" i="2"/>
  <c r="C35" i="3"/>
  <c r="Q35" i="3" s="1"/>
  <c r="AI5" i="8"/>
  <c r="AM5" i="8" s="1"/>
  <c r="AL4" i="9"/>
  <c r="Q21" i="3"/>
  <c r="AR6" i="34"/>
  <c r="D37" i="2"/>
  <c r="D38" i="2" s="1"/>
  <c r="U36" i="36"/>
  <c r="V36" i="36"/>
  <c r="D11" i="5"/>
  <c r="E26" i="5"/>
  <c r="AI6" i="8"/>
  <c r="AM6" i="8" s="1"/>
  <c r="L34" i="12"/>
  <c r="P30" i="12"/>
  <c r="P25" i="12"/>
  <c r="P34" i="12"/>
  <c r="F79" i="12"/>
  <c r="AK9" i="20"/>
  <c r="AO9" i="20" s="1"/>
  <c r="R386" i="14"/>
  <c r="D395" i="14"/>
  <c r="AK10" i="12"/>
  <c r="F79" i="9"/>
  <c r="Q38" i="6"/>
  <c r="D11" i="11"/>
  <c r="D26" i="11" s="1"/>
  <c r="E27" i="11"/>
  <c r="D44" i="8"/>
  <c r="L30" i="4"/>
  <c r="L34" i="4"/>
  <c r="L29" i="4"/>
  <c r="L33" i="4"/>
  <c r="L20" i="4"/>
  <c r="L21" i="4" s="1"/>
  <c r="L32" i="4"/>
  <c r="L35" i="4"/>
  <c r="AM4" i="11"/>
  <c r="AM13" i="11" s="1"/>
  <c r="AM6" i="9"/>
  <c r="H13" i="4"/>
  <c r="R13" i="4" s="1"/>
  <c r="I29" i="4"/>
  <c r="I33" i="4"/>
  <c r="I28" i="4"/>
  <c r="I32" i="4"/>
  <c r="D33" i="2"/>
  <c r="D29" i="2"/>
  <c r="D28" i="2"/>
  <c r="D31" i="2"/>
  <c r="D34" i="2"/>
  <c r="D20" i="2"/>
  <c r="D21" i="2" s="1"/>
  <c r="D27" i="2"/>
  <c r="D30" i="2"/>
  <c r="D26" i="2"/>
  <c r="C11" i="2"/>
  <c r="D32" i="2"/>
  <c r="AQ11" i="31"/>
  <c r="L27" i="12"/>
  <c r="L31" i="12"/>
  <c r="L37" i="12" s="1"/>
  <c r="L35" i="12"/>
  <c r="L33" i="12"/>
  <c r="L29" i="12"/>
  <c r="L25" i="12"/>
  <c r="L24" i="12"/>
  <c r="L32" i="12"/>
  <c r="L23" i="12"/>
  <c r="L28" i="12"/>
  <c r="L26" i="12"/>
  <c r="D106" i="14"/>
  <c r="D199" i="14"/>
  <c r="F12" i="14"/>
  <c r="E12" i="14" s="1"/>
  <c r="H20" i="36"/>
  <c r="V29" i="36"/>
  <c r="AH74" i="24"/>
  <c r="F79" i="29"/>
  <c r="D140" i="14"/>
  <c r="R140" i="14" s="1"/>
  <c r="U19" i="27"/>
  <c r="F40" i="14"/>
  <c r="E40" i="14" s="1"/>
  <c r="R21" i="7"/>
  <c r="R48" i="20"/>
  <c r="D35" i="2"/>
  <c r="S15" i="1"/>
  <c r="R15" i="1"/>
  <c r="G44" i="12"/>
  <c r="I29" i="5"/>
  <c r="I35" i="5"/>
  <c r="I20" i="5"/>
  <c r="I21" i="5" s="1"/>
  <c r="I34" i="5"/>
  <c r="I28" i="5"/>
  <c r="I31" i="5"/>
  <c r="I33" i="5"/>
  <c r="I30" i="5"/>
  <c r="I32" i="5"/>
  <c r="L2" i="5"/>
  <c r="D236" i="14"/>
  <c r="D402" i="14"/>
  <c r="D322" i="14"/>
  <c r="D323" i="14"/>
  <c r="R323" i="14" s="1"/>
  <c r="D398" i="14"/>
  <c r="D146" i="14"/>
  <c r="D397" i="14"/>
  <c r="D326" i="14"/>
  <c r="D234" i="14"/>
  <c r="D401" i="14"/>
  <c r="D145" i="14"/>
  <c r="D396" i="14"/>
  <c r="D237" i="14"/>
  <c r="D238" i="14"/>
  <c r="F48" i="14"/>
  <c r="E48" i="14" s="1"/>
  <c r="D324" i="14"/>
  <c r="D240" i="14"/>
  <c r="D142" i="14"/>
  <c r="D143" i="14"/>
  <c r="D327" i="14"/>
  <c r="D235" i="14"/>
  <c r="F19" i="14"/>
  <c r="E19" i="14" s="1"/>
  <c r="AQ5" i="31"/>
  <c r="E37" i="37"/>
  <c r="E38" i="37" s="1"/>
  <c r="D32" i="36"/>
  <c r="D9" i="35"/>
  <c r="U38" i="27"/>
  <c r="AQ10" i="27"/>
  <c r="AK9" i="12"/>
  <c r="AO9" i="12" s="1"/>
  <c r="F17" i="14"/>
  <c r="E17" i="14" s="1"/>
  <c r="AK11" i="11"/>
  <c r="AO11" i="11" s="1"/>
  <c r="Z70" i="27"/>
  <c r="AI70" i="27" s="1"/>
  <c r="D139" i="14"/>
  <c r="R139" i="14" s="1"/>
  <c r="F60" i="9"/>
  <c r="C79" i="20"/>
  <c r="AO8" i="23"/>
  <c r="D134" i="14"/>
  <c r="F134" i="14" s="1"/>
  <c r="E134" i="14" s="1"/>
  <c r="Z62" i="6"/>
  <c r="E35" i="6"/>
  <c r="R10" i="1"/>
  <c r="S10" i="1"/>
  <c r="AD72" i="12"/>
  <c r="H29" i="36"/>
  <c r="U29" i="36" s="1"/>
  <c r="V38" i="24"/>
  <c r="AI74" i="29"/>
  <c r="AK10" i="11"/>
  <c r="AK9" i="29"/>
  <c r="AO9" i="29" s="1"/>
  <c r="H79" i="31"/>
  <c r="F57" i="31"/>
  <c r="G60" i="31" s="1"/>
  <c r="V9" i="34"/>
  <c r="D315" i="14"/>
  <c r="R315" i="14" s="1"/>
  <c r="C79" i="24"/>
  <c r="AQ20" i="31"/>
  <c r="AA56" i="11"/>
  <c r="AI56" i="11"/>
  <c r="D19" i="9"/>
  <c r="D2" i="10" s="1"/>
  <c r="E2" i="10"/>
  <c r="D387" i="14"/>
  <c r="D228" i="14"/>
  <c r="D133" i="14"/>
  <c r="R133" i="14" s="1"/>
  <c r="F37" i="14"/>
  <c r="E37" i="14" s="1"/>
  <c r="R37" i="14"/>
  <c r="D132" i="14"/>
  <c r="T38" i="38"/>
  <c r="L29" i="35"/>
  <c r="E27" i="35"/>
  <c r="AH78" i="24"/>
  <c r="F70" i="34"/>
  <c r="AO10" i="34"/>
  <c r="U21" i="31"/>
  <c r="C79" i="27"/>
  <c r="D46" i="31"/>
  <c r="AK10" i="24"/>
  <c r="G79" i="18"/>
  <c r="V21" i="11"/>
  <c r="AK10" i="23"/>
  <c r="AA77" i="20"/>
  <c r="E34" i="12"/>
  <c r="R14" i="1"/>
  <c r="S14" i="1"/>
  <c r="G58" i="9"/>
  <c r="H23" i="3"/>
  <c r="R8" i="3"/>
  <c r="D27" i="37"/>
  <c r="L30" i="35"/>
  <c r="E25" i="35"/>
  <c r="AI74" i="9"/>
  <c r="R232" i="14"/>
  <c r="X52" i="4"/>
  <c r="AF52" i="4"/>
  <c r="R19" i="1"/>
  <c r="S19" i="1"/>
  <c r="J12" i="13"/>
  <c r="I12" i="13" s="1"/>
  <c r="H12" i="13" s="1"/>
  <c r="J24" i="13"/>
  <c r="I24" i="13" s="1"/>
  <c r="H24" i="13" s="1"/>
  <c r="H34" i="36"/>
  <c r="L27" i="35"/>
  <c r="D10" i="35"/>
  <c r="V38" i="34"/>
  <c r="AO10" i="29"/>
  <c r="AL13" i="31"/>
  <c r="G58" i="31"/>
  <c r="AI62" i="20"/>
  <c r="R12" i="14"/>
  <c r="AF58" i="4"/>
  <c r="D44" i="9"/>
  <c r="V24" i="38"/>
  <c r="AK5" i="34"/>
  <c r="AO5" i="34" s="1"/>
  <c r="AQ5" i="34" s="1"/>
  <c r="G79" i="8"/>
  <c r="AK5" i="27"/>
  <c r="AO5" i="27" s="1"/>
  <c r="AQ5" i="27" s="1"/>
  <c r="AK8" i="10"/>
  <c r="J20" i="31"/>
  <c r="D26" i="6"/>
  <c r="I27" i="1"/>
  <c r="I30" i="1"/>
  <c r="H8" i="1"/>
  <c r="I20" i="1"/>
  <c r="I21" i="1" s="1"/>
  <c r="I33" i="1"/>
  <c r="I25" i="1"/>
  <c r="I28" i="1"/>
  <c r="I31" i="1"/>
  <c r="I37" i="1" s="1"/>
  <c r="I38" i="1" s="1"/>
  <c r="I24" i="1"/>
  <c r="I23" i="1"/>
  <c r="I29" i="1"/>
  <c r="I32" i="1"/>
  <c r="I34" i="1"/>
  <c r="E68" i="18"/>
  <c r="AA66" i="11"/>
  <c r="AI66" i="11"/>
  <c r="L35" i="35"/>
  <c r="L36" i="35" s="1"/>
  <c r="E31" i="35"/>
  <c r="E37" i="35" s="1"/>
  <c r="E38" i="35" s="1"/>
  <c r="H10" i="35"/>
  <c r="U10" i="35" s="1"/>
  <c r="V38" i="20"/>
  <c r="R144" i="14"/>
  <c r="AI78" i="31"/>
  <c r="AQ5" i="24"/>
  <c r="R11" i="1"/>
  <c r="AB76" i="10"/>
  <c r="D43" i="8"/>
  <c r="E44" i="8" s="1"/>
  <c r="C43" i="9"/>
  <c r="C46" i="9" s="1"/>
  <c r="E43" i="6"/>
  <c r="E43" i="7"/>
  <c r="F43" i="5"/>
  <c r="H28" i="36"/>
  <c r="D18" i="5"/>
  <c r="D2" i="6" s="1"/>
  <c r="E2" i="6"/>
  <c r="F46" i="18"/>
  <c r="F47" i="18"/>
  <c r="L30" i="12"/>
  <c r="E30" i="6"/>
  <c r="E28" i="6"/>
  <c r="D11" i="6"/>
  <c r="D27" i="6" s="1"/>
  <c r="L20" i="35"/>
  <c r="L21" i="35" s="1"/>
  <c r="Q21" i="4"/>
  <c r="D26" i="27"/>
  <c r="AA58" i="27"/>
  <c r="AI58" i="27"/>
  <c r="E34" i="5"/>
  <c r="H2" i="2"/>
  <c r="R17" i="1"/>
  <c r="H12" i="1"/>
  <c r="R12" i="1" s="1"/>
  <c r="S12" i="1"/>
  <c r="L34" i="1"/>
  <c r="L32" i="1"/>
  <c r="L30" i="1"/>
  <c r="S37" i="12"/>
  <c r="AF76" i="12"/>
  <c r="U11" i="12"/>
  <c r="V11" i="12"/>
  <c r="Z54" i="12"/>
  <c r="J20" i="33"/>
  <c r="J21" i="33" s="1"/>
  <c r="AQ9" i="23"/>
  <c r="E79" i="10"/>
  <c r="AK5" i="29"/>
  <c r="AO5" i="29" s="1"/>
  <c r="AQ5" i="29" s="1"/>
  <c r="J30" i="31"/>
  <c r="E29" i="6"/>
  <c r="L37" i="4"/>
  <c r="L38" i="4" s="1"/>
  <c r="L2" i="2"/>
  <c r="S17" i="1"/>
  <c r="D17" i="8"/>
  <c r="D2" i="9" s="1"/>
  <c r="E33" i="8"/>
  <c r="H79" i="24"/>
  <c r="AL4" i="10"/>
  <c r="J37" i="38"/>
  <c r="J38" i="38" s="1"/>
  <c r="V33" i="36"/>
  <c r="U13" i="36"/>
  <c r="J31" i="35"/>
  <c r="L32" i="35"/>
  <c r="V21" i="24"/>
  <c r="V21" i="10"/>
  <c r="AK10" i="18"/>
  <c r="AK10" i="31"/>
  <c r="AO10" i="31" s="1"/>
  <c r="F68" i="31"/>
  <c r="D25" i="27"/>
  <c r="C79" i="12"/>
  <c r="D68" i="12"/>
  <c r="D67" i="12"/>
  <c r="E70" i="12" s="1"/>
  <c r="AL13" i="12"/>
  <c r="AP10" i="12"/>
  <c r="AR10" i="12" s="1"/>
  <c r="H8" i="12"/>
  <c r="U13" i="12"/>
  <c r="Z58" i="12"/>
  <c r="AC50" i="10"/>
  <c r="AI50" i="10" s="1"/>
  <c r="AD71" i="10"/>
  <c r="H32" i="13"/>
  <c r="H34" i="13" s="1"/>
  <c r="X77" i="6"/>
  <c r="AE50" i="6"/>
  <c r="D46" i="5"/>
  <c r="F46" i="5" s="1"/>
  <c r="N37" i="4"/>
  <c r="N38" i="4" s="1"/>
  <c r="K37" i="4"/>
  <c r="K38" i="4" s="1"/>
  <c r="AC58" i="18"/>
  <c r="V24" i="18"/>
  <c r="AO19" i="18"/>
  <c r="AQ20" i="18" s="1"/>
  <c r="T27" i="12"/>
  <c r="AN13" i="12"/>
  <c r="AR8" i="10"/>
  <c r="D55" i="10"/>
  <c r="AM4" i="10"/>
  <c r="AM13" i="10" s="1"/>
  <c r="AM5" i="9"/>
  <c r="AJ6" i="8"/>
  <c r="F419" i="14"/>
  <c r="E419" i="14" s="1"/>
  <c r="Z54" i="31"/>
  <c r="AD66" i="6"/>
  <c r="AD62" i="6"/>
  <c r="AD58" i="6"/>
  <c r="AD54" i="6"/>
  <c r="AD74" i="6"/>
  <c r="Q34" i="6"/>
  <c r="E35" i="5"/>
  <c r="D65" i="18"/>
  <c r="T25" i="12"/>
  <c r="P28" i="12"/>
  <c r="P32" i="12"/>
  <c r="D57" i="11"/>
  <c r="E60" i="11" s="1"/>
  <c r="AQ23" i="9"/>
  <c r="AP11" i="9"/>
  <c r="AR11" i="9" s="1"/>
  <c r="H15" i="5"/>
  <c r="AO9" i="34"/>
  <c r="AQ9" i="34" s="1"/>
  <c r="Q24" i="6"/>
  <c r="Q31" i="5"/>
  <c r="I37" i="5"/>
  <c r="I38" i="5" s="1"/>
  <c r="Q31" i="3"/>
  <c r="V27" i="18"/>
  <c r="AP24" i="18"/>
  <c r="AR24" i="18" s="1"/>
  <c r="F68" i="12"/>
  <c r="AG48" i="12"/>
  <c r="V10" i="12"/>
  <c r="AG70" i="11"/>
  <c r="AG60" i="11"/>
  <c r="T24" i="11"/>
  <c r="U23" i="11"/>
  <c r="AH78" i="10"/>
  <c r="AF72" i="9"/>
  <c r="G44" i="9"/>
  <c r="F46" i="9"/>
  <c r="G45" i="9" s="1"/>
  <c r="AO23" i="8"/>
  <c r="AP6" i="31"/>
  <c r="AR6" i="31" s="1"/>
  <c r="AG74" i="29"/>
  <c r="AA77" i="24"/>
  <c r="P37" i="6"/>
  <c r="M37" i="5"/>
  <c r="M38" i="5" s="1"/>
  <c r="J37" i="5"/>
  <c r="J38" i="5" s="1"/>
  <c r="P28" i="18"/>
  <c r="E68" i="12"/>
  <c r="AC52" i="12"/>
  <c r="AK13" i="8"/>
  <c r="F252" i="14"/>
  <c r="E252" i="14" s="1"/>
  <c r="AG54" i="12"/>
  <c r="AD71" i="12"/>
  <c r="E44" i="11"/>
  <c r="AG68" i="10"/>
  <c r="AO22" i="8"/>
  <c r="Q37" i="6"/>
  <c r="D9" i="5"/>
  <c r="AA54" i="18"/>
  <c r="AP9" i="18"/>
  <c r="L27" i="3"/>
  <c r="L20" i="3"/>
  <c r="L21" i="3" s="1"/>
  <c r="L30" i="3"/>
  <c r="R408" i="14"/>
  <c r="F408" i="14"/>
  <c r="E408" i="14" s="1"/>
  <c r="AH78" i="9"/>
  <c r="C37" i="4"/>
  <c r="S23" i="3"/>
  <c r="AG68" i="18"/>
  <c r="F57" i="12"/>
  <c r="F68" i="11"/>
  <c r="AR6" i="11"/>
  <c r="T35" i="9"/>
  <c r="AD58" i="8"/>
  <c r="AC68" i="18"/>
  <c r="R48" i="9"/>
  <c r="H10" i="2"/>
  <c r="I26" i="2"/>
  <c r="I33" i="2"/>
  <c r="D23" i="1"/>
  <c r="C8" i="1"/>
  <c r="H7" i="27"/>
  <c r="AI74" i="11"/>
  <c r="AE78" i="6"/>
  <c r="AC76" i="6"/>
  <c r="I37" i="6"/>
  <c r="AF70" i="5"/>
  <c r="E37" i="4"/>
  <c r="E38" i="4" s="1"/>
  <c r="G37" i="3"/>
  <c r="G38" i="3" s="1"/>
  <c r="AO20" i="18"/>
  <c r="P30" i="18"/>
  <c r="R45" i="11"/>
  <c r="Q31" i="8"/>
  <c r="O37" i="8"/>
  <c r="AI78" i="18"/>
  <c r="F79" i="11"/>
  <c r="AP9" i="31"/>
  <c r="AR9" i="31" s="1"/>
  <c r="C46" i="31"/>
  <c r="AG76" i="29"/>
  <c r="D46" i="8"/>
  <c r="AA77" i="11"/>
  <c r="AI78" i="12"/>
  <c r="AD74" i="5"/>
  <c r="AF62" i="5"/>
  <c r="AF62" i="4"/>
  <c r="F55" i="18"/>
  <c r="T33" i="18"/>
  <c r="N37" i="18"/>
  <c r="AP23" i="18"/>
  <c r="AP5" i="18"/>
  <c r="AR5" i="18" s="1"/>
  <c r="D47" i="12"/>
  <c r="D46" i="12"/>
  <c r="AR20" i="12"/>
  <c r="AR22" i="11"/>
  <c r="D10" i="9"/>
  <c r="E30" i="9"/>
  <c r="E25" i="9"/>
  <c r="E32" i="9"/>
  <c r="AE50" i="7"/>
  <c r="X50" i="7"/>
  <c r="J77" i="14"/>
  <c r="K262" i="14"/>
  <c r="K356" i="14"/>
  <c r="K175" i="14"/>
  <c r="K349" i="14"/>
  <c r="K258" i="14"/>
  <c r="K351" i="14"/>
  <c r="K260" i="14"/>
  <c r="K353" i="14"/>
  <c r="K173" i="14"/>
  <c r="K338" i="14"/>
  <c r="K400" i="14"/>
  <c r="K174" i="14"/>
  <c r="K339" i="14"/>
  <c r="K401" i="14"/>
  <c r="K342" i="14"/>
  <c r="K402" i="14"/>
  <c r="K176" i="14"/>
  <c r="K343" i="14"/>
  <c r="K403" i="14"/>
  <c r="K259" i="14"/>
  <c r="K344" i="14"/>
  <c r="K405" i="14"/>
  <c r="K345" i="14"/>
  <c r="K407" i="14"/>
  <c r="K261" i="14"/>
  <c r="K346" i="14"/>
  <c r="K409" i="14"/>
  <c r="K263" i="14"/>
  <c r="K347" i="14"/>
  <c r="K410" i="14"/>
  <c r="K264" i="14"/>
  <c r="K348" i="14"/>
  <c r="K413" i="14"/>
  <c r="K265" i="14"/>
  <c r="K350" i="14"/>
  <c r="K414" i="14"/>
  <c r="K266" i="14"/>
  <c r="K352" i="14"/>
  <c r="K415" i="14"/>
  <c r="K171" i="14"/>
  <c r="K269" i="14"/>
  <c r="K397" i="14"/>
  <c r="K418" i="14"/>
  <c r="K172" i="14"/>
  <c r="K334" i="14"/>
  <c r="K398" i="14"/>
  <c r="K419" i="14"/>
  <c r="X64" i="6"/>
  <c r="Q25" i="6"/>
  <c r="E33" i="5"/>
  <c r="T28" i="9"/>
  <c r="AP4" i="34"/>
  <c r="AP13" i="34" s="1"/>
  <c r="AP5" i="31"/>
  <c r="AR5" i="31" s="1"/>
  <c r="AI74" i="20"/>
  <c r="Z68" i="6"/>
  <c r="Z60" i="6"/>
  <c r="AF60" i="6" s="1"/>
  <c r="D44" i="6"/>
  <c r="AR19" i="18"/>
  <c r="AC56" i="12"/>
  <c r="AC72" i="12" s="1"/>
  <c r="AG64" i="11"/>
  <c r="E55" i="11"/>
  <c r="R37" i="10"/>
  <c r="Q16" i="1"/>
  <c r="D13" i="14"/>
  <c r="D200" i="14" s="1"/>
  <c r="R200" i="14" s="1"/>
  <c r="Q26" i="6"/>
  <c r="E46" i="5"/>
  <c r="Q27" i="5"/>
  <c r="M37" i="3"/>
  <c r="M38" i="3" s="1"/>
  <c r="N37" i="2"/>
  <c r="N38" i="2" s="1"/>
  <c r="L31" i="1"/>
  <c r="L37" i="1" s="1"/>
  <c r="AH62" i="18"/>
  <c r="AC60" i="18"/>
  <c r="I24" i="12"/>
  <c r="AR21" i="11"/>
  <c r="AR9" i="9"/>
  <c r="AP21" i="9"/>
  <c r="H14" i="4"/>
  <c r="AE78" i="8"/>
  <c r="AK26" i="8"/>
  <c r="D2" i="8"/>
  <c r="G37" i="7"/>
  <c r="Q25" i="3"/>
  <c r="D12" i="29"/>
  <c r="E31" i="29"/>
  <c r="E37" i="29" s="1"/>
  <c r="AL8" i="29"/>
  <c r="AP8" i="29" s="1"/>
  <c r="AR8" i="29" s="1"/>
  <c r="AL8" i="24"/>
  <c r="AP8" i="24" s="1"/>
  <c r="AL8" i="23"/>
  <c r="AP8" i="23" s="1"/>
  <c r="AL8" i="20"/>
  <c r="AP8" i="20" s="1"/>
  <c r="AR8" i="20" s="1"/>
  <c r="AL8" i="27"/>
  <c r="AP8" i="27" s="1"/>
  <c r="G68" i="11"/>
  <c r="F46" i="11"/>
  <c r="G45" i="11" s="1"/>
  <c r="E26" i="11"/>
  <c r="AP8" i="11"/>
  <c r="AR8" i="11" s="1"/>
  <c r="AA52" i="10"/>
  <c r="AP20" i="10"/>
  <c r="F58" i="9"/>
  <c r="F67" i="9"/>
  <c r="T30" i="9"/>
  <c r="S37" i="9"/>
  <c r="Y76" i="8"/>
  <c r="Q35" i="8"/>
  <c r="AD54" i="7"/>
  <c r="Q24" i="2"/>
  <c r="E46" i="18"/>
  <c r="G46" i="18" s="1"/>
  <c r="AP10" i="18"/>
  <c r="AG64" i="12"/>
  <c r="M37" i="12"/>
  <c r="T24" i="12"/>
  <c r="AQ20" i="12"/>
  <c r="T34" i="10"/>
  <c r="H12" i="5"/>
  <c r="Q416" i="14"/>
  <c r="J65" i="14"/>
  <c r="K384" i="14"/>
  <c r="K386" i="14"/>
  <c r="K388" i="14"/>
  <c r="K390" i="14"/>
  <c r="K392" i="14"/>
  <c r="K394" i="14"/>
  <c r="K340" i="14"/>
  <c r="K411" i="14"/>
  <c r="K341" i="14"/>
  <c r="K396" i="14"/>
  <c r="K412" i="14"/>
  <c r="K331" i="14"/>
  <c r="K333" i="14"/>
  <c r="K404" i="14"/>
  <c r="K335" i="14"/>
  <c r="K406" i="14"/>
  <c r="K337" i="14"/>
  <c r="K408" i="14"/>
  <c r="P306" i="14"/>
  <c r="P309" i="14"/>
  <c r="R309" i="14" s="1"/>
  <c r="P398" i="14"/>
  <c r="P231" i="14"/>
  <c r="P373" i="14"/>
  <c r="P327" i="14"/>
  <c r="P307" i="14"/>
  <c r="P371" i="14"/>
  <c r="P144" i="14"/>
  <c r="P311" i="14"/>
  <c r="P233" i="14"/>
  <c r="R233" i="14" s="1"/>
  <c r="P308" i="14"/>
  <c r="P315" i="14"/>
  <c r="P397" i="14"/>
  <c r="P305" i="14"/>
  <c r="P230" i="14"/>
  <c r="P369" i="14"/>
  <c r="P379" i="14"/>
  <c r="P381" i="14"/>
  <c r="P383" i="14"/>
  <c r="P385" i="14"/>
  <c r="P387" i="14"/>
  <c r="P389" i="14"/>
  <c r="P391" i="14"/>
  <c r="P393" i="14"/>
  <c r="P395" i="14"/>
  <c r="P145" i="14"/>
  <c r="P372" i="14"/>
  <c r="P377" i="14"/>
  <c r="P402" i="14"/>
  <c r="P37" i="2"/>
  <c r="P38" i="2" s="1"/>
  <c r="AP4" i="12"/>
  <c r="AC66" i="12"/>
  <c r="AA66" i="12" s="1"/>
  <c r="T23" i="12"/>
  <c r="AP5" i="12"/>
  <c r="AR5" i="12" s="1"/>
  <c r="AG56" i="11"/>
  <c r="AC50" i="11"/>
  <c r="F37" i="11"/>
  <c r="T29" i="11"/>
  <c r="T27" i="11"/>
  <c r="AP19" i="11"/>
  <c r="AA58" i="9"/>
  <c r="Q27" i="8"/>
  <c r="E2" i="8"/>
  <c r="E37" i="8" s="1"/>
  <c r="AD62" i="7"/>
  <c r="AD50" i="7"/>
  <c r="Q24" i="7"/>
  <c r="L419" i="14"/>
  <c r="O414" i="14"/>
  <c r="L20" i="1"/>
  <c r="L21" i="1" s="1"/>
  <c r="AG52" i="18"/>
  <c r="AP18" i="18"/>
  <c r="G65" i="12"/>
  <c r="F46" i="12"/>
  <c r="G45" i="12" s="1"/>
  <c r="AP24" i="12"/>
  <c r="D65" i="11"/>
  <c r="AH54" i="11"/>
  <c r="E31" i="11"/>
  <c r="AH70" i="10"/>
  <c r="F44" i="10"/>
  <c r="T26" i="10"/>
  <c r="AQ22" i="10"/>
  <c r="AG54" i="9"/>
  <c r="AN26" i="9"/>
  <c r="H11" i="5"/>
  <c r="H18" i="4"/>
  <c r="AJ5" i="8"/>
  <c r="E65" i="8"/>
  <c r="Z60" i="8"/>
  <c r="H55" i="8"/>
  <c r="AM21" i="8"/>
  <c r="AO21" i="8" s="1"/>
  <c r="Q28" i="7"/>
  <c r="L192" i="14"/>
  <c r="G37" i="18"/>
  <c r="AC64" i="11"/>
  <c r="AI64" i="11" s="1"/>
  <c r="AG48" i="11"/>
  <c r="AH60" i="10"/>
  <c r="AC48" i="10"/>
  <c r="T29" i="10"/>
  <c r="AP24" i="10"/>
  <c r="AR24" i="10" s="1"/>
  <c r="AR22" i="10"/>
  <c r="AH48" i="9"/>
  <c r="I32" i="9"/>
  <c r="AC72" i="7"/>
  <c r="D352" i="14"/>
  <c r="J37" i="4"/>
  <c r="J38" i="4" s="1"/>
  <c r="AC50" i="18"/>
  <c r="AM26" i="18"/>
  <c r="G68" i="12"/>
  <c r="AC54" i="12"/>
  <c r="AI54" i="12" s="1"/>
  <c r="T33" i="12"/>
  <c r="T29" i="12"/>
  <c r="AP23" i="12"/>
  <c r="AC68" i="11"/>
  <c r="AI68" i="11" s="1"/>
  <c r="AD72" i="11"/>
  <c r="AO21" i="11"/>
  <c r="AQ21" i="11" s="1"/>
  <c r="AA54" i="9"/>
  <c r="AC76" i="7"/>
  <c r="AB72" i="7"/>
  <c r="R409" i="14"/>
  <c r="F409" i="14"/>
  <c r="E409" i="14" s="1"/>
  <c r="Q192" i="14"/>
  <c r="Q193" i="14"/>
  <c r="Q190" i="14"/>
  <c r="O190" i="14"/>
  <c r="O187" i="14"/>
  <c r="O188" i="14"/>
  <c r="AG62" i="10"/>
  <c r="AC54" i="10"/>
  <c r="AA54" i="10" s="1"/>
  <c r="D2" i="7"/>
  <c r="O418" i="14"/>
  <c r="H194" i="14"/>
  <c r="H355" i="14"/>
  <c r="H279" i="14"/>
  <c r="H356" i="14"/>
  <c r="H280" i="14"/>
  <c r="H281" i="14"/>
  <c r="H417" i="14"/>
  <c r="H354" i="14"/>
  <c r="L194" i="14"/>
  <c r="J96" i="14"/>
  <c r="L191" i="14"/>
  <c r="C37" i="12"/>
  <c r="AC70" i="11"/>
  <c r="AA50" i="10"/>
  <c r="C37" i="10"/>
  <c r="T37" i="10" s="1"/>
  <c r="H18" i="3"/>
  <c r="AJ13" i="8"/>
  <c r="AE68" i="7"/>
  <c r="Q415" i="14"/>
  <c r="Q413" i="14"/>
  <c r="D411" i="14"/>
  <c r="D350" i="14"/>
  <c r="D410" i="14"/>
  <c r="AK26" i="11"/>
  <c r="AP18" i="11"/>
  <c r="AP21" i="10"/>
  <c r="AR21" i="10" s="1"/>
  <c r="AP9" i="10"/>
  <c r="AR9" i="10" s="1"/>
  <c r="AP22" i="9"/>
  <c r="AM10" i="8"/>
  <c r="AO10" i="8" s="1"/>
  <c r="AP18" i="9"/>
  <c r="AR19" i="9" s="1"/>
  <c r="V23" i="11"/>
  <c r="G68" i="10"/>
  <c r="AB72" i="10"/>
  <c r="AH54" i="10"/>
  <c r="T30" i="10"/>
  <c r="R37" i="9"/>
  <c r="AP24" i="9"/>
  <c r="AR24" i="9" s="1"/>
  <c r="H8" i="5"/>
  <c r="J37" i="7"/>
  <c r="F254" i="14"/>
  <c r="E254" i="14" s="1"/>
  <c r="F44" i="11"/>
  <c r="AP20" i="11"/>
  <c r="D65" i="10"/>
  <c r="AH56" i="10"/>
  <c r="T33" i="10"/>
  <c r="AO24" i="9"/>
  <c r="AQ24" i="9" s="1"/>
  <c r="AD50" i="8"/>
  <c r="AD64" i="7"/>
  <c r="Z48" i="7"/>
  <c r="J8" i="13"/>
  <c r="I8" i="13" s="1"/>
  <c r="O349" i="14"/>
  <c r="D345" i="14"/>
  <c r="N340" i="14"/>
  <c r="N333" i="14"/>
  <c r="N325" i="14"/>
  <c r="O270" i="14"/>
  <c r="D249" i="14"/>
  <c r="H192" i="14"/>
  <c r="N174" i="14"/>
  <c r="N175" i="14"/>
  <c r="D168" i="14"/>
  <c r="F70" i="14"/>
  <c r="E70" i="14" s="1"/>
  <c r="D169" i="14"/>
  <c r="O125" i="14"/>
  <c r="O126" i="14"/>
  <c r="O307" i="14"/>
  <c r="P108" i="14"/>
  <c r="P198" i="14"/>
  <c r="C36" i="27"/>
  <c r="T36" i="27" s="1"/>
  <c r="T35" i="27"/>
  <c r="O417" i="14"/>
  <c r="O415" i="14"/>
  <c r="D414" i="14"/>
  <c r="D412" i="14"/>
  <c r="R412" i="14" s="1"/>
  <c r="N400" i="14"/>
  <c r="D354" i="14"/>
  <c r="O344" i="14"/>
  <c r="D337" i="14"/>
  <c r="P277" i="14"/>
  <c r="N251" i="14"/>
  <c r="N248" i="14"/>
  <c r="D246" i="14"/>
  <c r="F246" i="14" s="1"/>
  <c r="E246" i="14" s="1"/>
  <c r="O217" i="14"/>
  <c r="P179" i="14"/>
  <c r="K177" i="14"/>
  <c r="J78" i="14"/>
  <c r="L175" i="14"/>
  <c r="L259" i="14"/>
  <c r="L173" i="14"/>
  <c r="L261" i="14"/>
  <c r="H341" i="14"/>
  <c r="M28" i="14"/>
  <c r="M26" i="14"/>
  <c r="N125" i="14"/>
  <c r="T22" i="14"/>
  <c r="Q211" i="14"/>
  <c r="Q294" i="14"/>
  <c r="Q297" i="14"/>
  <c r="Q210" i="14"/>
  <c r="Q296" i="14"/>
  <c r="H116" i="14"/>
  <c r="H118" i="14"/>
  <c r="F55" i="20"/>
  <c r="E55" i="20"/>
  <c r="F46" i="24"/>
  <c r="F44" i="24"/>
  <c r="O353" i="14"/>
  <c r="D349" i="14"/>
  <c r="D340" i="14"/>
  <c r="N329" i="14"/>
  <c r="O277" i="14"/>
  <c r="O185" i="14"/>
  <c r="H158" i="14"/>
  <c r="F83" i="14"/>
  <c r="E83" i="14" s="1"/>
  <c r="H178" i="14"/>
  <c r="H180" i="14"/>
  <c r="H271" i="14"/>
  <c r="H273" i="14"/>
  <c r="M74" i="14"/>
  <c r="I74" i="14" s="1"/>
  <c r="S74" i="14" s="1"/>
  <c r="R65" i="14"/>
  <c r="F65" i="14"/>
  <c r="E65" i="14" s="1"/>
  <c r="D163" i="14"/>
  <c r="F163" i="14" s="1"/>
  <c r="E163" i="14" s="1"/>
  <c r="O142" i="14"/>
  <c r="O138" i="14"/>
  <c r="Q320" i="14"/>
  <c r="J30" i="14"/>
  <c r="K129" i="14"/>
  <c r="G37" i="9"/>
  <c r="Z70" i="8"/>
  <c r="Z54" i="8"/>
  <c r="AD60" i="7"/>
  <c r="L417" i="14"/>
  <c r="L415" i="14"/>
  <c r="P413" i="14"/>
  <c r="R413" i="14" s="1"/>
  <c r="P411" i="14"/>
  <c r="N408" i="14"/>
  <c r="D407" i="14"/>
  <c r="P404" i="14"/>
  <c r="R404" i="14" s="1"/>
  <c r="N402" i="14"/>
  <c r="O379" i="14"/>
  <c r="O369" i="14"/>
  <c r="O366" i="14"/>
  <c r="G360" i="14"/>
  <c r="O348" i="14"/>
  <c r="O336" i="14"/>
  <c r="Q332" i="14"/>
  <c r="H325" i="14"/>
  <c r="F325" i="14" s="1"/>
  <c r="E325" i="14" s="1"/>
  <c r="Q315" i="14"/>
  <c r="Q308" i="14"/>
  <c r="K284" i="14"/>
  <c r="K277" i="14"/>
  <c r="O273" i="14"/>
  <c r="H270" i="14"/>
  <c r="L264" i="14"/>
  <c r="N260" i="14"/>
  <c r="H257" i="14"/>
  <c r="H254" i="14"/>
  <c r="H251" i="14"/>
  <c r="N245" i="14"/>
  <c r="K237" i="14"/>
  <c r="Q233" i="14"/>
  <c r="H217" i="14"/>
  <c r="K213" i="14"/>
  <c r="O209" i="14"/>
  <c r="P204" i="14"/>
  <c r="H200" i="14"/>
  <c r="H191" i="14"/>
  <c r="H179" i="14"/>
  <c r="Q171" i="14"/>
  <c r="D167" i="14"/>
  <c r="F167" i="14" s="1"/>
  <c r="E167" i="14" s="1"/>
  <c r="D162" i="14"/>
  <c r="D158" i="14"/>
  <c r="H153" i="14"/>
  <c r="N145" i="14"/>
  <c r="O124" i="14"/>
  <c r="J94" i="14"/>
  <c r="L193" i="14"/>
  <c r="J81" i="14"/>
  <c r="I81" i="14" s="1"/>
  <c r="K180" i="14"/>
  <c r="K178" i="14"/>
  <c r="K179" i="14"/>
  <c r="P177" i="14"/>
  <c r="P178" i="14"/>
  <c r="Q227" i="14"/>
  <c r="Q305" i="14"/>
  <c r="Q226" i="14"/>
  <c r="Q304" i="14"/>
  <c r="Q316" i="14"/>
  <c r="H216" i="14"/>
  <c r="H224" i="14"/>
  <c r="H222" i="14"/>
  <c r="J28" i="14"/>
  <c r="K127" i="14"/>
  <c r="K125" i="14"/>
  <c r="K217" i="14"/>
  <c r="K124" i="14"/>
  <c r="K303" i="14"/>
  <c r="K216" i="14"/>
  <c r="K302" i="14"/>
  <c r="N207" i="14"/>
  <c r="N204" i="14"/>
  <c r="O413" i="14"/>
  <c r="O411" i="14"/>
  <c r="N395" i="14"/>
  <c r="N393" i="14"/>
  <c r="N391" i="14"/>
  <c r="N389" i="14"/>
  <c r="N387" i="14"/>
  <c r="N385" i="14"/>
  <c r="N383" i="14"/>
  <c r="D353" i="14"/>
  <c r="D344" i="14"/>
  <c r="N336" i="14"/>
  <c r="N332" i="14"/>
  <c r="O269" i="14"/>
  <c r="D251" i="14"/>
  <c r="F251" i="14" s="1"/>
  <c r="E251" i="14" s="1"/>
  <c r="R95" i="14"/>
  <c r="N165" i="14"/>
  <c r="Q156" i="14"/>
  <c r="Q153" i="14"/>
  <c r="Q248" i="14"/>
  <c r="Q152" i="14"/>
  <c r="Q155" i="14"/>
  <c r="Q324" i="14"/>
  <c r="Q328" i="14"/>
  <c r="Q331" i="14"/>
  <c r="AP10" i="27"/>
  <c r="AR11" i="27" s="1"/>
  <c r="AL13" i="27"/>
  <c r="N413" i="14"/>
  <c r="N411" i="14"/>
  <c r="N404" i="14"/>
  <c r="O352" i="14"/>
  <c r="O343" i="14"/>
  <c r="N339" i="14"/>
  <c r="N253" i="14"/>
  <c r="H248" i="14"/>
  <c r="H245" i="14"/>
  <c r="Q151" i="14"/>
  <c r="H185" i="14"/>
  <c r="H183" i="14"/>
  <c r="P180" i="14"/>
  <c r="D166" i="14"/>
  <c r="H159" i="14"/>
  <c r="L336" i="14"/>
  <c r="L335" i="14"/>
  <c r="H330" i="14"/>
  <c r="F330" i="14" s="1"/>
  <c r="E330" i="14" s="1"/>
  <c r="H148" i="14"/>
  <c r="H232" i="14"/>
  <c r="H230" i="14"/>
  <c r="F58" i="20"/>
  <c r="O183" i="14"/>
  <c r="O184" i="14"/>
  <c r="D182" i="14"/>
  <c r="D185" i="14"/>
  <c r="N163" i="14"/>
  <c r="M64" i="14"/>
  <c r="N162" i="14"/>
  <c r="N159" i="14"/>
  <c r="F61" i="14"/>
  <c r="E61" i="14" s="1"/>
  <c r="D159" i="14"/>
  <c r="R61" i="14"/>
  <c r="D160" i="14"/>
  <c r="D339" i="14"/>
  <c r="D338" i="14"/>
  <c r="O356" i="14"/>
  <c r="O347" i="14"/>
  <c r="D332" i="14"/>
  <c r="O272" i="14"/>
  <c r="N247" i="14"/>
  <c r="D157" i="14"/>
  <c r="F99" i="14"/>
  <c r="E99" i="14" s="1"/>
  <c r="R99" i="14"/>
  <c r="G186" i="14"/>
  <c r="N279" i="14"/>
  <c r="L163" i="14"/>
  <c r="L256" i="14"/>
  <c r="L162" i="14"/>
  <c r="O146" i="14"/>
  <c r="O148" i="14"/>
  <c r="P147" i="14"/>
  <c r="R147" i="14" s="1"/>
  <c r="P143" i="14"/>
  <c r="P146" i="14"/>
  <c r="P232" i="14"/>
  <c r="P126" i="14"/>
  <c r="P122" i="14"/>
  <c r="P218" i="14"/>
  <c r="P216" i="14"/>
  <c r="K116" i="14"/>
  <c r="J18" i="14"/>
  <c r="K117" i="14"/>
  <c r="K197" i="14"/>
  <c r="N160" i="14"/>
  <c r="P183" i="14"/>
  <c r="R85" i="14"/>
  <c r="L181" i="14"/>
  <c r="O123" i="14"/>
  <c r="O214" i="14"/>
  <c r="O291" i="14"/>
  <c r="O300" i="14"/>
  <c r="O213" i="14"/>
  <c r="O293" i="14"/>
  <c r="O299" i="14"/>
  <c r="O351" i="14"/>
  <c r="N342" i="14"/>
  <c r="N338" i="14"/>
  <c r="N335" i="14"/>
  <c r="N331" i="14"/>
  <c r="O279" i="14"/>
  <c r="D253" i="14"/>
  <c r="G197" i="14"/>
  <c r="P189" i="14"/>
  <c r="P191" i="14"/>
  <c r="D187" i="14"/>
  <c r="R89" i="14"/>
  <c r="J87" i="14"/>
  <c r="K186" i="14"/>
  <c r="H168" i="14"/>
  <c r="F69" i="14"/>
  <c r="E69" i="14" s="1"/>
  <c r="H167" i="14"/>
  <c r="H345" i="14"/>
  <c r="H166" i="14"/>
  <c r="G138" i="14"/>
  <c r="G134" i="14"/>
  <c r="G313" i="14"/>
  <c r="J33" i="14"/>
  <c r="K132" i="14"/>
  <c r="K225" i="14"/>
  <c r="K224" i="14"/>
  <c r="J31" i="14"/>
  <c r="K310" i="14"/>
  <c r="P208" i="14"/>
  <c r="F2" i="20"/>
  <c r="F37" i="20" s="1"/>
  <c r="F35" i="18"/>
  <c r="F20" i="18"/>
  <c r="F21" i="18" s="1"/>
  <c r="D356" i="14"/>
  <c r="D347" i="14"/>
  <c r="O275" i="14"/>
  <c r="N255" i="14"/>
  <c r="N252" i="14"/>
  <c r="D250" i="14"/>
  <c r="F250" i="14" s="1"/>
  <c r="E250" i="14" s="1"/>
  <c r="M85" i="14"/>
  <c r="N277" i="14"/>
  <c r="G176" i="14"/>
  <c r="J72" i="14"/>
  <c r="K169" i="14"/>
  <c r="O262" i="14"/>
  <c r="O346" i="14"/>
  <c r="O169" i="14"/>
  <c r="M67" i="14"/>
  <c r="N166" i="14"/>
  <c r="J16" i="14"/>
  <c r="K207" i="14"/>
  <c r="K208" i="14"/>
  <c r="K198" i="14"/>
  <c r="K202" i="14"/>
  <c r="K200" i="14"/>
  <c r="K205" i="14"/>
  <c r="K288" i="14"/>
  <c r="K199" i="14"/>
  <c r="O355" i="14"/>
  <c r="D342" i="14"/>
  <c r="D247" i="14"/>
  <c r="F247" i="14" s="1"/>
  <c r="E247" i="14" s="1"/>
  <c r="O182" i="14"/>
  <c r="K232" i="14"/>
  <c r="L213" i="14"/>
  <c r="L290" i="14"/>
  <c r="L359" i="14"/>
  <c r="L211" i="14"/>
  <c r="D351" i="14"/>
  <c r="N334" i="14"/>
  <c r="P278" i="14"/>
  <c r="O271" i="14"/>
  <c r="N249" i="14"/>
  <c r="H155" i="14"/>
  <c r="G194" i="14"/>
  <c r="F194" i="14" s="1"/>
  <c r="E194" i="14" s="1"/>
  <c r="K281" i="14"/>
  <c r="K188" i="14"/>
  <c r="H170" i="14"/>
  <c r="F170" i="14" s="1"/>
  <c r="E170" i="14" s="1"/>
  <c r="H169" i="14"/>
  <c r="H349" i="14"/>
  <c r="F57" i="14"/>
  <c r="E57" i="14" s="1"/>
  <c r="D155" i="14"/>
  <c r="R57" i="14"/>
  <c r="D333" i="14"/>
  <c r="D248" i="14"/>
  <c r="D153" i="14"/>
  <c r="D156" i="14"/>
  <c r="L154" i="14"/>
  <c r="L311" i="14"/>
  <c r="L152" i="14"/>
  <c r="L153" i="14"/>
  <c r="H204" i="14"/>
  <c r="AP5" i="24"/>
  <c r="AR5" i="24" s="1"/>
  <c r="E2" i="7"/>
  <c r="N412" i="14"/>
  <c r="N407" i="14"/>
  <c r="N396" i="14"/>
  <c r="D346" i="14"/>
  <c r="N341" i="14"/>
  <c r="O278" i="14"/>
  <c r="D267" i="14"/>
  <c r="F255" i="14"/>
  <c r="E255" i="14" s="1"/>
  <c r="N246" i="14"/>
  <c r="O206" i="14"/>
  <c r="P181" i="14"/>
  <c r="Q175" i="14"/>
  <c r="K168" i="14"/>
  <c r="D164" i="14"/>
  <c r="Q154" i="14"/>
  <c r="O127" i="14"/>
  <c r="O350" i="14"/>
  <c r="O354" i="14"/>
  <c r="D161" i="14"/>
  <c r="F62" i="14"/>
  <c r="E62" i="14" s="1"/>
  <c r="J55" i="14"/>
  <c r="H236" i="14"/>
  <c r="O136" i="14"/>
  <c r="O230" i="14"/>
  <c r="O229" i="14"/>
  <c r="O137" i="14"/>
  <c r="O134" i="14"/>
  <c r="O135" i="14"/>
  <c r="O308" i="14"/>
  <c r="O133" i="14"/>
  <c r="P131" i="14"/>
  <c r="R131" i="14" s="1"/>
  <c r="P128" i="14"/>
  <c r="R128" i="14" s="1"/>
  <c r="P127" i="14"/>
  <c r="P224" i="14"/>
  <c r="U12" i="20"/>
  <c r="Z56" i="20"/>
  <c r="H19" i="4"/>
  <c r="L2" i="3"/>
  <c r="AD66" i="7"/>
  <c r="Z50" i="7"/>
  <c r="AF50" i="7" s="1"/>
  <c r="O419" i="14"/>
  <c r="D418" i="14"/>
  <c r="D416" i="14"/>
  <c r="R416" i="14" s="1"/>
  <c r="L412" i="14"/>
  <c r="O410" i="14"/>
  <c r="L407" i="14"/>
  <c r="N405" i="14"/>
  <c r="O367" i="14"/>
  <c r="O364" i="14"/>
  <c r="D355" i="14"/>
  <c r="H350" i="14"/>
  <c r="O345" i="14"/>
  <c r="N337" i="14"/>
  <c r="N330" i="14"/>
  <c r="N321" i="14"/>
  <c r="O297" i="14"/>
  <c r="H294" i="14"/>
  <c r="K290" i="14"/>
  <c r="P274" i="14"/>
  <c r="K271" i="14"/>
  <c r="Q261" i="14"/>
  <c r="H258" i="14"/>
  <c r="H252" i="14"/>
  <c r="L246" i="14"/>
  <c r="L238" i="14"/>
  <c r="P234" i="14"/>
  <c r="K221" i="14"/>
  <c r="H218" i="14"/>
  <c r="P214" i="14"/>
  <c r="H211" i="14"/>
  <c r="L206" i="14"/>
  <c r="N201" i="14"/>
  <c r="O186" i="14"/>
  <c r="O181" i="14"/>
  <c r="P154" i="14"/>
  <c r="O147" i="14"/>
  <c r="O140" i="14"/>
  <c r="M96" i="14"/>
  <c r="O161" i="14"/>
  <c r="O342" i="14"/>
  <c r="Q253" i="14"/>
  <c r="Q252" i="14"/>
  <c r="Q159" i="14"/>
  <c r="O132" i="14"/>
  <c r="G156" i="14"/>
  <c r="K143" i="14"/>
  <c r="P120" i="14"/>
  <c r="R120" i="14" s="1"/>
  <c r="D194" i="14"/>
  <c r="J88" i="14"/>
  <c r="I75" i="14"/>
  <c r="Q167" i="14"/>
  <c r="Q163" i="14"/>
  <c r="J64" i="14"/>
  <c r="I64" i="14" s="1"/>
  <c r="S64" i="14" s="1"/>
  <c r="H142" i="14"/>
  <c r="H146" i="14"/>
  <c r="K141" i="14"/>
  <c r="K144" i="14"/>
  <c r="O139" i="14"/>
  <c r="P134" i="14"/>
  <c r="L112" i="14"/>
  <c r="AC70" i="20"/>
  <c r="F44" i="23"/>
  <c r="AO19" i="27"/>
  <c r="H147" i="14"/>
  <c r="M91" i="14"/>
  <c r="F85" i="14"/>
  <c r="E85" i="14" s="1"/>
  <c r="H184" i="14"/>
  <c r="M83" i="14"/>
  <c r="H174" i="14"/>
  <c r="N171" i="14"/>
  <c r="F72" i="14"/>
  <c r="E72" i="14" s="1"/>
  <c r="D170" i="14"/>
  <c r="J62" i="14"/>
  <c r="R59" i="14"/>
  <c r="F59" i="14"/>
  <c r="E59" i="14" s="1"/>
  <c r="L156" i="14"/>
  <c r="G153" i="14"/>
  <c r="M52" i="14"/>
  <c r="M35" i="14"/>
  <c r="I35" i="14" s="1"/>
  <c r="S35" i="14" s="1"/>
  <c r="N133" i="14"/>
  <c r="G121" i="14"/>
  <c r="Z58" i="20"/>
  <c r="AH58" i="20" s="1"/>
  <c r="U13" i="20"/>
  <c r="D9" i="29"/>
  <c r="D24" i="29" s="1"/>
  <c r="E28" i="29"/>
  <c r="E26" i="29"/>
  <c r="E27" i="29"/>
  <c r="E25" i="29"/>
  <c r="H353" i="14"/>
  <c r="K276" i="14"/>
  <c r="H265" i="14"/>
  <c r="L258" i="14"/>
  <c r="G255" i="14"/>
  <c r="L245" i="14"/>
  <c r="L242" i="14"/>
  <c r="H238" i="14"/>
  <c r="O221" i="14"/>
  <c r="Q218" i="14"/>
  <c r="G169" i="14"/>
  <c r="F169" i="14" s="1"/>
  <c r="E169" i="14" s="1"/>
  <c r="K159" i="14"/>
  <c r="K142" i="14"/>
  <c r="N137" i="14"/>
  <c r="N117" i="14"/>
  <c r="H152" i="14"/>
  <c r="J41" i="14"/>
  <c r="H127" i="14"/>
  <c r="H125" i="14"/>
  <c r="H123" i="14"/>
  <c r="I22" i="14"/>
  <c r="S22" i="14" s="1"/>
  <c r="M5" i="14"/>
  <c r="J35" i="18"/>
  <c r="AH54" i="27"/>
  <c r="F57" i="29"/>
  <c r="G60" i="29" s="1"/>
  <c r="E24" i="29"/>
  <c r="L165" i="14"/>
  <c r="P155" i="14"/>
  <c r="R155" i="14" s="1"/>
  <c r="Q187" i="14"/>
  <c r="H186" i="14"/>
  <c r="F186" i="14" s="1"/>
  <c r="E186" i="14" s="1"/>
  <c r="O180" i="14"/>
  <c r="L159" i="14"/>
  <c r="J60" i="14"/>
  <c r="D152" i="14"/>
  <c r="O128" i="14"/>
  <c r="AD72" i="20"/>
  <c r="AM13" i="24"/>
  <c r="J14" i="27"/>
  <c r="I14" i="27" s="1"/>
  <c r="H14" i="27" s="1"/>
  <c r="L29" i="27"/>
  <c r="L34" i="27"/>
  <c r="L20" i="27"/>
  <c r="L33" i="27"/>
  <c r="L30" i="27"/>
  <c r="P34" i="24"/>
  <c r="P33" i="24"/>
  <c r="P27" i="27"/>
  <c r="P33" i="27"/>
  <c r="P26" i="27"/>
  <c r="P23" i="27"/>
  <c r="P30" i="27"/>
  <c r="P24" i="27"/>
  <c r="P25" i="27"/>
  <c r="P29" i="27"/>
  <c r="P34" i="27"/>
  <c r="P32" i="27"/>
  <c r="AR21" i="27"/>
  <c r="D66" i="24"/>
  <c r="D68" i="24" s="1"/>
  <c r="D66" i="29"/>
  <c r="D68" i="29" s="1"/>
  <c r="AN6" i="24"/>
  <c r="AP6" i="24" s="1"/>
  <c r="AR6" i="24" s="1"/>
  <c r="D66" i="20"/>
  <c r="AN6" i="23"/>
  <c r="AP6" i="23" s="1"/>
  <c r="AR6" i="23" s="1"/>
  <c r="D66" i="27"/>
  <c r="E68" i="27" s="1"/>
  <c r="AN6" i="27"/>
  <c r="AN6" i="29"/>
  <c r="AN6" i="20"/>
  <c r="AG74" i="24"/>
  <c r="AM6" i="29"/>
  <c r="AM6" i="23"/>
  <c r="D56" i="29"/>
  <c r="D56" i="24"/>
  <c r="D57" i="24" s="1"/>
  <c r="E60" i="24" s="1"/>
  <c r="D56" i="27"/>
  <c r="D58" i="27" s="1"/>
  <c r="D56" i="23"/>
  <c r="D58" i="23" s="1"/>
  <c r="AM6" i="27"/>
  <c r="D56" i="20"/>
  <c r="J46" i="14"/>
  <c r="K145" i="14"/>
  <c r="H132" i="14"/>
  <c r="M2" i="20"/>
  <c r="AD75" i="20" s="1"/>
  <c r="M35" i="18"/>
  <c r="Y76" i="23"/>
  <c r="Y72" i="23"/>
  <c r="AG50" i="23"/>
  <c r="O165" i="14"/>
  <c r="H130" i="14"/>
  <c r="F130" i="14" s="1"/>
  <c r="E130" i="14" s="1"/>
  <c r="K128" i="14"/>
  <c r="P104" i="14"/>
  <c r="E46" i="29"/>
  <c r="E47" i="29"/>
  <c r="F47" i="29"/>
  <c r="E23" i="27"/>
  <c r="E29" i="27"/>
  <c r="E33" i="27"/>
  <c r="E27" i="27"/>
  <c r="E25" i="27"/>
  <c r="C45" i="24"/>
  <c r="C45" i="27"/>
  <c r="C46" i="27" s="1"/>
  <c r="C45" i="23"/>
  <c r="D75" i="24"/>
  <c r="AK19" i="20"/>
  <c r="AO19" i="20" s="1"/>
  <c r="AK19" i="24"/>
  <c r="AO19" i="24" s="1"/>
  <c r="AK19" i="23"/>
  <c r="AO19" i="23" s="1"/>
  <c r="AQ20" i="23" s="1"/>
  <c r="D75" i="20"/>
  <c r="AK19" i="29"/>
  <c r="D75" i="29"/>
  <c r="E7" i="27"/>
  <c r="F35" i="27"/>
  <c r="F36" i="27" s="1"/>
  <c r="I24" i="23"/>
  <c r="I23" i="23"/>
  <c r="I30" i="23"/>
  <c r="I28" i="23"/>
  <c r="I25" i="23"/>
  <c r="I26" i="23"/>
  <c r="L24" i="23"/>
  <c r="L27" i="23"/>
  <c r="L7" i="23"/>
  <c r="M35" i="23"/>
  <c r="M36" i="23" s="1"/>
  <c r="U18" i="27"/>
  <c r="Z68" i="27"/>
  <c r="AA68" i="27" s="1"/>
  <c r="O189" i="14"/>
  <c r="K182" i="14"/>
  <c r="F76" i="14"/>
  <c r="E76" i="14" s="1"/>
  <c r="R76" i="14"/>
  <c r="F68" i="14"/>
  <c r="E68" i="14" s="1"/>
  <c r="J66" i="14"/>
  <c r="I66" i="14" s="1"/>
  <c r="Q158" i="14"/>
  <c r="Q157" i="14"/>
  <c r="R55" i="14"/>
  <c r="F55" i="14"/>
  <c r="E55" i="14" s="1"/>
  <c r="M51" i="14"/>
  <c r="N148" i="14"/>
  <c r="M38" i="14"/>
  <c r="M36" i="14"/>
  <c r="O131" i="14"/>
  <c r="M34" i="14"/>
  <c r="J23" i="14"/>
  <c r="I23" i="14" s="1"/>
  <c r="S23" i="14" s="1"/>
  <c r="L202" i="14"/>
  <c r="AE72" i="23"/>
  <c r="D47" i="29"/>
  <c r="C46" i="29"/>
  <c r="E43" i="20"/>
  <c r="E44" i="20" s="1"/>
  <c r="E43" i="29"/>
  <c r="E43" i="24"/>
  <c r="E44" i="24" s="1"/>
  <c r="E43" i="27"/>
  <c r="H161" i="14"/>
  <c r="N131" i="14"/>
  <c r="M32" i="14"/>
  <c r="I32" i="14" s="1"/>
  <c r="S32" i="14" s="1"/>
  <c r="H126" i="14"/>
  <c r="L120" i="14"/>
  <c r="H114" i="14"/>
  <c r="H205" i="14"/>
  <c r="H112" i="14"/>
  <c r="N105" i="14"/>
  <c r="M6" i="14"/>
  <c r="AE76" i="23"/>
  <c r="D14" i="24"/>
  <c r="E30" i="24"/>
  <c r="E29" i="24"/>
  <c r="AM8" i="24"/>
  <c r="AO8" i="24" s="1"/>
  <c r="AQ9" i="24" s="1"/>
  <c r="AM8" i="27"/>
  <c r="AO8" i="27" s="1"/>
  <c r="AQ9" i="27" s="1"/>
  <c r="AM8" i="20"/>
  <c r="E56" i="27"/>
  <c r="E56" i="23"/>
  <c r="AM8" i="23"/>
  <c r="E56" i="20"/>
  <c r="E56" i="24"/>
  <c r="E56" i="29"/>
  <c r="F58" i="29" s="1"/>
  <c r="P173" i="14"/>
  <c r="Q165" i="14"/>
  <c r="Q166" i="14"/>
  <c r="R63" i="14"/>
  <c r="F63" i="14"/>
  <c r="E63" i="14" s="1"/>
  <c r="G152" i="14"/>
  <c r="G149" i="14"/>
  <c r="F149" i="14" s="1"/>
  <c r="E149" i="14" s="1"/>
  <c r="G150" i="14"/>
  <c r="F150" i="14" s="1"/>
  <c r="E150" i="14" s="1"/>
  <c r="C43" i="29"/>
  <c r="C43" i="27"/>
  <c r="D44" i="27" s="1"/>
  <c r="C43" i="23"/>
  <c r="C43" i="24"/>
  <c r="D44" i="24" s="1"/>
  <c r="AL10" i="29"/>
  <c r="AL13" i="29" s="1"/>
  <c r="AL10" i="23"/>
  <c r="AL10" i="20"/>
  <c r="AL10" i="24"/>
  <c r="AL13" i="24" s="1"/>
  <c r="H326" i="14"/>
  <c r="H322" i="14"/>
  <c r="H318" i="14"/>
  <c r="K314" i="14"/>
  <c r="K274" i="14"/>
  <c r="H267" i="14"/>
  <c r="G251" i="14"/>
  <c r="N243" i="14"/>
  <c r="K233" i="14"/>
  <c r="O222" i="14"/>
  <c r="H201" i="14"/>
  <c r="K170" i="14"/>
  <c r="K160" i="14"/>
  <c r="O149" i="14"/>
  <c r="N129" i="14"/>
  <c r="H110" i="14"/>
  <c r="I98" i="14"/>
  <c r="J95" i="14"/>
  <c r="K193" i="14"/>
  <c r="K191" i="14"/>
  <c r="O192" i="14"/>
  <c r="L189" i="14"/>
  <c r="P187" i="14"/>
  <c r="J82" i="14"/>
  <c r="O177" i="14"/>
  <c r="G175" i="14"/>
  <c r="M59" i="14"/>
  <c r="N156" i="14"/>
  <c r="N155" i="14"/>
  <c r="J56" i="14"/>
  <c r="I56" i="14" s="1"/>
  <c r="P142" i="14"/>
  <c r="H141" i="14"/>
  <c r="J34" i="14"/>
  <c r="K133" i="14"/>
  <c r="G119" i="14"/>
  <c r="G120" i="14"/>
  <c r="F120" i="14" s="1"/>
  <c r="E120" i="14" s="1"/>
  <c r="H202" i="14"/>
  <c r="H109" i="14"/>
  <c r="H198" i="14"/>
  <c r="H106" i="14"/>
  <c r="H199" i="14"/>
  <c r="AG54" i="20"/>
  <c r="P29" i="20"/>
  <c r="AB72" i="23"/>
  <c r="AM6" i="24"/>
  <c r="AP4" i="27"/>
  <c r="G66" i="29"/>
  <c r="G68" i="29" s="1"/>
  <c r="G66" i="24"/>
  <c r="G68" i="24" s="1"/>
  <c r="AN10" i="29"/>
  <c r="AN13" i="29" s="1"/>
  <c r="AN10" i="23"/>
  <c r="AN13" i="23" s="1"/>
  <c r="AN10" i="24"/>
  <c r="AN13" i="24" s="1"/>
  <c r="G66" i="23"/>
  <c r="G68" i="23" s="1"/>
  <c r="AN10" i="27"/>
  <c r="G66" i="20"/>
  <c r="G68" i="20" s="1"/>
  <c r="G66" i="31"/>
  <c r="G68" i="31" s="1"/>
  <c r="M43" i="14"/>
  <c r="I43" i="14" s="1"/>
  <c r="S43" i="14" s="1"/>
  <c r="J38" i="14"/>
  <c r="G118" i="14"/>
  <c r="AG66" i="20"/>
  <c r="R37" i="20"/>
  <c r="T24" i="24"/>
  <c r="P2" i="23"/>
  <c r="AC50" i="29"/>
  <c r="AR22" i="29"/>
  <c r="S37" i="23"/>
  <c r="H13" i="11"/>
  <c r="E32" i="31"/>
  <c r="D16" i="31"/>
  <c r="J93" i="14"/>
  <c r="F81" i="14"/>
  <c r="E81" i="14" s="1"/>
  <c r="M63" i="14"/>
  <c r="J52" i="14"/>
  <c r="J36" i="14"/>
  <c r="J10" i="14"/>
  <c r="L34" i="20"/>
  <c r="AP21" i="20"/>
  <c r="AR21" i="20" s="1"/>
  <c r="V13" i="20"/>
  <c r="AC64" i="23"/>
  <c r="AP9" i="23"/>
  <c r="AG66" i="24"/>
  <c r="G55" i="24"/>
  <c r="AM26" i="24"/>
  <c r="AP24" i="27"/>
  <c r="V23" i="27"/>
  <c r="H16" i="10"/>
  <c r="H10" i="6"/>
  <c r="AP21" i="31"/>
  <c r="AR21" i="31" s="1"/>
  <c r="G162" i="14"/>
  <c r="K136" i="14"/>
  <c r="H193" i="14"/>
  <c r="R64" i="14"/>
  <c r="M15" i="14"/>
  <c r="AF72" i="20"/>
  <c r="T38" i="20"/>
  <c r="H16" i="18"/>
  <c r="AO20" i="23"/>
  <c r="AC70" i="24"/>
  <c r="AH58" i="24"/>
  <c r="G44" i="24"/>
  <c r="K37" i="24"/>
  <c r="G65" i="27"/>
  <c r="AP20" i="29"/>
  <c r="V10" i="23"/>
  <c r="P24" i="29"/>
  <c r="E28" i="32"/>
  <c r="V10" i="39"/>
  <c r="U10" i="39"/>
  <c r="F93" i="14"/>
  <c r="E93" i="14" s="1"/>
  <c r="J79" i="14"/>
  <c r="I79" i="14" s="1"/>
  <c r="R73" i="14"/>
  <c r="R68" i="14"/>
  <c r="M53" i="14"/>
  <c r="M25" i="14"/>
  <c r="J6" i="14"/>
  <c r="P28" i="20"/>
  <c r="AP6" i="20"/>
  <c r="AG52" i="23"/>
  <c r="T23" i="24"/>
  <c r="AP9" i="24"/>
  <c r="AG64" i="29"/>
  <c r="AO19" i="29"/>
  <c r="T28" i="23"/>
  <c r="E26" i="23"/>
  <c r="F45" i="34"/>
  <c r="F47" i="34" s="1"/>
  <c r="F45" i="23"/>
  <c r="V18" i="32"/>
  <c r="U18" i="32"/>
  <c r="P105" i="14"/>
  <c r="R105" i="14" s="1"/>
  <c r="J37" i="20"/>
  <c r="F67" i="27"/>
  <c r="AN4" i="29"/>
  <c r="AP4" i="29" s="1"/>
  <c r="AN4" i="27"/>
  <c r="AN4" i="24"/>
  <c r="AP4" i="24" s="1"/>
  <c r="F35" i="24"/>
  <c r="F36" i="24" s="1"/>
  <c r="E7" i="24"/>
  <c r="N152" i="14"/>
  <c r="P138" i="14"/>
  <c r="P106" i="14"/>
  <c r="L172" i="14"/>
  <c r="R72" i="14"/>
  <c r="J25" i="14"/>
  <c r="Z62" i="20"/>
  <c r="T34" i="20"/>
  <c r="V12" i="20"/>
  <c r="H14" i="18"/>
  <c r="AC48" i="23"/>
  <c r="AP22" i="23"/>
  <c r="AR22" i="23" s="1"/>
  <c r="C37" i="24"/>
  <c r="T31" i="24"/>
  <c r="AR19" i="24"/>
  <c r="E46" i="27"/>
  <c r="H65" i="29"/>
  <c r="AA54" i="29"/>
  <c r="N43" i="29"/>
  <c r="R43" i="29"/>
  <c r="R42" i="29" s="1"/>
  <c r="R45" i="29" s="1"/>
  <c r="D9" i="24"/>
  <c r="E20" i="24"/>
  <c r="E25" i="24"/>
  <c r="E26" i="24"/>
  <c r="E34" i="24"/>
  <c r="AF76" i="24"/>
  <c r="H16" i="8"/>
  <c r="U16" i="29"/>
  <c r="Z64" i="29"/>
  <c r="L31" i="29"/>
  <c r="L37" i="29" s="1"/>
  <c r="H10" i="32"/>
  <c r="L27" i="32"/>
  <c r="L26" i="32"/>
  <c r="L25" i="32"/>
  <c r="AG62" i="20"/>
  <c r="AP9" i="20"/>
  <c r="AC66" i="23"/>
  <c r="AC64" i="27"/>
  <c r="T32" i="27"/>
  <c r="T30" i="29"/>
  <c r="C66" i="31"/>
  <c r="C66" i="29"/>
  <c r="C67" i="29" s="1"/>
  <c r="D70" i="29" s="1"/>
  <c r="AH66" i="29"/>
  <c r="G55" i="31"/>
  <c r="D10" i="32"/>
  <c r="E31" i="32"/>
  <c r="E30" i="32"/>
  <c r="E34" i="32"/>
  <c r="D2" i="37"/>
  <c r="D37" i="37" s="1"/>
  <c r="D38" i="37" s="1"/>
  <c r="F100" i="14"/>
  <c r="E100" i="14" s="1"/>
  <c r="M61" i="14"/>
  <c r="I61" i="14" s="1"/>
  <c r="J57" i="14"/>
  <c r="AC60" i="20"/>
  <c r="T26" i="20"/>
  <c r="T24" i="20"/>
  <c r="AR20" i="20"/>
  <c r="AH50" i="23"/>
  <c r="AP6" i="27"/>
  <c r="AR6" i="27" s="1"/>
  <c r="Q37" i="24"/>
  <c r="J9" i="27"/>
  <c r="G161" i="14"/>
  <c r="F161" i="14" s="1"/>
  <c r="E161" i="14" s="1"/>
  <c r="N141" i="14"/>
  <c r="D190" i="14"/>
  <c r="F91" i="14"/>
  <c r="E91" i="14" s="1"/>
  <c r="Q179" i="14"/>
  <c r="F77" i="14"/>
  <c r="E77" i="14" s="1"/>
  <c r="F74" i="14"/>
  <c r="E74" i="14" s="1"/>
  <c r="J44" i="14"/>
  <c r="J9" i="14"/>
  <c r="AH70" i="20"/>
  <c r="E68" i="20"/>
  <c r="AG48" i="20"/>
  <c r="AO24" i="20"/>
  <c r="AP23" i="20"/>
  <c r="H13" i="18"/>
  <c r="AC52" i="24"/>
  <c r="AD75" i="24"/>
  <c r="D25" i="29"/>
  <c r="H9" i="11"/>
  <c r="H16" i="9"/>
  <c r="C56" i="29"/>
  <c r="AM5" i="29"/>
  <c r="C37" i="31"/>
  <c r="V15" i="33"/>
  <c r="U15" i="33"/>
  <c r="R93" i="14"/>
  <c r="M14" i="14"/>
  <c r="AP4" i="20"/>
  <c r="AC70" i="23"/>
  <c r="C57" i="23"/>
  <c r="D60" i="23" s="1"/>
  <c r="AP18" i="23"/>
  <c r="AR19" i="23" s="1"/>
  <c r="AG60" i="24"/>
  <c r="AG54" i="24"/>
  <c r="AP22" i="27"/>
  <c r="AR22" i="27" s="1"/>
  <c r="AN9" i="24"/>
  <c r="F66" i="24"/>
  <c r="F68" i="24" s="1"/>
  <c r="H14" i="8"/>
  <c r="I8" i="24"/>
  <c r="J24" i="24"/>
  <c r="J33" i="24"/>
  <c r="R66" i="14"/>
  <c r="AP22" i="20"/>
  <c r="AR22" i="20" s="1"/>
  <c r="H11" i="20"/>
  <c r="L26" i="20"/>
  <c r="AG58" i="23"/>
  <c r="AC50" i="23"/>
  <c r="AR21" i="23"/>
  <c r="AC60" i="24"/>
  <c r="AP21" i="24"/>
  <c r="AO20" i="24"/>
  <c r="AQ20" i="24" s="1"/>
  <c r="AC50" i="27"/>
  <c r="G55" i="29"/>
  <c r="AL5" i="29"/>
  <c r="AP5" i="29" s="1"/>
  <c r="AL5" i="24"/>
  <c r="AL5" i="27"/>
  <c r="AP5" i="27" s="1"/>
  <c r="AL5" i="23"/>
  <c r="AP5" i="23" s="1"/>
  <c r="AR5" i="23" s="1"/>
  <c r="U14" i="24"/>
  <c r="V14" i="24"/>
  <c r="E26" i="32"/>
  <c r="U19" i="31"/>
  <c r="Z70" i="31"/>
  <c r="AH70" i="31" s="1"/>
  <c r="P27" i="31"/>
  <c r="P25" i="31"/>
  <c r="P31" i="31"/>
  <c r="P37" i="31" s="1"/>
  <c r="J32" i="33"/>
  <c r="M55" i="14"/>
  <c r="J40" i="14"/>
  <c r="T32" i="20"/>
  <c r="E68" i="23"/>
  <c r="AC54" i="23"/>
  <c r="L19" i="18"/>
  <c r="AP20" i="27"/>
  <c r="G58" i="29"/>
  <c r="F55" i="29"/>
  <c r="D43" i="29"/>
  <c r="D46" i="29" s="1"/>
  <c r="D43" i="34"/>
  <c r="H18" i="10"/>
  <c r="AP6" i="29"/>
  <c r="AR6" i="29" s="1"/>
  <c r="P7" i="29"/>
  <c r="P35" i="29" s="1"/>
  <c r="P36" i="29" s="1"/>
  <c r="Q35" i="29"/>
  <c r="Q36" i="29" s="1"/>
  <c r="V23" i="32"/>
  <c r="AC70" i="31"/>
  <c r="AC52" i="31"/>
  <c r="T31" i="32"/>
  <c r="AI52" i="34"/>
  <c r="AD71" i="34"/>
  <c r="H18" i="8"/>
  <c r="H18" i="6"/>
  <c r="H12" i="6"/>
  <c r="L7" i="24"/>
  <c r="E7" i="29"/>
  <c r="AD75" i="31"/>
  <c r="T27" i="31"/>
  <c r="P26" i="31"/>
  <c r="E33" i="32"/>
  <c r="P20" i="32"/>
  <c r="P21" i="32" s="1"/>
  <c r="C37" i="32"/>
  <c r="T36" i="32"/>
  <c r="D2" i="36"/>
  <c r="F57" i="24"/>
  <c r="G60" i="24" s="1"/>
  <c r="R37" i="24"/>
  <c r="AR20" i="24"/>
  <c r="AC66" i="27"/>
  <c r="Z64" i="27"/>
  <c r="AA64" i="27" s="1"/>
  <c r="K37" i="27"/>
  <c r="L26" i="27"/>
  <c r="E66" i="29"/>
  <c r="AH54" i="29"/>
  <c r="H19" i="9"/>
  <c r="H11" i="7"/>
  <c r="I7" i="23"/>
  <c r="H14" i="23"/>
  <c r="L2" i="34"/>
  <c r="AG60" i="31"/>
  <c r="J30" i="32"/>
  <c r="E29" i="32"/>
  <c r="J25" i="32"/>
  <c r="T26" i="33"/>
  <c r="T30" i="33"/>
  <c r="AD75" i="34"/>
  <c r="P29" i="34"/>
  <c r="L28" i="34"/>
  <c r="L20" i="34"/>
  <c r="C37" i="39"/>
  <c r="P32" i="31"/>
  <c r="P25" i="33"/>
  <c r="E33" i="33"/>
  <c r="P33" i="34"/>
  <c r="AL26" i="34"/>
  <c r="AG48" i="23"/>
  <c r="AP20" i="23"/>
  <c r="AR20" i="23" s="1"/>
  <c r="AG58" i="24"/>
  <c r="I2" i="23"/>
  <c r="AG70" i="27"/>
  <c r="AC56" i="27"/>
  <c r="AO22" i="27"/>
  <c r="V15" i="27"/>
  <c r="V8" i="27"/>
  <c r="AP21" i="29"/>
  <c r="AR21" i="29" s="1"/>
  <c r="P7" i="24"/>
  <c r="P35" i="24" s="1"/>
  <c r="P36" i="24" s="1"/>
  <c r="E26" i="31"/>
  <c r="R37" i="32"/>
  <c r="R38" i="32" s="1"/>
  <c r="AG56" i="34"/>
  <c r="L32" i="34"/>
  <c r="J11" i="34"/>
  <c r="I11" i="34" s="1"/>
  <c r="H11" i="34" s="1"/>
  <c r="L25" i="34"/>
  <c r="P29" i="33"/>
  <c r="AC62" i="34"/>
  <c r="G55" i="34"/>
  <c r="T26" i="34"/>
  <c r="E2" i="37"/>
  <c r="J2" i="40"/>
  <c r="J37" i="40" s="1"/>
  <c r="J38" i="40" s="1"/>
  <c r="P23" i="33"/>
  <c r="T25" i="33"/>
  <c r="E32" i="33"/>
  <c r="E20" i="34"/>
  <c r="F37" i="37"/>
  <c r="F38" i="37" s="1"/>
  <c r="U17" i="40"/>
  <c r="H2" i="41"/>
  <c r="H15" i="9"/>
  <c r="H9" i="9"/>
  <c r="H15" i="8"/>
  <c r="H8" i="8"/>
  <c r="H16" i="7"/>
  <c r="H8" i="6"/>
  <c r="AC62" i="31"/>
  <c r="L33" i="34"/>
  <c r="L24" i="34"/>
  <c r="P26" i="37"/>
  <c r="T27" i="34"/>
  <c r="J8" i="34"/>
  <c r="I37" i="37"/>
  <c r="I38" i="37" s="1"/>
  <c r="H15" i="6"/>
  <c r="G65" i="31"/>
  <c r="F55" i="31"/>
  <c r="AC50" i="31"/>
  <c r="V14" i="32"/>
  <c r="I37" i="32"/>
  <c r="I38" i="32" s="1"/>
  <c r="T34" i="33"/>
  <c r="J30" i="33"/>
  <c r="T33" i="37"/>
  <c r="E2" i="39"/>
  <c r="T27" i="38"/>
  <c r="T31" i="34"/>
  <c r="T23" i="35"/>
  <c r="J2" i="37"/>
  <c r="J37" i="37" s="1"/>
  <c r="J38" i="37" s="1"/>
  <c r="T30" i="36"/>
  <c r="L2" i="36"/>
  <c r="L37" i="36" s="1"/>
  <c r="P2" i="38"/>
  <c r="P37" i="38" s="1"/>
  <c r="P38" i="38" s="1"/>
  <c r="M37" i="37"/>
  <c r="M38" i="37" s="1"/>
  <c r="V17" i="40"/>
  <c r="T31" i="23"/>
  <c r="H15" i="10"/>
  <c r="H8" i="10"/>
  <c r="H14" i="7"/>
  <c r="T7" i="24"/>
  <c r="L7" i="27"/>
  <c r="L35" i="27" s="1"/>
  <c r="T32" i="31"/>
  <c r="P29" i="31"/>
  <c r="E23" i="32"/>
  <c r="L24" i="33"/>
  <c r="T25" i="34"/>
  <c r="T28" i="36"/>
  <c r="M37" i="36"/>
  <c r="M38" i="36" s="1"/>
  <c r="J2" i="38"/>
  <c r="T28" i="37"/>
  <c r="N37" i="37"/>
  <c r="N38" i="37" s="1"/>
  <c r="S37" i="31"/>
  <c r="T34" i="32"/>
  <c r="T30" i="32"/>
  <c r="E27" i="32"/>
  <c r="H8" i="33"/>
  <c r="AG68" i="34"/>
  <c r="AG52" i="34"/>
  <c r="AC48" i="34"/>
  <c r="E30" i="34"/>
  <c r="AP20" i="34"/>
  <c r="L2" i="37"/>
  <c r="L37" i="37" s="1"/>
  <c r="L38" i="37" s="1"/>
  <c r="L2" i="38"/>
  <c r="L37" i="38" s="1"/>
  <c r="L38" i="38" s="1"/>
  <c r="S37" i="37"/>
  <c r="S38" i="37" s="1"/>
  <c r="P2" i="39"/>
  <c r="T31" i="38"/>
  <c r="AG60" i="29"/>
  <c r="T24" i="29"/>
  <c r="H9" i="29"/>
  <c r="AC48" i="31"/>
  <c r="T31" i="31"/>
  <c r="L34" i="31"/>
  <c r="P20" i="31"/>
  <c r="E32" i="32"/>
  <c r="O37" i="32"/>
  <c r="O38" i="32" s="1"/>
  <c r="L23" i="33"/>
  <c r="L28" i="33"/>
  <c r="I37" i="33"/>
  <c r="I38" i="33" s="1"/>
  <c r="E2" i="35"/>
  <c r="N37" i="34"/>
  <c r="P2" i="37"/>
  <c r="P37" i="37" s="1"/>
  <c r="P38" i="37" s="1"/>
  <c r="P34" i="37"/>
  <c r="AP24" i="23"/>
  <c r="AR24" i="23" s="1"/>
  <c r="E65" i="24"/>
  <c r="D46" i="24"/>
  <c r="T32" i="24"/>
  <c r="AP22" i="24"/>
  <c r="AR22" i="24" s="1"/>
  <c r="AL26" i="27"/>
  <c r="H8" i="7"/>
  <c r="T32" i="29"/>
  <c r="T29" i="29"/>
  <c r="H12" i="8"/>
  <c r="H13" i="7"/>
  <c r="H10" i="29"/>
  <c r="AG66" i="31"/>
  <c r="P30" i="31"/>
  <c r="L24" i="31"/>
  <c r="L23" i="31"/>
  <c r="E28" i="31"/>
  <c r="L28" i="32"/>
  <c r="J27" i="33"/>
  <c r="P28" i="34"/>
  <c r="T20" i="34"/>
  <c r="R37" i="37"/>
  <c r="T26" i="38"/>
  <c r="AG56" i="24"/>
  <c r="AG52" i="24"/>
  <c r="N37" i="27"/>
  <c r="L25" i="27"/>
  <c r="AC56" i="29"/>
  <c r="S37" i="29"/>
  <c r="H11" i="8"/>
  <c r="T28" i="31"/>
  <c r="AP19" i="31"/>
  <c r="AR19" i="31" s="1"/>
  <c r="O37" i="33"/>
  <c r="O38" i="33" s="1"/>
  <c r="T24" i="36"/>
  <c r="T29" i="36"/>
  <c r="Q37" i="36"/>
  <c r="Q38" i="36" s="1"/>
  <c r="V38" i="42"/>
  <c r="V29" i="41"/>
  <c r="V34" i="41"/>
  <c r="H37" i="41"/>
  <c r="H38" i="41" s="1"/>
  <c r="U38" i="41" s="1"/>
  <c r="V28" i="41"/>
  <c r="V27" i="41"/>
  <c r="V30" i="41"/>
  <c r="V32" i="41"/>
  <c r="V31" i="41"/>
  <c r="V35" i="41"/>
  <c r="H21" i="41"/>
  <c r="U21" i="41" s="1"/>
  <c r="U20" i="41"/>
  <c r="V33" i="41"/>
  <c r="L38" i="41"/>
  <c r="N36" i="41"/>
  <c r="H36" i="41"/>
  <c r="U36" i="41" s="1"/>
  <c r="V20" i="41"/>
  <c r="AH62" i="24"/>
  <c r="AA62" i="24"/>
  <c r="AQ10" i="29"/>
  <c r="AO13" i="29"/>
  <c r="L21" i="37"/>
  <c r="V23" i="38"/>
  <c r="D23" i="38"/>
  <c r="D28" i="38"/>
  <c r="D29" i="38"/>
  <c r="D31" i="38"/>
  <c r="D32" i="38"/>
  <c r="D20" i="38"/>
  <c r="D21" i="38" s="1"/>
  <c r="D24" i="38"/>
  <c r="D27" i="38"/>
  <c r="D30" i="38"/>
  <c r="D26" i="38"/>
  <c r="D35" i="38"/>
  <c r="D25" i="38"/>
  <c r="H36" i="37"/>
  <c r="N36" i="37"/>
  <c r="H31" i="35"/>
  <c r="U31" i="35" s="1"/>
  <c r="N36" i="35"/>
  <c r="H36" i="35"/>
  <c r="U36" i="35" s="1"/>
  <c r="H24" i="35"/>
  <c r="U24" i="35" s="1"/>
  <c r="AI78" i="34"/>
  <c r="AH78" i="34"/>
  <c r="AH74" i="23"/>
  <c r="AI74" i="23"/>
  <c r="AI78" i="27"/>
  <c r="R228" i="14"/>
  <c r="U34" i="36"/>
  <c r="V34" i="36"/>
  <c r="J20" i="35"/>
  <c r="J21" i="35" s="1"/>
  <c r="U38" i="29"/>
  <c r="V38" i="29"/>
  <c r="U21" i="27"/>
  <c r="H79" i="27"/>
  <c r="V21" i="27"/>
  <c r="AK11" i="27"/>
  <c r="AO11" i="27" s="1"/>
  <c r="AQ11" i="27" s="1"/>
  <c r="AH74" i="12"/>
  <c r="AI74" i="12"/>
  <c r="AA66" i="27"/>
  <c r="AH66" i="27"/>
  <c r="AI66" i="27"/>
  <c r="AO10" i="11"/>
  <c r="E50" i="13"/>
  <c r="D73" i="13" s="1"/>
  <c r="E73" i="13" s="1"/>
  <c r="E71" i="13"/>
  <c r="E49" i="13"/>
  <c r="D72" i="13" s="1"/>
  <c r="E72" i="13" s="1"/>
  <c r="E47" i="13"/>
  <c r="D70" i="13" s="1"/>
  <c r="E70" i="13" s="1"/>
  <c r="F140" i="14"/>
  <c r="E140" i="14" s="1"/>
  <c r="U9" i="35"/>
  <c r="H33" i="35"/>
  <c r="U33" i="35" s="1"/>
  <c r="H25" i="38"/>
  <c r="U25" i="38" s="1"/>
  <c r="U10" i="38"/>
  <c r="V10" i="38"/>
  <c r="H28" i="38"/>
  <c r="H31" i="38"/>
  <c r="U31" i="38" s="1"/>
  <c r="V27" i="38"/>
  <c r="D23" i="37"/>
  <c r="D24" i="37"/>
  <c r="D28" i="37"/>
  <c r="D25" i="37"/>
  <c r="D26" i="37"/>
  <c r="D29" i="37"/>
  <c r="D30" i="37"/>
  <c r="U26" i="36"/>
  <c r="V26" i="36"/>
  <c r="V24" i="36"/>
  <c r="V24" i="35"/>
  <c r="J24" i="35"/>
  <c r="J26" i="35"/>
  <c r="J28" i="35"/>
  <c r="J29" i="35"/>
  <c r="J30" i="35"/>
  <c r="J32" i="35"/>
  <c r="J34" i="35"/>
  <c r="J35" i="35"/>
  <c r="J36" i="35" s="1"/>
  <c r="J33" i="35"/>
  <c r="J27" i="35"/>
  <c r="L34" i="33"/>
  <c r="L20" i="33"/>
  <c r="AH74" i="27"/>
  <c r="AH78" i="29"/>
  <c r="AI78" i="29"/>
  <c r="R224" i="14"/>
  <c r="AQ10" i="34"/>
  <c r="AO13" i="34"/>
  <c r="AA48" i="23"/>
  <c r="AI48" i="23"/>
  <c r="U21" i="34"/>
  <c r="V21" i="34"/>
  <c r="AK11" i="34"/>
  <c r="AO11" i="34" s="1"/>
  <c r="AQ11" i="34" s="1"/>
  <c r="U17" i="27"/>
  <c r="H2" i="29"/>
  <c r="V17" i="27"/>
  <c r="U17" i="24"/>
  <c r="H2" i="34"/>
  <c r="Z66" i="24"/>
  <c r="H2" i="27"/>
  <c r="R221" i="14"/>
  <c r="AO10" i="20"/>
  <c r="AK13" i="20"/>
  <c r="AA70" i="27"/>
  <c r="AH70" i="27"/>
  <c r="AQ11" i="10"/>
  <c r="AQ9" i="31"/>
  <c r="AA50" i="34"/>
  <c r="AH50" i="34"/>
  <c r="U19" i="24"/>
  <c r="Z70" i="24"/>
  <c r="V19" i="24"/>
  <c r="AR5" i="34"/>
  <c r="E47" i="31"/>
  <c r="D8" i="12"/>
  <c r="E20" i="12"/>
  <c r="E23" i="12"/>
  <c r="E31" i="12"/>
  <c r="E37" i="12" s="1"/>
  <c r="E29" i="12"/>
  <c r="E24" i="12"/>
  <c r="E35" i="12"/>
  <c r="E32" i="12"/>
  <c r="E26" i="12"/>
  <c r="H14" i="5"/>
  <c r="R14" i="5" s="1"/>
  <c r="V15" i="24"/>
  <c r="AK13" i="31"/>
  <c r="F390" i="14"/>
  <c r="E390" i="14" s="1"/>
  <c r="AH62" i="12"/>
  <c r="D68" i="8"/>
  <c r="E46" i="34"/>
  <c r="E58" i="34"/>
  <c r="L36" i="32"/>
  <c r="T23" i="14"/>
  <c r="X48" i="5"/>
  <c r="Z72" i="5"/>
  <c r="AF72" i="5" s="1"/>
  <c r="D67" i="11"/>
  <c r="E70" i="11" s="1"/>
  <c r="D68" i="11"/>
  <c r="E68" i="11"/>
  <c r="L20" i="5"/>
  <c r="L26" i="5"/>
  <c r="L34" i="5"/>
  <c r="L35" i="5"/>
  <c r="L28" i="5"/>
  <c r="L31" i="5"/>
  <c r="L25" i="5"/>
  <c r="L30" i="5"/>
  <c r="L33" i="5"/>
  <c r="H23" i="23"/>
  <c r="U23" i="23" s="1"/>
  <c r="U8" i="23"/>
  <c r="V17" i="32"/>
  <c r="T58" i="14"/>
  <c r="D215" i="14"/>
  <c r="D300" i="14"/>
  <c r="D306" i="14"/>
  <c r="D304" i="14"/>
  <c r="D122" i="14"/>
  <c r="D381" i="14"/>
  <c r="D127" i="14"/>
  <c r="F28" i="14"/>
  <c r="E28" i="14" s="1"/>
  <c r="D125" i="14"/>
  <c r="D302" i="14"/>
  <c r="D316" i="14"/>
  <c r="D389" i="14"/>
  <c r="D223" i="14"/>
  <c r="D138" i="14"/>
  <c r="D136" i="14"/>
  <c r="D314" i="14"/>
  <c r="D310" i="14"/>
  <c r="D393" i="14"/>
  <c r="D318" i="14"/>
  <c r="D229" i="14"/>
  <c r="D225" i="14"/>
  <c r="D385" i="14"/>
  <c r="E28" i="12"/>
  <c r="AC72" i="6"/>
  <c r="AF64" i="6"/>
  <c r="AD50" i="6"/>
  <c r="V72" i="6"/>
  <c r="Q31" i="6"/>
  <c r="M37" i="6"/>
  <c r="AA75" i="6"/>
  <c r="AF48" i="5"/>
  <c r="C38" i="5"/>
  <c r="L32" i="5"/>
  <c r="L29" i="5"/>
  <c r="E27" i="5"/>
  <c r="H32" i="36"/>
  <c r="D31" i="36"/>
  <c r="D37" i="36" s="1"/>
  <c r="D38" i="36" s="1"/>
  <c r="D27" i="36"/>
  <c r="L33" i="35"/>
  <c r="V33" i="35" s="1"/>
  <c r="E34" i="35"/>
  <c r="H79" i="12"/>
  <c r="AK11" i="12"/>
  <c r="AO11" i="12" s="1"/>
  <c r="AR9" i="34"/>
  <c r="U15" i="24"/>
  <c r="AP13" i="31"/>
  <c r="L38" i="1"/>
  <c r="D230" i="14"/>
  <c r="D226" i="14"/>
  <c r="D222" i="14"/>
  <c r="D378" i="14"/>
  <c r="R16" i="13"/>
  <c r="D383" i="14"/>
  <c r="T61" i="14"/>
  <c r="I2" i="29"/>
  <c r="AR11" i="31"/>
  <c r="D57" i="34"/>
  <c r="E60" i="34" s="1"/>
  <c r="H25" i="23"/>
  <c r="U25" i="23" s="1"/>
  <c r="V8" i="23"/>
  <c r="D24" i="33"/>
  <c r="U9" i="34"/>
  <c r="D394" i="14"/>
  <c r="D317" i="14"/>
  <c r="D311" i="14"/>
  <c r="R28" i="14"/>
  <c r="D220" i="14"/>
  <c r="AN11" i="10"/>
  <c r="AP11" i="10" s="1"/>
  <c r="D379" i="14"/>
  <c r="AO8" i="10"/>
  <c r="AQ8" i="10" s="1"/>
  <c r="F46" i="31"/>
  <c r="G45" i="31" s="1"/>
  <c r="E46" i="31"/>
  <c r="U17" i="32"/>
  <c r="AK8" i="9"/>
  <c r="AO8" i="9" s="1"/>
  <c r="D79" i="10"/>
  <c r="E79" i="31"/>
  <c r="AK8" i="29"/>
  <c r="AO8" i="29" s="1"/>
  <c r="AK8" i="20"/>
  <c r="AO8" i="20" s="1"/>
  <c r="E79" i="24"/>
  <c r="U21" i="9"/>
  <c r="AK9" i="11"/>
  <c r="AO9" i="11" s="1"/>
  <c r="E79" i="12"/>
  <c r="AK8" i="18"/>
  <c r="AO8" i="18" s="1"/>
  <c r="S97" i="14"/>
  <c r="T97" i="14"/>
  <c r="T64" i="14"/>
  <c r="D312" i="14"/>
  <c r="E30" i="12"/>
  <c r="S38" i="6"/>
  <c r="D24" i="6"/>
  <c r="D35" i="6"/>
  <c r="U17" i="31"/>
  <c r="V17" i="31"/>
  <c r="Z66" i="31"/>
  <c r="J31" i="31"/>
  <c r="J37" i="31" s="1"/>
  <c r="X66" i="6"/>
  <c r="AE66" i="6"/>
  <c r="AE64" i="6"/>
  <c r="X58" i="6"/>
  <c r="AE58" i="6"/>
  <c r="Y76" i="6"/>
  <c r="E26" i="6"/>
  <c r="E33" i="6"/>
  <c r="E34" i="6"/>
  <c r="E20" i="6"/>
  <c r="D20" i="6"/>
  <c r="D25" i="6"/>
  <c r="D33" i="6"/>
  <c r="D32" i="6"/>
  <c r="D29" i="6"/>
  <c r="D28" i="6"/>
  <c r="D30" i="6"/>
  <c r="D31" i="6"/>
  <c r="D34" i="6"/>
  <c r="AF58" i="5"/>
  <c r="AD76" i="5"/>
  <c r="N37" i="5"/>
  <c r="N38" i="5" s="1"/>
  <c r="AA76" i="5"/>
  <c r="AA78" i="5" s="1"/>
  <c r="Q23" i="4"/>
  <c r="F37" i="4"/>
  <c r="F38" i="4" s="1"/>
  <c r="R37" i="18"/>
  <c r="T37" i="18" s="1"/>
  <c r="T31" i="18"/>
  <c r="T31" i="12"/>
  <c r="R37" i="12"/>
  <c r="U14" i="12"/>
  <c r="V14" i="12"/>
  <c r="AM26" i="11"/>
  <c r="AO23" i="11"/>
  <c r="AI56" i="10"/>
  <c r="AA56" i="10"/>
  <c r="E46" i="10"/>
  <c r="G46" i="10" s="1"/>
  <c r="E47" i="10"/>
  <c r="F47" i="10"/>
  <c r="T7" i="14"/>
  <c r="Z62" i="31"/>
  <c r="U15" i="31"/>
  <c r="AK24" i="31"/>
  <c r="AO24" i="31" s="1"/>
  <c r="V14" i="31"/>
  <c r="U14" i="31"/>
  <c r="Z60" i="31"/>
  <c r="U12" i="31"/>
  <c r="V12" i="31"/>
  <c r="Z56" i="31"/>
  <c r="Z52" i="31"/>
  <c r="V10" i="31"/>
  <c r="U9" i="31"/>
  <c r="V9" i="31"/>
  <c r="Z50" i="31"/>
  <c r="AA72" i="6"/>
  <c r="AA76" i="6"/>
  <c r="D12" i="5"/>
  <c r="E32" i="5"/>
  <c r="E31" i="5"/>
  <c r="E37" i="5" s="1"/>
  <c r="E38" i="5" s="1"/>
  <c r="E28" i="5"/>
  <c r="L37" i="5"/>
  <c r="Z76" i="5"/>
  <c r="AD66" i="4"/>
  <c r="X50" i="4"/>
  <c r="X66" i="4" s="1"/>
  <c r="X68" i="4" s="1"/>
  <c r="Z66" i="4"/>
  <c r="H23" i="1"/>
  <c r="R23" i="1" s="1"/>
  <c r="H27" i="1"/>
  <c r="H31" i="1"/>
  <c r="H24" i="1"/>
  <c r="H28" i="1"/>
  <c r="H32" i="1"/>
  <c r="H29" i="1"/>
  <c r="R29" i="1" s="1"/>
  <c r="R8" i="1"/>
  <c r="H34" i="1"/>
  <c r="S8" i="1"/>
  <c r="H25" i="1"/>
  <c r="H30" i="1"/>
  <c r="AC48" i="18"/>
  <c r="AD75" i="18"/>
  <c r="N45" i="18"/>
  <c r="R44" i="18"/>
  <c r="R45" i="18" s="1"/>
  <c r="AH48" i="11"/>
  <c r="AF72" i="11"/>
  <c r="R15" i="5"/>
  <c r="D12" i="35"/>
  <c r="D31" i="35" s="1"/>
  <c r="L31" i="35"/>
  <c r="D23" i="33"/>
  <c r="R145" i="14"/>
  <c r="H26" i="1"/>
  <c r="L24" i="5"/>
  <c r="V68" i="4"/>
  <c r="AD68" i="4" s="1"/>
  <c r="AF50" i="4"/>
  <c r="Q37" i="3"/>
  <c r="C38" i="3"/>
  <c r="Q38" i="3" s="1"/>
  <c r="D68" i="18"/>
  <c r="C67" i="18"/>
  <c r="D70" i="18" s="1"/>
  <c r="AC76" i="12"/>
  <c r="E46" i="12"/>
  <c r="G46" i="12" s="1"/>
  <c r="E47" i="12"/>
  <c r="H9" i="12"/>
  <c r="I29" i="12"/>
  <c r="I25" i="12"/>
  <c r="I32" i="12"/>
  <c r="I26" i="12"/>
  <c r="Z64" i="12"/>
  <c r="V16" i="12"/>
  <c r="U16" i="12"/>
  <c r="U18" i="12"/>
  <c r="Z68" i="12"/>
  <c r="AC54" i="11"/>
  <c r="AD76" i="11"/>
  <c r="AR19" i="11"/>
  <c r="D17" i="10"/>
  <c r="D2" i="11" s="1"/>
  <c r="E32" i="10"/>
  <c r="M37" i="10"/>
  <c r="AD75" i="10"/>
  <c r="H30" i="36"/>
  <c r="D28" i="36"/>
  <c r="D24" i="36"/>
  <c r="D33" i="35"/>
  <c r="E20" i="35"/>
  <c r="E21" i="35" s="1"/>
  <c r="V9" i="35"/>
  <c r="L25" i="35"/>
  <c r="D20" i="36"/>
  <c r="D21" i="36" s="1"/>
  <c r="D33" i="36"/>
  <c r="H35" i="36"/>
  <c r="D26" i="36"/>
  <c r="L28" i="35"/>
  <c r="E30" i="35"/>
  <c r="E29" i="35"/>
  <c r="D27" i="35"/>
  <c r="L26" i="35"/>
  <c r="U21" i="12"/>
  <c r="AK11" i="18"/>
  <c r="AO11" i="18" s="1"/>
  <c r="V21" i="31"/>
  <c r="D392" i="14"/>
  <c r="D388" i="14"/>
  <c r="D384" i="14"/>
  <c r="D218" i="14"/>
  <c r="D214" i="14"/>
  <c r="Q13" i="13"/>
  <c r="D308" i="14"/>
  <c r="S61" i="14"/>
  <c r="H24" i="23"/>
  <c r="H2" i="18"/>
  <c r="R40" i="14"/>
  <c r="D319" i="14"/>
  <c r="D135" i="14"/>
  <c r="D313" i="14"/>
  <c r="R129" i="14"/>
  <c r="D305" i="14"/>
  <c r="D47" i="8"/>
  <c r="D231" i="14"/>
  <c r="I7" i="29"/>
  <c r="E44" i="31"/>
  <c r="C79" i="31"/>
  <c r="C79" i="29"/>
  <c r="AK5" i="23"/>
  <c r="AO5" i="23" s="1"/>
  <c r="AQ5" i="23" s="1"/>
  <c r="AH10" i="8"/>
  <c r="AK5" i="12"/>
  <c r="AO5" i="12" s="1"/>
  <c r="AQ5" i="12" s="1"/>
  <c r="T32" i="14"/>
  <c r="T43" i="14"/>
  <c r="D227" i="14"/>
  <c r="D391" i="14"/>
  <c r="D137" i="14"/>
  <c r="AF76" i="11"/>
  <c r="E25" i="12"/>
  <c r="E33" i="12"/>
  <c r="AD71" i="18"/>
  <c r="Y72" i="6"/>
  <c r="H33" i="1"/>
  <c r="R33" i="1" s="1"/>
  <c r="H20" i="1"/>
  <c r="AR20" i="11"/>
  <c r="H70" i="11"/>
  <c r="U16" i="31"/>
  <c r="V16" i="31"/>
  <c r="Z64" i="31"/>
  <c r="V15" i="31"/>
  <c r="J34" i="31"/>
  <c r="U10" i="31"/>
  <c r="Z52" i="6"/>
  <c r="AA71" i="6"/>
  <c r="Z48" i="6"/>
  <c r="V76" i="6"/>
  <c r="D46" i="6"/>
  <c r="E25" i="6"/>
  <c r="X66" i="5"/>
  <c r="AF66" i="5"/>
  <c r="S15" i="5"/>
  <c r="Y76" i="5"/>
  <c r="Y78" i="5" s="1"/>
  <c r="K37" i="5"/>
  <c r="K38" i="5" s="1"/>
  <c r="O37" i="5"/>
  <c r="O38" i="5" s="1"/>
  <c r="W68" i="4"/>
  <c r="AE68" i="4" s="1"/>
  <c r="AE66" i="4"/>
  <c r="AF60" i="4"/>
  <c r="C38" i="4"/>
  <c r="Q38" i="4" s="1"/>
  <c r="Q37" i="4"/>
  <c r="R21" i="18"/>
  <c r="T20" i="18"/>
  <c r="AB72" i="12"/>
  <c r="AB76" i="12"/>
  <c r="AR23" i="12"/>
  <c r="AP26" i="12"/>
  <c r="J28" i="12"/>
  <c r="J30" i="12"/>
  <c r="J32" i="12"/>
  <c r="J34" i="12"/>
  <c r="I12" i="12"/>
  <c r="I33" i="12" s="1"/>
  <c r="J31" i="12"/>
  <c r="J37" i="12" s="1"/>
  <c r="J33" i="12"/>
  <c r="J27" i="12"/>
  <c r="J35" i="12"/>
  <c r="E2" i="11"/>
  <c r="E37" i="11" s="1"/>
  <c r="AE76" i="10"/>
  <c r="AG48" i="10"/>
  <c r="AE72" i="10"/>
  <c r="AC60" i="9"/>
  <c r="AD76" i="9"/>
  <c r="AB76" i="9"/>
  <c r="R25" i="4"/>
  <c r="R23" i="3"/>
  <c r="R23" i="2"/>
  <c r="F68" i="18"/>
  <c r="F67" i="18"/>
  <c r="G70" i="18" s="1"/>
  <c r="G68" i="18"/>
  <c r="F57" i="18"/>
  <c r="G58" i="18"/>
  <c r="AA52" i="18"/>
  <c r="AF76" i="18"/>
  <c r="AB72" i="18"/>
  <c r="P33" i="18"/>
  <c r="AR8" i="18"/>
  <c r="E55" i="12"/>
  <c r="D55" i="12"/>
  <c r="D57" i="12"/>
  <c r="E60" i="12" s="1"/>
  <c r="N45" i="12"/>
  <c r="R44" i="12"/>
  <c r="R45" i="12" s="1"/>
  <c r="AR24" i="12"/>
  <c r="D17" i="12"/>
  <c r="D2" i="18" s="1"/>
  <c r="D37" i="18" s="1"/>
  <c r="E2" i="18"/>
  <c r="E37" i="18" s="1"/>
  <c r="AA62" i="11"/>
  <c r="C46" i="11"/>
  <c r="D47" i="11"/>
  <c r="T32" i="11"/>
  <c r="D12" i="11"/>
  <c r="D27" i="11" s="1"/>
  <c r="E28" i="11"/>
  <c r="E32" i="11"/>
  <c r="D67" i="10"/>
  <c r="E70" i="10" s="1"/>
  <c r="AP18" i="10"/>
  <c r="AP26" i="10" s="1"/>
  <c r="AL26" i="10"/>
  <c r="AC70" i="10"/>
  <c r="F68" i="10"/>
  <c r="F67" i="10"/>
  <c r="AF76" i="10"/>
  <c r="AC60" i="10"/>
  <c r="AF72" i="10"/>
  <c r="F55" i="10"/>
  <c r="F57" i="10"/>
  <c r="N43" i="10"/>
  <c r="R43" i="10" s="1"/>
  <c r="R42" i="10" s="1"/>
  <c r="R45" i="10" s="1"/>
  <c r="AP10" i="10"/>
  <c r="AN13" i="10"/>
  <c r="AD76" i="10"/>
  <c r="AG70" i="9"/>
  <c r="F55" i="9"/>
  <c r="E55" i="9"/>
  <c r="H14" i="2"/>
  <c r="R14" i="2" s="1"/>
  <c r="L24" i="2"/>
  <c r="L28" i="2"/>
  <c r="L32" i="2"/>
  <c r="L20" i="2"/>
  <c r="L25" i="2"/>
  <c r="L29" i="2"/>
  <c r="L33" i="2"/>
  <c r="L26" i="2"/>
  <c r="L30" i="2"/>
  <c r="L34" i="2"/>
  <c r="R18" i="3"/>
  <c r="S18" i="3"/>
  <c r="H15" i="3"/>
  <c r="H10" i="3"/>
  <c r="H30" i="3" s="1"/>
  <c r="I20" i="3"/>
  <c r="I21" i="3" s="1"/>
  <c r="I31" i="3"/>
  <c r="I37" i="3" s="1"/>
  <c r="I38" i="3" s="1"/>
  <c r="I28" i="3"/>
  <c r="I32" i="3"/>
  <c r="I35" i="3"/>
  <c r="I25" i="3"/>
  <c r="I29" i="3"/>
  <c r="S8" i="3"/>
  <c r="H24" i="3"/>
  <c r="R24" i="3" s="1"/>
  <c r="H28" i="3"/>
  <c r="R28" i="3" s="1"/>
  <c r="H25" i="3"/>
  <c r="H29" i="3"/>
  <c r="AD66" i="8"/>
  <c r="X77" i="7"/>
  <c r="R48" i="10"/>
  <c r="V13" i="31"/>
  <c r="AF74" i="6"/>
  <c r="X50" i="6"/>
  <c r="F44" i="6"/>
  <c r="E27" i="6"/>
  <c r="E31" i="6"/>
  <c r="E37" i="6" s="1"/>
  <c r="E32" i="6"/>
  <c r="E24" i="6"/>
  <c r="N37" i="6"/>
  <c r="AF44" i="4"/>
  <c r="P37" i="3"/>
  <c r="P38" i="3" s="1"/>
  <c r="E65" i="18"/>
  <c r="E67" i="18"/>
  <c r="AH56" i="18"/>
  <c r="AI56" i="18"/>
  <c r="AH54" i="18"/>
  <c r="AI54" i="18"/>
  <c r="AA48" i="18"/>
  <c r="G45" i="18"/>
  <c r="C46" i="18"/>
  <c r="D47" i="18"/>
  <c r="P29" i="18"/>
  <c r="T26" i="18"/>
  <c r="AR21" i="18"/>
  <c r="P20" i="18"/>
  <c r="P32" i="18"/>
  <c r="AR9" i="18"/>
  <c r="AB76" i="18"/>
  <c r="E67" i="12"/>
  <c r="E65" i="12"/>
  <c r="D60" i="12"/>
  <c r="AH54" i="12"/>
  <c r="AE76" i="12"/>
  <c r="AG76" i="12" s="1"/>
  <c r="AG50" i="12"/>
  <c r="AE72" i="12"/>
  <c r="AF72" i="12"/>
  <c r="F44" i="12"/>
  <c r="AR22" i="12"/>
  <c r="AP18" i="12"/>
  <c r="AR19" i="12" s="1"/>
  <c r="AN26" i="12"/>
  <c r="P20" i="12"/>
  <c r="P23" i="12"/>
  <c r="P24" i="12"/>
  <c r="P26" i="12"/>
  <c r="P27" i="12"/>
  <c r="P29" i="12"/>
  <c r="P31" i="12"/>
  <c r="P37" i="12" s="1"/>
  <c r="P33" i="12"/>
  <c r="C21" i="12"/>
  <c r="T20" i="12"/>
  <c r="J20" i="12"/>
  <c r="J21" i="12" s="1"/>
  <c r="AE76" i="11"/>
  <c r="AA68" i="11"/>
  <c r="F55" i="11"/>
  <c r="F57" i="11"/>
  <c r="E35" i="11"/>
  <c r="T26" i="11"/>
  <c r="AR23" i="11"/>
  <c r="AP26" i="11"/>
  <c r="D23" i="11"/>
  <c r="AN11" i="11"/>
  <c r="AP11" i="11" s="1"/>
  <c r="AR11" i="11" s="1"/>
  <c r="T21" i="11"/>
  <c r="E68" i="10"/>
  <c r="F60" i="10"/>
  <c r="G55" i="10"/>
  <c r="AI54" i="10"/>
  <c r="AR23" i="10"/>
  <c r="D12" i="10"/>
  <c r="E35" i="10"/>
  <c r="E31" i="10"/>
  <c r="E37" i="10" s="1"/>
  <c r="D75" i="9"/>
  <c r="AH20" i="8"/>
  <c r="AL20" i="8" s="1"/>
  <c r="AK18" i="10"/>
  <c r="R19" i="4"/>
  <c r="AK19" i="9"/>
  <c r="AO19" i="9" s="1"/>
  <c r="R12" i="4"/>
  <c r="S12" i="4"/>
  <c r="H11" i="4"/>
  <c r="I26" i="4"/>
  <c r="I27" i="4"/>
  <c r="I30" i="4"/>
  <c r="I34" i="4"/>
  <c r="I20" i="4"/>
  <c r="I21" i="4" s="1"/>
  <c r="I31" i="4"/>
  <c r="I37" i="4" s="1"/>
  <c r="I38" i="4" s="1"/>
  <c r="L37" i="3"/>
  <c r="R15" i="2"/>
  <c r="S15" i="2"/>
  <c r="Z52" i="8"/>
  <c r="AA71" i="8"/>
  <c r="O44" i="8"/>
  <c r="O45" i="8" s="1"/>
  <c r="N45" i="8"/>
  <c r="C46" i="10"/>
  <c r="J27" i="31"/>
  <c r="J32" i="31"/>
  <c r="J35" i="31"/>
  <c r="J36" i="31" s="1"/>
  <c r="J33" i="31"/>
  <c r="J28" i="31"/>
  <c r="AB72" i="6"/>
  <c r="L37" i="6"/>
  <c r="AB76" i="6"/>
  <c r="AE74" i="5"/>
  <c r="F44" i="5"/>
  <c r="G43" i="5" s="1"/>
  <c r="D8" i="5"/>
  <c r="E29" i="5"/>
  <c r="E30" i="5"/>
  <c r="E20" i="5"/>
  <c r="E21" i="5" s="1"/>
  <c r="X76" i="5"/>
  <c r="X78" i="5" s="1"/>
  <c r="X77" i="5" s="1"/>
  <c r="P37" i="5"/>
  <c r="P38" i="5" s="1"/>
  <c r="Q31" i="4"/>
  <c r="L37" i="2"/>
  <c r="Y72" i="18"/>
  <c r="AA62" i="18"/>
  <c r="AF72" i="18"/>
  <c r="H55" i="18"/>
  <c r="E55" i="18"/>
  <c r="D57" i="18"/>
  <c r="E60" i="18" s="1"/>
  <c r="D55" i="18"/>
  <c r="AE76" i="18"/>
  <c r="AE72" i="18"/>
  <c r="Y76" i="18"/>
  <c r="AG76" i="18" s="1"/>
  <c r="P31" i="18"/>
  <c r="P37" i="18" s="1"/>
  <c r="T25" i="18"/>
  <c r="T24" i="18"/>
  <c r="AC68" i="12"/>
  <c r="AI62" i="12"/>
  <c r="AG60" i="12"/>
  <c r="Y72" i="12"/>
  <c r="V9" i="12"/>
  <c r="AR8" i="12"/>
  <c r="AE72" i="11"/>
  <c r="Y72" i="11"/>
  <c r="Y76" i="11"/>
  <c r="AB72" i="11"/>
  <c r="AD71" i="11"/>
  <c r="AC48" i="11"/>
  <c r="AD75" i="11"/>
  <c r="F47" i="11"/>
  <c r="T28" i="11"/>
  <c r="E20" i="11"/>
  <c r="AH52" i="10"/>
  <c r="AI52" i="10"/>
  <c r="Y76" i="10"/>
  <c r="AG50" i="10"/>
  <c r="Y72" i="10"/>
  <c r="R44" i="10"/>
  <c r="N45" i="10"/>
  <c r="G44" i="10"/>
  <c r="L37" i="10"/>
  <c r="R44" i="9"/>
  <c r="R45" i="9" s="1"/>
  <c r="N45" i="9"/>
  <c r="AR21" i="9"/>
  <c r="AR10" i="9"/>
  <c r="O21" i="5"/>
  <c r="Q20" i="5"/>
  <c r="Z64" i="8"/>
  <c r="AJ26" i="8"/>
  <c r="AL23" i="8"/>
  <c r="C37" i="8"/>
  <c r="Q37" i="8" s="1"/>
  <c r="V76" i="8"/>
  <c r="D23" i="8"/>
  <c r="D25" i="8"/>
  <c r="D31" i="8"/>
  <c r="D37" i="8" s="1"/>
  <c r="D12" i="8"/>
  <c r="D33" i="8" s="1"/>
  <c r="E28" i="8"/>
  <c r="E30" i="8"/>
  <c r="AD72" i="7"/>
  <c r="Z54" i="7"/>
  <c r="AA72" i="7"/>
  <c r="AA76" i="7"/>
  <c r="Z52" i="7"/>
  <c r="C37" i="7"/>
  <c r="V76" i="7"/>
  <c r="R177" i="14"/>
  <c r="F177" i="14"/>
  <c r="E177" i="14" s="1"/>
  <c r="R190" i="14"/>
  <c r="R182" i="14"/>
  <c r="C35" i="2"/>
  <c r="Q35" i="2" s="1"/>
  <c r="C31" i="2"/>
  <c r="Q31" i="2" s="1"/>
  <c r="D33" i="1"/>
  <c r="D29" i="1"/>
  <c r="C27" i="1"/>
  <c r="Q27" i="1" s="1"/>
  <c r="D26" i="1"/>
  <c r="C24" i="1"/>
  <c r="Q24" i="1" s="1"/>
  <c r="D20" i="1"/>
  <c r="D21" i="1" s="1"/>
  <c r="K37" i="10"/>
  <c r="S37" i="10"/>
  <c r="AC70" i="9"/>
  <c r="AG66" i="9"/>
  <c r="AE72" i="9"/>
  <c r="AG48" i="9"/>
  <c r="AE76" i="9"/>
  <c r="AG76" i="9" s="1"/>
  <c r="T31" i="9"/>
  <c r="D8" i="9"/>
  <c r="E23" i="9"/>
  <c r="E28" i="9"/>
  <c r="E34" i="9"/>
  <c r="E26" i="9"/>
  <c r="E27" i="9"/>
  <c r="E31" i="9"/>
  <c r="E33" i="9"/>
  <c r="H18" i="5"/>
  <c r="H9" i="5"/>
  <c r="S9" i="5" s="1"/>
  <c r="E56" i="8"/>
  <c r="AJ8" i="8"/>
  <c r="D56" i="9"/>
  <c r="H17" i="2"/>
  <c r="H9" i="2"/>
  <c r="AD56" i="8"/>
  <c r="AA76" i="8"/>
  <c r="Z50" i="8"/>
  <c r="Y72" i="8"/>
  <c r="E34" i="8"/>
  <c r="E32" i="8"/>
  <c r="AA75" i="8"/>
  <c r="AB76" i="8"/>
  <c r="Z70" i="7"/>
  <c r="Z68" i="7"/>
  <c r="Z66" i="7"/>
  <c r="Z64" i="7"/>
  <c r="Z72" i="7" s="1"/>
  <c r="Z62" i="7"/>
  <c r="Z60" i="7"/>
  <c r="Z58" i="7"/>
  <c r="E33" i="7"/>
  <c r="E29" i="7"/>
  <c r="G43" i="7"/>
  <c r="G44" i="7" s="1"/>
  <c r="F43" i="8"/>
  <c r="D10" i="7"/>
  <c r="E31" i="7"/>
  <c r="K37" i="7"/>
  <c r="Y76" i="7"/>
  <c r="AB76" i="7"/>
  <c r="O37" i="7"/>
  <c r="R185" i="14"/>
  <c r="F185" i="14"/>
  <c r="E185" i="14" s="1"/>
  <c r="O105" i="14"/>
  <c r="O107" i="14"/>
  <c r="O104" i="14"/>
  <c r="O106" i="14"/>
  <c r="O108" i="14"/>
  <c r="O197" i="14"/>
  <c r="O199" i="14"/>
  <c r="O201" i="14"/>
  <c r="O285" i="14"/>
  <c r="O286" i="14"/>
  <c r="O287" i="14"/>
  <c r="O288" i="14"/>
  <c r="O360" i="14"/>
  <c r="O362" i="14"/>
  <c r="O198" i="14"/>
  <c r="O200" i="14"/>
  <c r="O284" i="14"/>
  <c r="O359" i="14"/>
  <c r="O361" i="14"/>
  <c r="O363" i="14"/>
  <c r="I5" i="14"/>
  <c r="H284" i="14"/>
  <c r="H197" i="14"/>
  <c r="H104" i="14"/>
  <c r="F45" i="7"/>
  <c r="C33" i="4"/>
  <c r="Q33" i="4" s="1"/>
  <c r="C29" i="4"/>
  <c r="Q29" i="4" s="1"/>
  <c r="C25" i="4"/>
  <c r="Q25" i="4" s="1"/>
  <c r="Q14" i="4"/>
  <c r="C34" i="3"/>
  <c r="Q34" i="3" s="1"/>
  <c r="D33" i="3"/>
  <c r="C30" i="3"/>
  <c r="Q30" i="3" s="1"/>
  <c r="D29" i="3"/>
  <c r="C26" i="3"/>
  <c r="Q26" i="3" s="1"/>
  <c r="D25" i="3"/>
  <c r="C34" i="2"/>
  <c r="Q34" i="2" s="1"/>
  <c r="C30" i="2"/>
  <c r="Q30" i="2" s="1"/>
  <c r="Q13" i="2"/>
  <c r="C2" i="2"/>
  <c r="L33" i="1"/>
  <c r="S33" i="1" s="1"/>
  <c r="C33" i="1"/>
  <c r="Q33" i="1" s="1"/>
  <c r="D32" i="1"/>
  <c r="D31" i="1"/>
  <c r="D37" i="1" s="1"/>
  <c r="D38" i="1" s="1"/>
  <c r="L29" i="1"/>
  <c r="C29" i="1"/>
  <c r="Q29" i="1" s="1"/>
  <c r="D28" i="1"/>
  <c r="C26" i="1"/>
  <c r="Q26" i="1" s="1"/>
  <c r="C20" i="1"/>
  <c r="D67" i="18"/>
  <c r="E70" i="18" s="1"/>
  <c r="P26" i="18"/>
  <c r="P25" i="18"/>
  <c r="D58" i="11"/>
  <c r="E33" i="11"/>
  <c r="E29" i="11"/>
  <c r="D75" i="10"/>
  <c r="C56" i="10"/>
  <c r="AK19" i="10"/>
  <c r="AO19" i="10" s="1"/>
  <c r="AM5" i="10"/>
  <c r="AN26" i="10"/>
  <c r="E20" i="10"/>
  <c r="I37" i="10"/>
  <c r="Q37" i="10"/>
  <c r="E75" i="9"/>
  <c r="AL26" i="9"/>
  <c r="AC64" i="9"/>
  <c r="AI54" i="9"/>
  <c r="AH52" i="9"/>
  <c r="AG50" i="9"/>
  <c r="Y72" i="9"/>
  <c r="L37" i="9"/>
  <c r="E35" i="9"/>
  <c r="E29" i="9"/>
  <c r="AN13" i="9"/>
  <c r="C37" i="9"/>
  <c r="T37" i="9" s="1"/>
  <c r="H15" i="4"/>
  <c r="H19" i="3"/>
  <c r="H11" i="3"/>
  <c r="H32" i="3" s="1"/>
  <c r="AA72" i="8"/>
  <c r="AE70" i="8"/>
  <c r="AD54" i="8"/>
  <c r="AC76" i="8"/>
  <c r="AC72" i="8"/>
  <c r="AB72" i="8"/>
  <c r="AD72" i="8" s="1"/>
  <c r="AM11" i="8"/>
  <c r="AO11" i="8" s="1"/>
  <c r="AD48" i="7"/>
  <c r="L37" i="7"/>
  <c r="H8" i="13"/>
  <c r="C32" i="4"/>
  <c r="Q32" i="4" s="1"/>
  <c r="C28" i="4"/>
  <c r="Q28" i="4" s="1"/>
  <c r="C24" i="4"/>
  <c r="Q24" i="4" s="1"/>
  <c r="D35" i="3"/>
  <c r="C33" i="3"/>
  <c r="Q33" i="3" s="1"/>
  <c r="D32" i="3"/>
  <c r="C29" i="3"/>
  <c r="Q29" i="3" s="1"/>
  <c r="D28" i="3"/>
  <c r="Q10" i="3"/>
  <c r="C33" i="2"/>
  <c r="Q33" i="2" s="1"/>
  <c r="C29" i="2"/>
  <c r="Q29" i="2" s="1"/>
  <c r="D34" i="1"/>
  <c r="C32" i="1"/>
  <c r="Q32" i="1" s="1"/>
  <c r="C31" i="1"/>
  <c r="D30" i="1"/>
  <c r="C28" i="1"/>
  <c r="Q28" i="1" s="1"/>
  <c r="D25" i="1"/>
  <c r="L23" i="1"/>
  <c r="S23" i="1" s="1"/>
  <c r="Q18" i="1"/>
  <c r="Q9" i="1"/>
  <c r="AH48" i="18"/>
  <c r="E34" i="11"/>
  <c r="E30" i="11"/>
  <c r="E24" i="11"/>
  <c r="D43" i="10"/>
  <c r="AP19" i="10"/>
  <c r="G37" i="10"/>
  <c r="O37" i="10"/>
  <c r="AG68" i="9"/>
  <c r="AG60" i="9"/>
  <c r="AI52" i="9"/>
  <c r="AC50" i="9"/>
  <c r="AD75" i="9"/>
  <c r="AC48" i="9"/>
  <c r="AD71" i="9"/>
  <c r="E43" i="9"/>
  <c r="F44" i="9" s="1"/>
  <c r="T26" i="9"/>
  <c r="AP26" i="9"/>
  <c r="AP20" i="9"/>
  <c r="AR20" i="9" s="1"/>
  <c r="I34" i="9"/>
  <c r="I20" i="9"/>
  <c r="I33" i="9"/>
  <c r="J37" i="9"/>
  <c r="AI8" i="8"/>
  <c r="AL6" i="9"/>
  <c r="H13" i="5"/>
  <c r="H13" i="2"/>
  <c r="AD70" i="8"/>
  <c r="AE66" i="8"/>
  <c r="E55" i="8"/>
  <c r="AD48" i="8"/>
  <c r="E20" i="8"/>
  <c r="E21" i="8" s="1"/>
  <c r="E26" i="7"/>
  <c r="E20" i="7"/>
  <c r="I16" i="13"/>
  <c r="H16" i="13" s="1"/>
  <c r="F417" i="14"/>
  <c r="E417" i="14" s="1"/>
  <c r="F413" i="14"/>
  <c r="E413" i="14" s="1"/>
  <c r="H359" i="14"/>
  <c r="R259" i="14"/>
  <c r="F249" i="14"/>
  <c r="E249" i="14" s="1"/>
  <c r="D193" i="14"/>
  <c r="R169" i="14"/>
  <c r="F165" i="14"/>
  <c r="E165" i="14" s="1"/>
  <c r="P115" i="14"/>
  <c r="P114" i="14"/>
  <c r="P199" i="14"/>
  <c r="R199" i="14" s="1"/>
  <c r="P201" i="14"/>
  <c r="P203" i="14"/>
  <c r="P205" i="14"/>
  <c r="P207" i="14"/>
  <c r="P209" i="14"/>
  <c r="P284" i="14"/>
  <c r="P112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360" i="14"/>
  <c r="P362" i="14"/>
  <c r="P364" i="14"/>
  <c r="P366" i="14"/>
  <c r="P368" i="14"/>
  <c r="P370" i="14"/>
  <c r="G112" i="14"/>
  <c r="G114" i="14"/>
  <c r="G116" i="14"/>
  <c r="G113" i="14"/>
  <c r="G115" i="14"/>
  <c r="G198" i="14"/>
  <c r="G200" i="14"/>
  <c r="G202" i="14"/>
  <c r="G204" i="14"/>
  <c r="G206" i="14"/>
  <c r="G208" i="14"/>
  <c r="G284" i="14"/>
  <c r="G286" i="14"/>
  <c r="G287" i="14"/>
  <c r="G288" i="14"/>
  <c r="G289" i="14"/>
  <c r="G290" i="14"/>
  <c r="G291" i="14"/>
  <c r="G292" i="14"/>
  <c r="G293" i="14"/>
  <c r="G294" i="14"/>
  <c r="G295" i="14"/>
  <c r="G296" i="14"/>
  <c r="G359" i="14"/>
  <c r="G361" i="14"/>
  <c r="G363" i="14"/>
  <c r="G365" i="14"/>
  <c r="G367" i="14"/>
  <c r="G369" i="14"/>
  <c r="G371" i="14"/>
  <c r="G199" i="14"/>
  <c r="F199" i="14" s="1"/>
  <c r="E199" i="14" s="1"/>
  <c r="G201" i="14"/>
  <c r="G203" i="14"/>
  <c r="G205" i="14"/>
  <c r="G207" i="14"/>
  <c r="G209" i="14"/>
  <c r="G285" i="14"/>
  <c r="Q110" i="14"/>
  <c r="Q112" i="14"/>
  <c r="Q111" i="14"/>
  <c r="Q204" i="14"/>
  <c r="Q365" i="14"/>
  <c r="Q367" i="14"/>
  <c r="Q203" i="14"/>
  <c r="Q205" i="14"/>
  <c r="L284" i="14"/>
  <c r="L108" i="14"/>
  <c r="L197" i="14"/>
  <c r="L199" i="14"/>
  <c r="L201" i="14"/>
  <c r="L203" i="14"/>
  <c r="L285" i="14"/>
  <c r="L360" i="14"/>
  <c r="L362" i="14"/>
  <c r="L364" i="14"/>
  <c r="Q108" i="14"/>
  <c r="Q109" i="14"/>
  <c r="Q198" i="14"/>
  <c r="Q200" i="14"/>
  <c r="Q202" i="14"/>
  <c r="Q359" i="14"/>
  <c r="Q361" i="14"/>
  <c r="Q363" i="14"/>
  <c r="Q197" i="14"/>
  <c r="Q199" i="14"/>
  <c r="Q201" i="14"/>
  <c r="Q284" i="14"/>
  <c r="AG56" i="27"/>
  <c r="Y72" i="27"/>
  <c r="F47" i="27"/>
  <c r="F46" i="27"/>
  <c r="E26" i="8"/>
  <c r="E24" i="8"/>
  <c r="AA75" i="7"/>
  <c r="R267" i="14"/>
  <c r="R263" i="14"/>
  <c r="F157" i="14"/>
  <c r="E157" i="14" s="1"/>
  <c r="F153" i="14"/>
  <c r="E153" i="14" s="1"/>
  <c r="O280" i="14"/>
  <c r="O281" i="14"/>
  <c r="O193" i="14"/>
  <c r="O194" i="14"/>
  <c r="P192" i="14"/>
  <c r="P279" i="14"/>
  <c r="P280" i="14"/>
  <c r="P281" i="14"/>
  <c r="P355" i="14"/>
  <c r="R355" i="14" s="1"/>
  <c r="P356" i="14"/>
  <c r="R356" i="14" s="1"/>
  <c r="P193" i="14"/>
  <c r="P194" i="14"/>
  <c r="R194" i="14" s="1"/>
  <c r="G191" i="14"/>
  <c r="G192" i="14"/>
  <c r="G190" i="14"/>
  <c r="F190" i="14" s="1"/>
  <c r="E190" i="14" s="1"/>
  <c r="G193" i="14"/>
  <c r="F94" i="14"/>
  <c r="E94" i="14" s="1"/>
  <c r="R94" i="14"/>
  <c r="D188" i="14"/>
  <c r="D191" i="14"/>
  <c r="D279" i="14"/>
  <c r="D280" i="14"/>
  <c r="D281" i="14"/>
  <c r="D189" i="14"/>
  <c r="D192" i="14"/>
  <c r="Q188" i="14"/>
  <c r="Q186" i="14"/>
  <c r="Q191" i="14"/>
  <c r="Q189" i="14"/>
  <c r="Q277" i="14"/>
  <c r="Q278" i="14"/>
  <c r="Q279" i="14"/>
  <c r="Q280" i="14"/>
  <c r="Q281" i="14"/>
  <c r="L187" i="14"/>
  <c r="L190" i="14"/>
  <c r="L185" i="14"/>
  <c r="L188" i="14"/>
  <c r="L186" i="14"/>
  <c r="L276" i="14"/>
  <c r="L277" i="14"/>
  <c r="L278" i="14"/>
  <c r="L279" i="14"/>
  <c r="L280" i="14"/>
  <c r="L281" i="14"/>
  <c r="M90" i="14"/>
  <c r="N188" i="14"/>
  <c r="N189" i="14"/>
  <c r="G281" i="14"/>
  <c r="G189" i="14"/>
  <c r="G187" i="14"/>
  <c r="F187" i="14" s="1"/>
  <c r="E187" i="14" s="1"/>
  <c r="G188" i="14"/>
  <c r="G280" i="14"/>
  <c r="G183" i="14"/>
  <c r="G184" i="14"/>
  <c r="G275" i="14"/>
  <c r="G277" i="14"/>
  <c r="G279" i="14"/>
  <c r="G182" i="14"/>
  <c r="F182" i="14" s="1"/>
  <c r="E182" i="14" s="1"/>
  <c r="G276" i="14"/>
  <c r="G278" i="14"/>
  <c r="F86" i="14"/>
  <c r="E86" i="14" s="1"/>
  <c r="R86" i="14"/>
  <c r="D180" i="14"/>
  <c r="D183" i="14"/>
  <c r="D271" i="14"/>
  <c r="D272" i="14"/>
  <c r="D273" i="14"/>
  <c r="D274" i="14"/>
  <c r="D275" i="14"/>
  <c r="D276" i="14"/>
  <c r="D277" i="14"/>
  <c r="D278" i="14"/>
  <c r="D181" i="14"/>
  <c r="D184" i="14"/>
  <c r="Q180" i="14"/>
  <c r="Q267" i="14"/>
  <c r="Q178" i="14"/>
  <c r="Q183" i="14"/>
  <c r="Q266" i="14"/>
  <c r="Q181" i="14"/>
  <c r="Q265" i="14"/>
  <c r="Q269" i="14"/>
  <c r="Q270" i="14"/>
  <c r="Q271" i="14"/>
  <c r="Q272" i="14"/>
  <c r="Q273" i="14"/>
  <c r="Q274" i="14"/>
  <c r="Q275" i="14"/>
  <c r="Q276" i="14"/>
  <c r="Q340" i="14"/>
  <c r="Q341" i="14"/>
  <c r="Q342" i="14"/>
  <c r="Q343" i="14"/>
  <c r="Q344" i="14"/>
  <c r="Q345" i="14"/>
  <c r="Q346" i="14"/>
  <c r="Q347" i="14"/>
  <c r="Q348" i="14"/>
  <c r="Q349" i="14"/>
  <c r="Q350" i="14"/>
  <c r="Q351" i="14"/>
  <c r="Q352" i="14"/>
  <c r="Q353" i="14"/>
  <c r="Q354" i="14"/>
  <c r="Q355" i="14"/>
  <c r="Q356" i="14"/>
  <c r="L179" i="14"/>
  <c r="L182" i="14"/>
  <c r="L267" i="14"/>
  <c r="L177" i="14"/>
  <c r="L180" i="14"/>
  <c r="L266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178" i="14"/>
  <c r="L265" i="14"/>
  <c r="L269" i="14"/>
  <c r="L270" i="14"/>
  <c r="L271" i="14"/>
  <c r="L272" i="14"/>
  <c r="L273" i="14"/>
  <c r="L274" i="14"/>
  <c r="L275" i="14"/>
  <c r="M82" i="14"/>
  <c r="N180" i="14"/>
  <c r="N181" i="14"/>
  <c r="N176" i="14"/>
  <c r="N264" i="14"/>
  <c r="N268" i="14"/>
  <c r="N263" i="14"/>
  <c r="N267" i="14"/>
  <c r="N266" i="14"/>
  <c r="G273" i="14"/>
  <c r="G181" i="14"/>
  <c r="G179" i="14"/>
  <c r="F179" i="14" s="1"/>
  <c r="E179" i="14" s="1"/>
  <c r="G180" i="14"/>
  <c r="G272" i="14"/>
  <c r="G274" i="14"/>
  <c r="G268" i="14"/>
  <c r="G271" i="14"/>
  <c r="G270" i="14"/>
  <c r="G355" i="14"/>
  <c r="F355" i="14" s="1"/>
  <c r="E355" i="14" s="1"/>
  <c r="G356" i="14"/>
  <c r="F356" i="14" s="1"/>
  <c r="E356" i="14" s="1"/>
  <c r="F78" i="14"/>
  <c r="E78" i="14" s="1"/>
  <c r="R78" i="14"/>
  <c r="D175" i="14"/>
  <c r="D176" i="14"/>
  <c r="D262" i="14"/>
  <c r="D266" i="14"/>
  <c r="D270" i="14"/>
  <c r="D334" i="14"/>
  <c r="D335" i="14"/>
  <c r="D173" i="14"/>
  <c r="D174" i="14"/>
  <c r="D261" i="14"/>
  <c r="D265" i="14"/>
  <c r="D269" i="14"/>
  <c r="D172" i="14"/>
  <c r="D260" i="14"/>
  <c r="D264" i="14"/>
  <c r="D268" i="14"/>
  <c r="O171" i="14"/>
  <c r="O173" i="14"/>
  <c r="O175" i="14"/>
  <c r="O261" i="14"/>
  <c r="O265" i="14"/>
  <c r="O260" i="14"/>
  <c r="O264" i="14"/>
  <c r="O268" i="14"/>
  <c r="O174" i="14"/>
  <c r="O259" i="14"/>
  <c r="O263" i="14"/>
  <c r="O267" i="14"/>
  <c r="P170" i="14"/>
  <c r="P171" i="14"/>
  <c r="R171" i="14" s="1"/>
  <c r="P172" i="14"/>
  <c r="P266" i="14"/>
  <c r="P265" i="14"/>
  <c r="P350" i="14"/>
  <c r="P351" i="14"/>
  <c r="R351" i="14" s="1"/>
  <c r="P352" i="14"/>
  <c r="R352" i="14" s="1"/>
  <c r="P353" i="14"/>
  <c r="R353" i="14" s="1"/>
  <c r="P354" i="14"/>
  <c r="R354" i="14" s="1"/>
  <c r="P264" i="14"/>
  <c r="G173" i="14"/>
  <c r="G174" i="14"/>
  <c r="G257" i="14"/>
  <c r="F257" i="14" s="1"/>
  <c r="E257" i="14" s="1"/>
  <c r="G260" i="14"/>
  <c r="G264" i="14"/>
  <c r="G171" i="14"/>
  <c r="G172" i="14"/>
  <c r="G259" i="14"/>
  <c r="F259" i="14" s="1"/>
  <c r="E259" i="14" s="1"/>
  <c r="G263" i="14"/>
  <c r="F263" i="14" s="1"/>
  <c r="E263" i="14" s="1"/>
  <c r="G267" i="14"/>
  <c r="F267" i="14" s="1"/>
  <c r="E267" i="14" s="1"/>
  <c r="G331" i="14"/>
  <c r="F331" i="14" s="1"/>
  <c r="E331" i="14" s="1"/>
  <c r="G256" i="14"/>
  <c r="F256" i="14" s="1"/>
  <c r="E256" i="14" s="1"/>
  <c r="G258" i="14"/>
  <c r="G262" i="14"/>
  <c r="G266" i="14"/>
  <c r="G332" i="14"/>
  <c r="F332" i="14" s="1"/>
  <c r="E332" i="14" s="1"/>
  <c r="G333" i="14"/>
  <c r="F333" i="14" s="1"/>
  <c r="E333" i="14" s="1"/>
  <c r="G334" i="14"/>
  <c r="G335" i="14"/>
  <c r="G336" i="14"/>
  <c r="F336" i="14" s="1"/>
  <c r="E336" i="14" s="1"/>
  <c r="G337" i="14"/>
  <c r="F337" i="14" s="1"/>
  <c r="E337" i="14" s="1"/>
  <c r="G338" i="14"/>
  <c r="G339" i="14"/>
  <c r="F339" i="14" s="1"/>
  <c r="E339" i="14" s="1"/>
  <c r="G340" i="14"/>
  <c r="F340" i="14" s="1"/>
  <c r="E340" i="14" s="1"/>
  <c r="G341" i="14"/>
  <c r="F341" i="14" s="1"/>
  <c r="E341" i="14" s="1"/>
  <c r="G342" i="14"/>
  <c r="F342" i="14" s="1"/>
  <c r="E342" i="14" s="1"/>
  <c r="G343" i="14"/>
  <c r="F343" i="14" s="1"/>
  <c r="E343" i="14" s="1"/>
  <c r="G344" i="14"/>
  <c r="F344" i="14" s="1"/>
  <c r="E344" i="14" s="1"/>
  <c r="G345" i="14"/>
  <c r="F345" i="14" s="1"/>
  <c r="E345" i="14" s="1"/>
  <c r="G346" i="14"/>
  <c r="F346" i="14" s="1"/>
  <c r="E346" i="14" s="1"/>
  <c r="G347" i="14"/>
  <c r="F347" i="14" s="1"/>
  <c r="E347" i="14" s="1"/>
  <c r="G348" i="14"/>
  <c r="F348" i="14" s="1"/>
  <c r="E348" i="14" s="1"/>
  <c r="G349" i="14"/>
  <c r="F349" i="14" s="1"/>
  <c r="E349" i="14" s="1"/>
  <c r="G350" i="14"/>
  <c r="F350" i="14" s="1"/>
  <c r="E350" i="14" s="1"/>
  <c r="G351" i="14"/>
  <c r="F351" i="14" s="1"/>
  <c r="E351" i="14" s="1"/>
  <c r="G352" i="14"/>
  <c r="F352" i="14" s="1"/>
  <c r="E352" i="14" s="1"/>
  <c r="G353" i="14"/>
  <c r="F353" i="14" s="1"/>
  <c r="E353" i="14" s="1"/>
  <c r="G354" i="14"/>
  <c r="F354" i="14" s="1"/>
  <c r="E354" i="14" s="1"/>
  <c r="R70" i="14"/>
  <c r="P165" i="14"/>
  <c r="P167" i="14"/>
  <c r="P258" i="14"/>
  <c r="R258" i="14" s="1"/>
  <c r="P262" i="14"/>
  <c r="P168" i="14"/>
  <c r="P255" i="14"/>
  <c r="R255" i="14" s="1"/>
  <c r="P256" i="14"/>
  <c r="R256" i="14" s="1"/>
  <c r="P257" i="14"/>
  <c r="R257" i="14" s="1"/>
  <c r="P261" i="14"/>
  <c r="P342" i="14"/>
  <c r="R342" i="14" s="1"/>
  <c r="P343" i="14"/>
  <c r="R343" i="14" s="1"/>
  <c r="P344" i="14"/>
  <c r="R344" i="14" s="1"/>
  <c r="P345" i="14"/>
  <c r="R345" i="14" s="1"/>
  <c r="P346" i="14"/>
  <c r="P347" i="14"/>
  <c r="R347" i="14" s="1"/>
  <c r="P348" i="14"/>
  <c r="R348" i="14" s="1"/>
  <c r="P349" i="14"/>
  <c r="R349" i="14" s="1"/>
  <c r="P164" i="14"/>
  <c r="P166" i="14"/>
  <c r="R166" i="14" s="1"/>
  <c r="P260" i="14"/>
  <c r="J67" i="14"/>
  <c r="K161" i="14"/>
  <c r="K163" i="14"/>
  <c r="K165" i="14"/>
  <c r="K252" i="14"/>
  <c r="K253" i="14"/>
  <c r="K254" i="14"/>
  <c r="K255" i="14"/>
  <c r="K256" i="14"/>
  <c r="K257" i="14"/>
  <c r="K162" i="14"/>
  <c r="K164" i="14"/>
  <c r="K166" i="14"/>
  <c r="O250" i="14"/>
  <c r="O251" i="14"/>
  <c r="O252" i="14"/>
  <c r="O253" i="14"/>
  <c r="O254" i="14"/>
  <c r="O255" i="14"/>
  <c r="O256" i="14"/>
  <c r="O257" i="14"/>
  <c r="O160" i="14"/>
  <c r="O162" i="14"/>
  <c r="O164" i="14"/>
  <c r="R62" i="14"/>
  <c r="P157" i="14"/>
  <c r="P159" i="14"/>
  <c r="P161" i="14"/>
  <c r="R161" i="14" s="1"/>
  <c r="P247" i="14"/>
  <c r="P248" i="14"/>
  <c r="R248" i="14" s="1"/>
  <c r="P249" i="14"/>
  <c r="R249" i="14" s="1"/>
  <c r="P250" i="14"/>
  <c r="R250" i="14" s="1"/>
  <c r="P251" i="14"/>
  <c r="R251" i="14" s="1"/>
  <c r="P252" i="14"/>
  <c r="R252" i="14" s="1"/>
  <c r="P253" i="14"/>
  <c r="R253" i="14" s="1"/>
  <c r="P254" i="14"/>
  <c r="R254" i="14" s="1"/>
  <c r="P334" i="14"/>
  <c r="P335" i="14"/>
  <c r="P336" i="14"/>
  <c r="R336" i="14" s="1"/>
  <c r="P337" i="14"/>
  <c r="R337" i="14" s="1"/>
  <c r="P338" i="14"/>
  <c r="P339" i="14"/>
  <c r="R339" i="14" s="1"/>
  <c r="P340" i="14"/>
  <c r="R340" i="14" s="1"/>
  <c r="P341" i="14"/>
  <c r="R341" i="14" s="1"/>
  <c r="P156" i="14"/>
  <c r="P158" i="14"/>
  <c r="P160" i="14"/>
  <c r="J59" i="14"/>
  <c r="K153" i="14"/>
  <c r="K155" i="14"/>
  <c r="K157" i="14"/>
  <c r="K316" i="14"/>
  <c r="K317" i="14"/>
  <c r="K320" i="14"/>
  <c r="K321" i="14"/>
  <c r="K324" i="14"/>
  <c r="K325" i="14"/>
  <c r="K328" i="14"/>
  <c r="K329" i="14"/>
  <c r="K332" i="14"/>
  <c r="K245" i="14"/>
  <c r="K246" i="14"/>
  <c r="K247" i="14"/>
  <c r="K248" i="14"/>
  <c r="K249" i="14"/>
  <c r="K250" i="14"/>
  <c r="K251" i="14"/>
  <c r="K378" i="14"/>
  <c r="K154" i="14"/>
  <c r="K156" i="14"/>
  <c r="K158" i="14"/>
  <c r="K240" i="14"/>
  <c r="K241" i="14"/>
  <c r="K242" i="14"/>
  <c r="K243" i="14"/>
  <c r="K244" i="14"/>
  <c r="K315" i="14"/>
  <c r="K318" i="14"/>
  <c r="K319" i="14"/>
  <c r="K322" i="14"/>
  <c r="K323" i="14"/>
  <c r="K326" i="14"/>
  <c r="K327" i="14"/>
  <c r="K330" i="14"/>
  <c r="O151" i="14"/>
  <c r="O245" i="14"/>
  <c r="O246" i="14"/>
  <c r="O247" i="14"/>
  <c r="O248" i="14"/>
  <c r="O249" i="14"/>
  <c r="O313" i="14"/>
  <c r="O317" i="14"/>
  <c r="O321" i="14"/>
  <c r="O325" i="14"/>
  <c r="O329" i="14"/>
  <c r="O332" i="14"/>
  <c r="O333" i="14"/>
  <c r="O334" i="14"/>
  <c r="O152" i="14"/>
  <c r="O154" i="14"/>
  <c r="O156" i="14"/>
  <c r="O238" i="14"/>
  <c r="O239" i="14"/>
  <c r="O240" i="14"/>
  <c r="O241" i="14"/>
  <c r="O242" i="14"/>
  <c r="O243" i="14"/>
  <c r="O244" i="14"/>
  <c r="O314" i="14"/>
  <c r="O318" i="14"/>
  <c r="O322" i="14"/>
  <c r="O326" i="14"/>
  <c r="O330" i="14"/>
  <c r="O376" i="14"/>
  <c r="O315" i="14"/>
  <c r="O319" i="14"/>
  <c r="O323" i="14"/>
  <c r="O327" i="14"/>
  <c r="P148" i="14"/>
  <c r="R148" i="14" s="1"/>
  <c r="P149" i="14"/>
  <c r="R149" i="14" s="1"/>
  <c r="P150" i="14"/>
  <c r="R150" i="14" s="1"/>
  <c r="P151" i="14"/>
  <c r="R151" i="14" s="1"/>
  <c r="R54" i="14"/>
  <c r="P153" i="14"/>
  <c r="P312" i="14"/>
  <c r="P316" i="14"/>
  <c r="P320" i="14"/>
  <c r="R320" i="14" s="1"/>
  <c r="P324" i="14"/>
  <c r="R324" i="14" s="1"/>
  <c r="P328" i="14"/>
  <c r="R328" i="14" s="1"/>
  <c r="P331" i="14"/>
  <c r="R331" i="14" s="1"/>
  <c r="P245" i="14"/>
  <c r="R245" i="14" s="1"/>
  <c r="P246" i="14"/>
  <c r="R246" i="14" s="1"/>
  <c r="P313" i="14"/>
  <c r="P317" i="14"/>
  <c r="P321" i="14"/>
  <c r="R321" i="14" s="1"/>
  <c r="P325" i="14"/>
  <c r="R325" i="14" s="1"/>
  <c r="P329" i="14"/>
  <c r="R329" i="14" s="1"/>
  <c r="P332" i="14"/>
  <c r="R332" i="14" s="1"/>
  <c r="P333" i="14"/>
  <c r="R333" i="14" s="1"/>
  <c r="P152" i="14"/>
  <c r="R152" i="14" s="1"/>
  <c r="P235" i="14"/>
  <c r="R235" i="14" s="1"/>
  <c r="P236" i="14"/>
  <c r="R236" i="14" s="1"/>
  <c r="P237" i="14"/>
  <c r="R237" i="14" s="1"/>
  <c r="P238" i="14"/>
  <c r="R238" i="14" s="1"/>
  <c r="P239" i="14"/>
  <c r="R239" i="14" s="1"/>
  <c r="P240" i="14"/>
  <c r="R240" i="14" s="1"/>
  <c r="P241" i="14"/>
  <c r="R241" i="14" s="1"/>
  <c r="P242" i="14"/>
  <c r="R242" i="14" s="1"/>
  <c r="P243" i="14"/>
  <c r="R243" i="14" s="1"/>
  <c r="P244" i="14"/>
  <c r="R244" i="14" s="1"/>
  <c r="P310" i="14"/>
  <c r="P314" i="14"/>
  <c r="P318" i="14"/>
  <c r="P322" i="14"/>
  <c r="R322" i="14" s="1"/>
  <c r="P326" i="14"/>
  <c r="R326" i="14" s="1"/>
  <c r="P330" i="14"/>
  <c r="R330" i="14" s="1"/>
  <c r="P374" i="14"/>
  <c r="M49" i="14"/>
  <c r="N238" i="14"/>
  <c r="N239" i="14"/>
  <c r="N240" i="14"/>
  <c r="N241" i="14"/>
  <c r="N326" i="14"/>
  <c r="N146" i="14"/>
  <c r="N327" i="14"/>
  <c r="N147" i="14"/>
  <c r="N328" i="14"/>
  <c r="G326" i="14"/>
  <c r="G145" i="14"/>
  <c r="F145" i="14" s="1"/>
  <c r="E145" i="14" s="1"/>
  <c r="G147" i="14"/>
  <c r="F147" i="14" s="1"/>
  <c r="E147" i="14" s="1"/>
  <c r="G238" i="14"/>
  <c r="F238" i="14" s="1"/>
  <c r="E238" i="14" s="1"/>
  <c r="G239" i="14"/>
  <c r="F239" i="14" s="1"/>
  <c r="E239" i="14" s="1"/>
  <c r="G240" i="14"/>
  <c r="F240" i="14" s="1"/>
  <c r="E240" i="14" s="1"/>
  <c r="G241" i="14"/>
  <c r="F241" i="14" s="1"/>
  <c r="E241" i="14" s="1"/>
  <c r="G327" i="14"/>
  <c r="F327" i="14" s="1"/>
  <c r="E327" i="14" s="1"/>
  <c r="G148" i="14"/>
  <c r="F148" i="14" s="1"/>
  <c r="E148" i="14" s="1"/>
  <c r="G328" i="14"/>
  <c r="F328" i="14" s="1"/>
  <c r="E328" i="14" s="1"/>
  <c r="M45" i="14"/>
  <c r="N234" i="14"/>
  <c r="N235" i="14"/>
  <c r="N236" i="14"/>
  <c r="N237" i="14"/>
  <c r="N322" i="14"/>
  <c r="N142" i="14"/>
  <c r="N144" i="14"/>
  <c r="N323" i="14"/>
  <c r="N324" i="14"/>
  <c r="G322" i="14"/>
  <c r="F322" i="14" s="1"/>
  <c r="E322" i="14" s="1"/>
  <c r="G141" i="14"/>
  <c r="G143" i="14"/>
  <c r="F143" i="14" s="1"/>
  <c r="E143" i="14" s="1"/>
  <c r="G234" i="14"/>
  <c r="F234" i="14" s="1"/>
  <c r="E234" i="14" s="1"/>
  <c r="G235" i="14"/>
  <c r="F235" i="14" s="1"/>
  <c r="E235" i="14" s="1"/>
  <c r="G236" i="14"/>
  <c r="F236" i="14" s="1"/>
  <c r="E236" i="14" s="1"/>
  <c r="G237" i="14"/>
  <c r="F237" i="14" s="1"/>
  <c r="E237" i="14" s="1"/>
  <c r="G323" i="14"/>
  <c r="F323" i="14" s="1"/>
  <c r="E323" i="14" s="1"/>
  <c r="G324" i="14"/>
  <c r="F324" i="14" s="1"/>
  <c r="E324" i="14" s="1"/>
  <c r="J322" i="14"/>
  <c r="M41" i="14"/>
  <c r="N230" i="14"/>
  <c r="N231" i="14"/>
  <c r="N232" i="14"/>
  <c r="N233" i="14"/>
  <c r="N318" i="14"/>
  <c r="N138" i="14"/>
  <c r="N140" i="14"/>
  <c r="N319" i="14"/>
  <c r="N320" i="14"/>
  <c r="G318" i="14"/>
  <c r="G137" i="14"/>
  <c r="G139" i="14"/>
  <c r="F139" i="14" s="1"/>
  <c r="E139" i="14" s="1"/>
  <c r="G230" i="14"/>
  <c r="G231" i="14"/>
  <c r="G232" i="14"/>
  <c r="F232" i="14" s="1"/>
  <c r="E232" i="14" s="1"/>
  <c r="G233" i="14"/>
  <c r="F233" i="14" s="1"/>
  <c r="E233" i="14" s="1"/>
  <c r="G319" i="14"/>
  <c r="G320" i="14"/>
  <c r="F320" i="14" s="1"/>
  <c r="E320" i="14" s="1"/>
  <c r="M37" i="14"/>
  <c r="N226" i="14"/>
  <c r="N227" i="14"/>
  <c r="N228" i="14"/>
  <c r="N229" i="14"/>
  <c r="N314" i="14"/>
  <c r="N134" i="14"/>
  <c r="N136" i="14"/>
  <c r="N315" i="14"/>
  <c r="N316" i="14"/>
  <c r="G314" i="14"/>
  <c r="G133" i="14"/>
  <c r="F133" i="14" s="1"/>
  <c r="E133" i="14" s="1"/>
  <c r="G135" i="14"/>
  <c r="G226" i="14"/>
  <c r="G227" i="14"/>
  <c r="G228" i="14"/>
  <c r="F228" i="14" s="1"/>
  <c r="E228" i="14" s="1"/>
  <c r="G229" i="14"/>
  <c r="G315" i="14"/>
  <c r="F315" i="14" s="1"/>
  <c r="E315" i="14" s="1"/>
  <c r="G316" i="14"/>
  <c r="M33" i="14"/>
  <c r="N222" i="14"/>
  <c r="N223" i="14"/>
  <c r="N224" i="14"/>
  <c r="N225" i="14"/>
  <c r="N309" i="14"/>
  <c r="N310" i="14"/>
  <c r="N130" i="14"/>
  <c r="N132" i="14"/>
  <c r="N311" i="14"/>
  <c r="N312" i="14"/>
  <c r="G129" i="14"/>
  <c r="F129" i="14" s="1"/>
  <c r="E129" i="14" s="1"/>
  <c r="G131" i="14"/>
  <c r="F131" i="14" s="1"/>
  <c r="E131" i="14" s="1"/>
  <c r="G222" i="14"/>
  <c r="G223" i="14"/>
  <c r="G224" i="14"/>
  <c r="F224" i="14" s="1"/>
  <c r="E224" i="14" s="1"/>
  <c r="G225" i="14"/>
  <c r="G309" i="14"/>
  <c r="F309" i="14" s="1"/>
  <c r="E309" i="14" s="1"/>
  <c r="G310" i="14"/>
  <c r="G311" i="14"/>
  <c r="G312" i="14"/>
  <c r="M29" i="14"/>
  <c r="N124" i="14"/>
  <c r="N217" i="14"/>
  <c r="N218" i="14"/>
  <c r="N219" i="14"/>
  <c r="N220" i="14"/>
  <c r="N221" i="14"/>
  <c r="N304" i="14"/>
  <c r="N305" i="14"/>
  <c r="N306" i="14"/>
  <c r="N307" i="14"/>
  <c r="N308" i="14"/>
  <c r="N126" i="14"/>
  <c r="N128" i="14"/>
  <c r="G221" i="14"/>
  <c r="F221" i="14" s="1"/>
  <c r="E221" i="14" s="1"/>
  <c r="G308" i="14"/>
  <c r="G122" i="14"/>
  <c r="G123" i="14"/>
  <c r="G124" i="14"/>
  <c r="G210" i="14"/>
  <c r="G125" i="14"/>
  <c r="G127" i="14"/>
  <c r="G211" i="14"/>
  <c r="G212" i="14"/>
  <c r="G213" i="14"/>
  <c r="G214" i="14"/>
  <c r="G215" i="14"/>
  <c r="G216" i="14"/>
  <c r="G217" i="14"/>
  <c r="G218" i="14"/>
  <c r="G219" i="14"/>
  <c r="G220" i="14"/>
  <c r="G297" i="14"/>
  <c r="G298" i="14"/>
  <c r="G299" i="14"/>
  <c r="G300" i="14"/>
  <c r="G301" i="14"/>
  <c r="G302" i="14"/>
  <c r="G303" i="14"/>
  <c r="G304" i="14"/>
  <c r="G305" i="14"/>
  <c r="G306" i="14"/>
  <c r="G307" i="14"/>
  <c r="G373" i="14"/>
  <c r="G375" i="14"/>
  <c r="G377" i="14"/>
  <c r="L125" i="14"/>
  <c r="L122" i="14"/>
  <c r="M24" i="14"/>
  <c r="M120" i="14" s="1"/>
  <c r="N120" i="14"/>
  <c r="N122" i="14"/>
  <c r="N123" i="14"/>
  <c r="N119" i="14"/>
  <c r="N210" i="14"/>
  <c r="N211" i="14"/>
  <c r="N212" i="14"/>
  <c r="N213" i="14"/>
  <c r="N214" i="14"/>
  <c r="N215" i="14"/>
  <c r="N216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206" i="14"/>
  <c r="N208" i="14"/>
  <c r="N284" i="14"/>
  <c r="N359" i="14"/>
  <c r="N361" i="14"/>
  <c r="N363" i="14"/>
  <c r="N365" i="14"/>
  <c r="N367" i="14"/>
  <c r="N369" i="14"/>
  <c r="N371" i="14"/>
  <c r="N373" i="14"/>
  <c r="L115" i="14"/>
  <c r="L117" i="14"/>
  <c r="L119" i="14"/>
  <c r="L118" i="14"/>
  <c r="L205" i="14"/>
  <c r="L207" i="14"/>
  <c r="L209" i="14"/>
  <c r="L116" i="14"/>
  <c r="L366" i="14"/>
  <c r="L368" i="14"/>
  <c r="L370" i="14"/>
  <c r="L372" i="14"/>
  <c r="L374" i="14"/>
  <c r="Q114" i="14"/>
  <c r="Q116" i="14"/>
  <c r="Q118" i="14"/>
  <c r="Q113" i="14"/>
  <c r="Q115" i="14"/>
  <c r="Q117" i="14"/>
  <c r="Q206" i="14"/>
  <c r="Q208" i="14"/>
  <c r="Q369" i="14"/>
  <c r="Q371" i="14"/>
  <c r="Q373" i="14"/>
  <c r="Q207" i="14"/>
  <c r="Q209" i="14"/>
  <c r="AA66" i="20"/>
  <c r="AB72" i="20"/>
  <c r="AE72" i="20"/>
  <c r="AG72" i="20" s="1"/>
  <c r="E2" i="9"/>
  <c r="E37" i="9" s="1"/>
  <c r="E24" i="7"/>
  <c r="E23" i="7"/>
  <c r="J355" i="14"/>
  <c r="J264" i="14"/>
  <c r="R350" i="14"/>
  <c r="R346" i="14"/>
  <c r="F253" i="14"/>
  <c r="E253" i="14" s="1"/>
  <c r="F245" i="14"/>
  <c r="E245" i="14" s="1"/>
  <c r="AA58" i="24"/>
  <c r="AB76" i="24"/>
  <c r="R187" i="14"/>
  <c r="R179" i="14"/>
  <c r="F168" i="14"/>
  <c r="E168" i="14" s="1"/>
  <c r="R168" i="14"/>
  <c r="F166" i="14"/>
  <c r="E166" i="14" s="1"/>
  <c r="F164" i="14"/>
  <c r="E164" i="14" s="1"/>
  <c r="R164" i="14"/>
  <c r="F162" i="14"/>
  <c r="E162" i="14" s="1"/>
  <c r="R162" i="14"/>
  <c r="F160" i="14"/>
  <c r="E160" i="14" s="1"/>
  <c r="R160" i="14"/>
  <c r="F158" i="14"/>
  <c r="E158" i="14" s="1"/>
  <c r="R158" i="14"/>
  <c r="F156" i="14"/>
  <c r="E156" i="14" s="1"/>
  <c r="R156" i="14"/>
  <c r="F154" i="14"/>
  <c r="E154" i="14" s="1"/>
  <c r="R154" i="14"/>
  <c r="F152" i="14"/>
  <c r="E152" i="14" s="1"/>
  <c r="M99" i="14"/>
  <c r="F97" i="14"/>
  <c r="E97" i="14" s="1"/>
  <c r="F92" i="14"/>
  <c r="E92" i="14" s="1"/>
  <c r="R92" i="14"/>
  <c r="J91" i="14"/>
  <c r="F89" i="14"/>
  <c r="E89" i="14" s="1"/>
  <c r="M88" i="14"/>
  <c r="N186" i="14"/>
  <c r="N187" i="14"/>
  <c r="F87" i="14"/>
  <c r="E87" i="14" s="1"/>
  <c r="F84" i="14"/>
  <c r="E84" i="14" s="1"/>
  <c r="R84" i="14"/>
  <c r="J83" i="14"/>
  <c r="M80" i="14"/>
  <c r="N178" i="14"/>
  <c r="N179" i="14"/>
  <c r="M76" i="14"/>
  <c r="H171" i="14"/>
  <c r="H173" i="14"/>
  <c r="H175" i="14"/>
  <c r="M73" i="14"/>
  <c r="N167" i="14"/>
  <c r="N168" i="14"/>
  <c r="N169" i="14"/>
  <c r="N170" i="14"/>
  <c r="M65" i="14"/>
  <c r="M57" i="14"/>
  <c r="M329" i="14" s="1"/>
  <c r="K147" i="14"/>
  <c r="K148" i="14"/>
  <c r="K149" i="14"/>
  <c r="K150" i="14"/>
  <c r="K151" i="14"/>
  <c r="J53" i="14"/>
  <c r="J314" i="14" s="1"/>
  <c r="L148" i="14"/>
  <c r="L149" i="14"/>
  <c r="Q147" i="14"/>
  <c r="Q148" i="14"/>
  <c r="L144" i="14"/>
  <c r="L145" i="14"/>
  <c r="Q143" i="14"/>
  <c r="Q144" i="14"/>
  <c r="L140" i="14"/>
  <c r="L141" i="14"/>
  <c r="Q139" i="14"/>
  <c r="Q140" i="14"/>
  <c r="L136" i="14"/>
  <c r="L137" i="14"/>
  <c r="Q135" i="14"/>
  <c r="Q136" i="14"/>
  <c r="L132" i="14"/>
  <c r="L133" i="14"/>
  <c r="Q131" i="14"/>
  <c r="Q132" i="14"/>
  <c r="L127" i="14"/>
  <c r="L128" i="14"/>
  <c r="L129" i="14"/>
  <c r="Q126" i="14"/>
  <c r="Q127" i="14"/>
  <c r="Q128" i="14"/>
  <c r="J26" i="14"/>
  <c r="L121" i="14"/>
  <c r="L123" i="14"/>
  <c r="L124" i="14"/>
  <c r="Q120" i="14"/>
  <c r="Q122" i="14"/>
  <c r="Q123" i="14"/>
  <c r="Q119" i="14"/>
  <c r="Q121" i="14"/>
  <c r="H121" i="14"/>
  <c r="F121" i="14" s="1"/>
  <c r="E121" i="14" s="1"/>
  <c r="J20" i="14"/>
  <c r="M18" i="14"/>
  <c r="N114" i="14"/>
  <c r="N116" i="14"/>
  <c r="G117" i="14"/>
  <c r="J15" i="14"/>
  <c r="K114" i="14"/>
  <c r="P113" i="14"/>
  <c r="R113" i="14" s="1"/>
  <c r="K113" i="14"/>
  <c r="J14" i="14"/>
  <c r="K109" i="14"/>
  <c r="K111" i="14"/>
  <c r="J13" i="14"/>
  <c r="K108" i="14"/>
  <c r="K110" i="14"/>
  <c r="K112" i="14"/>
  <c r="P107" i="14"/>
  <c r="P109" i="14"/>
  <c r="P111" i="14"/>
  <c r="G106" i="14"/>
  <c r="F106" i="14" s="1"/>
  <c r="E106" i="14" s="1"/>
  <c r="G108" i="14"/>
  <c r="G110" i="14"/>
  <c r="G107" i="14"/>
  <c r="G109" i="14"/>
  <c r="G111" i="14"/>
  <c r="M110" i="14"/>
  <c r="J11" i="14"/>
  <c r="L109" i="14"/>
  <c r="M9" i="14"/>
  <c r="I9" i="14" s="1"/>
  <c r="M8" i="14"/>
  <c r="N104" i="14"/>
  <c r="N106" i="14"/>
  <c r="M104" i="14"/>
  <c r="AG64" i="20"/>
  <c r="U11" i="20"/>
  <c r="V11" i="20"/>
  <c r="Z54" i="20"/>
  <c r="AF76" i="23"/>
  <c r="H65" i="24"/>
  <c r="G65" i="24"/>
  <c r="D67" i="27"/>
  <c r="E70" i="27" s="1"/>
  <c r="E65" i="27"/>
  <c r="R186" i="14"/>
  <c r="F178" i="14"/>
  <c r="E178" i="14" s="1"/>
  <c r="R178" i="14"/>
  <c r="R170" i="14"/>
  <c r="F98" i="14"/>
  <c r="E98" i="14" s="1"/>
  <c r="R98" i="14"/>
  <c r="F95" i="14"/>
  <c r="E95" i="14" s="1"/>
  <c r="M94" i="14"/>
  <c r="N192" i="14"/>
  <c r="N193" i="14"/>
  <c r="F90" i="14"/>
  <c r="E90" i="14" s="1"/>
  <c r="R90" i="14"/>
  <c r="M86" i="14"/>
  <c r="N184" i="14"/>
  <c r="N185" i="14"/>
  <c r="F82" i="14"/>
  <c r="E82" i="14" s="1"/>
  <c r="R82" i="14"/>
  <c r="L174" i="14"/>
  <c r="L176" i="14"/>
  <c r="F79" i="14"/>
  <c r="E79" i="14" s="1"/>
  <c r="M78" i="14"/>
  <c r="N177" i="14"/>
  <c r="F75" i="14"/>
  <c r="E75" i="14" s="1"/>
  <c r="R75" i="14"/>
  <c r="Q172" i="14"/>
  <c r="I25" i="14"/>
  <c r="K119" i="14"/>
  <c r="K121" i="14"/>
  <c r="K123" i="14"/>
  <c r="J24" i="14"/>
  <c r="J120" i="14" s="1"/>
  <c r="K118" i="14"/>
  <c r="K120" i="14"/>
  <c r="K122" i="14"/>
  <c r="P117" i="14"/>
  <c r="P119" i="14"/>
  <c r="P121" i="14"/>
  <c r="R121" i="14" s="1"/>
  <c r="J122" i="14"/>
  <c r="O115" i="14"/>
  <c r="O117" i="14"/>
  <c r="O119" i="14"/>
  <c r="O116" i="14"/>
  <c r="O118" i="14"/>
  <c r="O114" i="14"/>
  <c r="O109" i="14"/>
  <c r="O111" i="14"/>
  <c r="O113" i="14"/>
  <c r="O110" i="14"/>
  <c r="O112" i="14"/>
  <c r="T10" i="14"/>
  <c r="I10" i="14"/>
  <c r="L105" i="14"/>
  <c r="L107" i="14"/>
  <c r="Q104" i="14"/>
  <c r="Q106" i="14"/>
  <c r="Q105" i="14"/>
  <c r="Q107" i="14"/>
  <c r="H105" i="14"/>
  <c r="F105" i="14" s="1"/>
  <c r="E105" i="14" s="1"/>
  <c r="AD71" i="20"/>
  <c r="AD72" i="23"/>
  <c r="C57" i="24"/>
  <c r="D60" i="24" s="1"/>
  <c r="D58" i="24"/>
  <c r="E47" i="24"/>
  <c r="F47" i="24"/>
  <c r="E46" i="24"/>
  <c r="G46" i="24" s="1"/>
  <c r="AR21" i="24"/>
  <c r="R165" i="14"/>
  <c r="R159" i="14"/>
  <c r="R157" i="14"/>
  <c r="R153" i="14"/>
  <c r="I100" i="14"/>
  <c r="F96" i="14"/>
  <c r="E96" i="14" s="1"/>
  <c r="R96" i="14"/>
  <c r="M92" i="14"/>
  <c r="N190" i="14"/>
  <c r="N191" i="14"/>
  <c r="F88" i="14"/>
  <c r="E88" i="14" s="1"/>
  <c r="R88" i="14"/>
  <c r="M84" i="14"/>
  <c r="N182" i="14"/>
  <c r="N183" i="14"/>
  <c r="F80" i="14"/>
  <c r="E80" i="14" s="1"/>
  <c r="R80" i="14"/>
  <c r="Q174" i="14"/>
  <c r="Q176" i="14"/>
  <c r="I73" i="14"/>
  <c r="L150" i="14"/>
  <c r="L151" i="14"/>
  <c r="Q149" i="14"/>
  <c r="Q150" i="14"/>
  <c r="L146" i="14"/>
  <c r="L147" i="14"/>
  <c r="Q145" i="14"/>
  <c r="Q146" i="14"/>
  <c r="L142" i="14"/>
  <c r="L143" i="14"/>
  <c r="Q141" i="14"/>
  <c r="Q142" i="14"/>
  <c r="L138" i="14"/>
  <c r="L139" i="14"/>
  <c r="Q137" i="14"/>
  <c r="Q138" i="14"/>
  <c r="L134" i="14"/>
  <c r="L135" i="14"/>
  <c r="Q133" i="14"/>
  <c r="Q134" i="14"/>
  <c r="L130" i="14"/>
  <c r="L131" i="14"/>
  <c r="Q129" i="14"/>
  <c r="Q130" i="14"/>
  <c r="L126" i="14"/>
  <c r="Q124" i="14"/>
  <c r="Q125" i="14"/>
  <c r="O121" i="14"/>
  <c r="O120" i="14"/>
  <c r="O122" i="14"/>
  <c r="I21" i="14"/>
  <c r="H117" i="14"/>
  <c r="H119" i="14"/>
  <c r="M119" i="14"/>
  <c r="M19" i="14"/>
  <c r="N118" i="14"/>
  <c r="I16" i="14"/>
  <c r="H111" i="14"/>
  <c r="H113" i="14"/>
  <c r="F113" i="14" s="1"/>
  <c r="E113" i="14" s="1"/>
  <c r="H115" i="14"/>
  <c r="M113" i="14"/>
  <c r="M13" i="14"/>
  <c r="N108" i="14"/>
  <c r="N110" i="14"/>
  <c r="N112" i="14"/>
  <c r="K105" i="14"/>
  <c r="K107" i="14"/>
  <c r="J8" i="14"/>
  <c r="K104" i="14"/>
  <c r="K106" i="14"/>
  <c r="J106" i="14"/>
  <c r="AI70" i="20"/>
  <c r="AA70" i="20"/>
  <c r="T20" i="20"/>
  <c r="R21" i="20"/>
  <c r="D13" i="20"/>
  <c r="D34" i="20" s="1"/>
  <c r="E20" i="20"/>
  <c r="AH66" i="23"/>
  <c r="AH62" i="23"/>
  <c r="AR23" i="27"/>
  <c r="AR24" i="27"/>
  <c r="M37" i="20"/>
  <c r="U10" i="20"/>
  <c r="Z52" i="20"/>
  <c r="G20" i="18"/>
  <c r="G21" i="18" s="1"/>
  <c r="E21" i="18" s="1"/>
  <c r="D21" i="18" s="1"/>
  <c r="G2" i="20"/>
  <c r="G37" i="20" s="1"/>
  <c r="L18" i="18"/>
  <c r="N2" i="20"/>
  <c r="AC58" i="23"/>
  <c r="E55" i="23"/>
  <c r="D55" i="23"/>
  <c r="D57" i="23"/>
  <c r="E60" i="23" s="1"/>
  <c r="AG76" i="23"/>
  <c r="AR23" i="23"/>
  <c r="AR9" i="23"/>
  <c r="AH60" i="24"/>
  <c r="AH50" i="24"/>
  <c r="AA50" i="24"/>
  <c r="AE76" i="24"/>
  <c r="G45" i="24"/>
  <c r="T33" i="24"/>
  <c r="AG54" i="29"/>
  <c r="AE72" i="29"/>
  <c r="AG72" i="29" s="1"/>
  <c r="U21" i="29"/>
  <c r="H79" i="29"/>
  <c r="AK11" i="29"/>
  <c r="AO11" i="29" s="1"/>
  <c r="AQ11" i="29" s="1"/>
  <c r="V13" i="23"/>
  <c r="U13" i="23"/>
  <c r="Z58" i="23"/>
  <c r="H18" i="23"/>
  <c r="I2" i="24"/>
  <c r="U9" i="24"/>
  <c r="V9" i="24"/>
  <c r="V12" i="24"/>
  <c r="Z56" i="24"/>
  <c r="H8" i="29"/>
  <c r="I27" i="29"/>
  <c r="I28" i="29"/>
  <c r="I29" i="29"/>
  <c r="I30" i="29"/>
  <c r="I34" i="29"/>
  <c r="I26" i="29"/>
  <c r="I20" i="29"/>
  <c r="I23" i="29"/>
  <c r="I25" i="29"/>
  <c r="I32" i="29"/>
  <c r="I31" i="29"/>
  <c r="I33" i="29"/>
  <c r="U12" i="29"/>
  <c r="Z56" i="29"/>
  <c r="H19" i="29"/>
  <c r="V19" i="29"/>
  <c r="Z56" i="27"/>
  <c r="U12" i="27"/>
  <c r="V12" i="27"/>
  <c r="V14" i="27"/>
  <c r="AK24" i="27"/>
  <c r="AO24" i="27" s="1"/>
  <c r="U14" i="27"/>
  <c r="Z60" i="27"/>
  <c r="AI60" i="27" s="1"/>
  <c r="D47" i="20"/>
  <c r="D46" i="20"/>
  <c r="AM13" i="20"/>
  <c r="AP5" i="20"/>
  <c r="V9" i="20"/>
  <c r="Z50" i="20"/>
  <c r="V10" i="20"/>
  <c r="H17" i="18"/>
  <c r="E65" i="23"/>
  <c r="D65" i="23"/>
  <c r="AF72" i="23"/>
  <c r="D47" i="23"/>
  <c r="D46" i="23"/>
  <c r="F58" i="24"/>
  <c r="E57" i="24"/>
  <c r="Y76" i="24"/>
  <c r="AG76" i="24" s="1"/>
  <c r="T29" i="24"/>
  <c r="T28" i="24"/>
  <c r="T27" i="24"/>
  <c r="AP23" i="24"/>
  <c r="AN26" i="24"/>
  <c r="AH68" i="27"/>
  <c r="AH48" i="27"/>
  <c r="L35" i="20"/>
  <c r="AR8" i="27"/>
  <c r="I16" i="24"/>
  <c r="J20" i="24"/>
  <c r="J32" i="24"/>
  <c r="J31" i="24"/>
  <c r="J37" i="24" s="1"/>
  <c r="J34" i="24"/>
  <c r="E57" i="29"/>
  <c r="E58" i="29"/>
  <c r="AC48" i="29"/>
  <c r="AD75" i="29"/>
  <c r="AC58" i="20"/>
  <c r="AG56" i="20"/>
  <c r="F44" i="20"/>
  <c r="E46" i="20"/>
  <c r="G46" i="20" s="1"/>
  <c r="T31" i="20"/>
  <c r="T27" i="20"/>
  <c r="AR23" i="20"/>
  <c r="AQ20" i="20"/>
  <c r="AP10" i="20"/>
  <c r="P20" i="20"/>
  <c r="P26" i="20"/>
  <c r="P27" i="20"/>
  <c r="P32" i="20"/>
  <c r="P34" i="20"/>
  <c r="P23" i="20"/>
  <c r="P31" i="20"/>
  <c r="P37" i="20" s="1"/>
  <c r="P33" i="20"/>
  <c r="I35" i="20"/>
  <c r="V15" i="20"/>
  <c r="I18" i="18"/>
  <c r="I2" i="20" s="1"/>
  <c r="I37" i="20" s="1"/>
  <c r="K20" i="18"/>
  <c r="K21" i="18" s="1"/>
  <c r="J21" i="18" s="1"/>
  <c r="I21" i="18" s="1"/>
  <c r="AH64" i="23"/>
  <c r="D44" i="23"/>
  <c r="E44" i="23"/>
  <c r="AM13" i="23"/>
  <c r="AH68" i="24"/>
  <c r="D67" i="24"/>
  <c r="E70" i="24" s="1"/>
  <c r="D65" i="24"/>
  <c r="E55" i="24"/>
  <c r="D55" i="24"/>
  <c r="AF72" i="24"/>
  <c r="AD76" i="24"/>
  <c r="AP11" i="24"/>
  <c r="D18" i="20"/>
  <c r="D2" i="23" s="1"/>
  <c r="E2" i="23"/>
  <c r="AF72" i="29"/>
  <c r="AD76" i="29"/>
  <c r="D16" i="24"/>
  <c r="E33" i="24"/>
  <c r="E31" i="24"/>
  <c r="E37" i="24" s="1"/>
  <c r="E32" i="24"/>
  <c r="L33" i="20"/>
  <c r="L31" i="20"/>
  <c r="L30" i="20"/>
  <c r="L23" i="20"/>
  <c r="C2" i="20"/>
  <c r="H8" i="20"/>
  <c r="E18" i="18"/>
  <c r="AD71" i="23"/>
  <c r="F68" i="23"/>
  <c r="E57" i="23"/>
  <c r="AE72" i="24"/>
  <c r="AH64" i="27"/>
  <c r="AE76" i="27"/>
  <c r="AG76" i="27" s="1"/>
  <c r="AG48" i="27"/>
  <c r="T34" i="27"/>
  <c r="T28" i="27"/>
  <c r="AN26" i="27"/>
  <c r="AQ20" i="27"/>
  <c r="D67" i="29"/>
  <c r="E70" i="29" s="1"/>
  <c r="AH62" i="29"/>
  <c r="AC60" i="29"/>
  <c r="E55" i="29"/>
  <c r="AR19" i="29"/>
  <c r="AL9" i="29"/>
  <c r="AP9" i="29" s="1"/>
  <c r="AL9" i="27"/>
  <c r="AP9" i="27" s="1"/>
  <c r="AR9" i="27" s="1"/>
  <c r="E75" i="31"/>
  <c r="AK20" i="29"/>
  <c r="AO20" i="29" s="1"/>
  <c r="AQ20" i="29" s="1"/>
  <c r="P7" i="23"/>
  <c r="P35" i="23" s="1"/>
  <c r="P36" i="23" s="1"/>
  <c r="O35" i="23"/>
  <c r="O36" i="23" s="1"/>
  <c r="D7" i="29"/>
  <c r="E35" i="29"/>
  <c r="E36" i="29" s="1"/>
  <c r="D55" i="34"/>
  <c r="E55" i="34"/>
  <c r="L27" i="20"/>
  <c r="AL13" i="20"/>
  <c r="Y72" i="24"/>
  <c r="AG72" i="24" s="1"/>
  <c r="F67" i="24"/>
  <c r="AE72" i="27"/>
  <c r="G68" i="27"/>
  <c r="AG64" i="27"/>
  <c r="AC48" i="27"/>
  <c r="D47" i="27"/>
  <c r="E47" i="27"/>
  <c r="D46" i="27"/>
  <c r="G44" i="27"/>
  <c r="AM26" i="27"/>
  <c r="T23" i="27"/>
  <c r="AR20" i="27"/>
  <c r="J20" i="20"/>
  <c r="J21" i="20" s="1"/>
  <c r="AB76" i="29"/>
  <c r="AG68" i="29"/>
  <c r="AG62" i="29"/>
  <c r="C57" i="29"/>
  <c r="D60" i="29" s="1"/>
  <c r="AR20" i="29"/>
  <c r="D68" i="27"/>
  <c r="AG60" i="27"/>
  <c r="H55" i="27"/>
  <c r="E55" i="27"/>
  <c r="D57" i="27"/>
  <c r="E60" i="27" s="1"/>
  <c r="AR10" i="27"/>
  <c r="AP13" i="27"/>
  <c r="D12" i="27"/>
  <c r="E20" i="27"/>
  <c r="E28" i="27"/>
  <c r="E30" i="27"/>
  <c r="E32" i="27"/>
  <c r="E34" i="27"/>
  <c r="E31" i="27"/>
  <c r="E37" i="27" s="1"/>
  <c r="F65" i="31"/>
  <c r="E65" i="31"/>
  <c r="T34" i="29"/>
  <c r="AP26" i="29"/>
  <c r="E29" i="29"/>
  <c r="E30" i="29"/>
  <c r="E32" i="29"/>
  <c r="E33" i="29"/>
  <c r="E34" i="29"/>
  <c r="D14" i="29"/>
  <c r="F43" i="34"/>
  <c r="F43" i="29"/>
  <c r="H19" i="11"/>
  <c r="U11" i="29"/>
  <c r="V11" i="29"/>
  <c r="P27" i="29"/>
  <c r="P28" i="29"/>
  <c r="P29" i="29"/>
  <c r="P30" i="29"/>
  <c r="P31" i="29"/>
  <c r="P37" i="29" s="1"/>
  <c r="P20" i="29"/>
  <c r="P32" i="29"/>
  <c r="P33" i="29"/>
  <c r="P34" i="29"/>
  <c r="AA70" i="31"/>
  <c r="AF72" i="31"/>
  <c r="AG50" i="31"/>
  <c r="Y72" i="31"/>
  <c r="Y76" i="31"/>
  <c r="AR22" i="31"/>
  <c r="U9" i="32"/>
  <c r="V9" i="32"/>
  <c r="H24" i="32"/>
  <c r="H25" i="32"/>
  <c r="H26" i="32"/>
  <c r="H27" i="32"/>
  <c r="D23" i="32"/>
  <c r="D24" i="32"/>
  <c r="D25" i="32"/>
  <c r="D26" i="32"/>
  <c r="D27" i="32"/>
  <c r="D28" i="32"/>
  <c r="J31" i="32"/>
  <c r="J37" i="32" s="1"/>
  <c r="J38" i="32" s="1"/>
  <c r="J20" i="32"/>
  <c r="J21" i="32" s="1"/>
  <c r="J32" i="32"/>
  <c r="J29" i="32"/>
  <c r="J33" i="32"/>
  <c r="H9" i="37"/>
  <c r="L33" i="37"/>
  <c r="T33" i="29"/>
  <c r="AN26" i="29"/>
  <c r="T23" i="23"/>
  <c r="T26" i="23"/>
  <c r="L37" i="27"/>
  <c r="O37" i="29"/>
  <c r="AK22" i="29"/>
  <c r="AO22" i="29" s="1"/>
  <c r="G75" i="31"/>
  <c r="H11" i="23"/>
  <c r="V11" i="23" s="1"/>
  <c r="I33" i="23"/>
  <c r="I29" i="23"/>
  <c r="I34" i="23"/>
  <c r="I32" i="23"/>
  <c r="U14" i="23"/>
  <c r="V14" i="23"/>
  <c r="L34" i="23"/>
  <c r="L28" i="23"/>
  <c r="L25" i="23"/>
  <c r="V25" i="23" s="1"/>
  <c r="L20" i="23"/>
  <c r="L30" i="23"/>
  <c r="L23" i="23"/>
  <c r="V23" i="23" s="1"/>
  <c r="L33" i="23"/>
  <c r="L29" i="23"/>
  <c r="L26" i="23"/>
  <c r="L31" i="23"/>
  <c r="L37" i="23" s="1"/>
  <c r="V16" i="23"/>
  <c r="P33" i="23"/>
  <c r="P29" i="23"/>
  <c r="P20" i="23"/>
  <c r="P34" i="23"/>
  <c r="P32" i="23"/>
  <c r="P31" i="23"/>
  <c r="P37" i="23" s="1"/>
  <c r="P30" i="23"/>
  <c r="P28" i="23"/>
  <c r="P23" i="23"/>
  <c r="P27" i="23"/>
  <c r="P26" i="23"/>
  <c r="L20" i="29"/>
  <c r="L27" i="29"/>
  <c r="L28" i="29"/>
  <c r="L29" i="29"/>
  <c r="L30" i="29"/>
  <c r="L35" i="29"/>
  <c r="L32" i="29"/>
  <c r="L33" i="29"/>
  <c r="L34" i="29"/>
  <c r="AG62" i="31"/>
  <c r="AC58" i="31"/>
  <c r="AI58" i="31" s="1"/>
  <c r="AD76" i="31"/>
  <c r="AD72" i="31"/>
  <c r="AP23" i="31"/>
  <c r="AL26" i="31"/>
  <c r="AR20" i="31"/>
  <c r="E2" i="32"/>
  <c r="E37" i="32" s="1"/>
  <c r="E38" i="32" s="1"/>
  <c r="E35" i="31"/>
  <c r="E36" i="31" s="1"/>
  <c r="AC66" i="34"/>
  <c r="D27" i="29"/>
  <c r="D28" i="29"/>
  <c r="D32" i="29"/>
  <c r="D33" i="29"/>
  <c r="I20" i="23"/>
  <c r="H14" i="29"/>
  <c r="E55" i="31"/>
  <c r="D55" i="31"/>
  <c r="U18" i="31"/>
  <c r="Z68" i="31"/>
  <c r="V18" i="31"/>
  <c r="J34" i="32"/>
  <c r="D8" i="23"/>
  <c r="E34" i="23"/>
  <c r="E30" i="23"/>
  <c r="H10" i="11"/>
  <c r="H13" i="10"/>
  <c r="H12" i="9"/>
  <c r="H9" i="8"/>
  <c r="H19" i="6"/>
  <c r="I31" i="23"/>
  <c r="I37" i="23" s="1"/>
  <c r="I27" i="23"/>
  <c r="H8" i="31"/>
  <c r="L26" i="31"/>
  <c r="L31" i="31"/>
  <c r="L33" i="31"/>
  <c r="L35" i="31"/>
  <c r="L20" i="31"/>
  <c r="L27" i="31"/>
  <c r="AB76" i="31"/>
  <c r="AF76" i="31"/>
  <c r="P28" i="32"/>
  <c r="P29" i="32"/>
  <c r="P30" i="32"/>
  <c r="P31" i="32"/>
  <c r="P37" i="32" s="1"/>
  <c r="P38" i="32" s="1"/>
  <c r="P32" i="32"/>
  <c r="P33" i="32"/>
  <c r="P34" i="32"/>
  <c r="P25" i="32"/>
  <c r="P26" i="32"/>
  <c r="P27" i="32"/>
  <c r="AG58" i="34"/>
  <c r="Y72" i="34"/>
  <c r="AD72" i="34"/>
  <c r="E20" i="29"/>
  <c r="E23" i="23"/>
  <c r="E27" i="23"/>
  <c r="E28" i="23"/>
  <c r="E32" i="23"/>
  <c r="C35" i="24"/>
  <c r="H14" i="11"/>
  <c r="P20" i="10"/>
  <c r="H17" i="10"/>
  <c r="P20" i="9"/>
  <c r="H18" i="9"/>
  <c r="H13" i="8"/>
  <c r="H12" i="7"/>
  <c r="T7" i="29"/>
  <c r="R35" i="29"/>
  <c r="H12" i="23"/>
  <c r="H19" i="23"/>
  <c r="H13" i="29"/>
  <c r="AE76" i="31"/>
  <c r="AE72" i="31"/>
  <c r="T35" i="31"/>
  <c r="T33" i="31"/>
  <c r="R37" i="31"/>
  <c r="T37" i="31" s="1"/>
  <c r="T26" i="31"/>
  <c r="V19" i="31"/>
  <c r="L2" i="32"/>
  <c r="D9" i="31"/>
  <c r="E20" i="31"/>
  <c r="E27" i="31"/>
  <c r="D14" i="32"/>
  <c r="E20" i="32"/>
  <c r="E21" i="32" s="1"/>
  <c r="H15" i="32"/>
  <c r="L30" i="32"/>
  <c r="L31" i="32"/>
  <c r="L32" i="32"/>
  <c r="L33" i="32"/>
  <c r="L34" i="32"/>
  <c r="L20" i="32"/>
  <c r="T21" i="33"/>
  <c r="L26" i="33"/>
  <c r="V10" i="33"/>
  <c r="AA68" i="34"/>
  <c r="AH68" i="34"/>
  <c r="AA52" i="34"/>
  <c r="AB72" i="34"/>
  <c r="AF76" i="34"/>
  <c r="I13" i="34"/>
  <c r="H13" i="34" s="1"/>
  <c r="J31" i="34"/>
  <c r="J37" i="34" s="1"/>
  <c r="J34" i="34"/>
  <c r="J30" i="34"/>
  <c r="K37" i="34"/>
  <c r="AB76" i="34"/>
  <c r="U19" i="35"/>
  <c r="H2" i="36"/>
  <c r="T37" i="37"/>
  <c r="R38" i="37"/>
  <c r="T38" i="37" s="1"/>
  <c r="E24" i="23"/>
  <c r="E29" i="23"/>
  <c r="E31" i="23"/>
  <c r="E33" i="23"/>
  <c r="T21" i="23"/>
  <c r="P20" i="11"/>
  <c r="E7" i="23"/>
  <c r="C35" i="23"/>
  <c r="P7" i="27"/>
  <c r="P35" i="27" s="1"/>
  <c r="P36" i="27" s="1"/>
  <c r="V15" i="23"/>
  <c r="L31" i="24"/>
  <c r="AC56" i="31"/>
  <c r="T36" i="31"/>
  <c r="P34" i="31"/>
  <c r="E34" i="31"/>
  <c r="L32" i="31"/>
  <c r="L30" i="31"/>
  <c r="L28" i="31"/>
  <c r="L25" i="31"/>
  <c r="D10" i="33"/>
  <c r="E30" i="33"/>
  <c r="E26" i="33"/>
  <c r="U10" i="33"/>
  <c r="D2" i="35"/>
  <c r="J2" i="35"/>
  <c r="J37" i="35" s="1"/>
  <c r="J38" i="35" s="1"/>
  <c r="H17" i="33"/>
  <c r="L2" i="35"/>
  <c r="L37" i="35" s="1"/>
  <c r="H13" i="33"/>
  <c r="V13" i="33" s="1"/>
  <c r="P31" i="33"/>
  <c r="P37" i="33" s="1"/>
  <c r="P38" i="33" s="1"/>
  <c r="P35" i="33"/>
  <c r="P36" i="33" s="1"/>
  <c r="P32" i="33"/>
  <c r="D65" i="34"/>
  <c r="E65" i="34"/>
  <c r="AF72" i="34"/>
  <c r="AL11" i="34"/>
  <c r="AP11" i="34" s="1"/>
  <c r="AR11" i="34" s="1"/>
  <c r="T21" i="34"/>
  <c r="Z60" i="34"/>
  <c r="AK24" i="34"/>
  <c r="AO24" i="34" s="1"/>
  <c r="J32" i="38"/>
  <c r="H26" i="33"/>
  <c r="U26" i="33" s="1"/>
  <c r="L30" i="33"/>
  <c r="L27" i="33"/>
  <c r="AH70" i="34"/>
  <c r="T38" i="34"/>
  <c r="T7" i="34"/>
  <c r="R35" i="34"/>
  <c r="L7" i="34"/>
  <c r="M35" i="34"/>
  <c r="M36" i="34" s="1"/>
  <c r="H31" i="36"/>
  <c r="U31" i="36" s="1"/>
  <c r="U8" i="36"/>
  <c r="J35" i="37"/>
  <c r="J36" i="37" s="1"/>
  <c r="L29" i="32"/>
  <c r="V19" i="32"/>
  <c r="V12" i="32"/>
  <c r="V10" i="32"/>
  <c r="E27" i="33"/>
  <c r="H27" i="33"/>
  <c r="U27" i="33" s="1"/>
  <c r="H32" i="33"/>
  <c r="U32" i="33" s="1"/>
  <c r="L31" i="33"/>
  <c r="E29" i="33"/>
  <c r="E25" i="33"/>
  <c r="J31" i="33"/>
  <c r="J37" i="33" s="1"/>
  <c r="J38" i="33" s="1"/>
  <c r="J29" i="33"/>
  <c r="J25" i="33"/>
  <c r="L35" i="33"/>
  <c r="P33" i="33"/>
  <c r="P30" i="33"/>
  <c r="P26" i="33"/>
  <c r="P34" i="33"/>
  <c r="T35" i="32"/>
  <c r="AE72" i="34"/>
  <c r="AG54" i="34"/>
  <c r="E34" i="34"/>
  <c r="AH52" i="34"/>
  <c r="D23" i="34"/>
  <c r="J34" i="36"/>
  <c r="H2" i="37"/>
  <c r="U8" i="37"/>
  <c r="D17" i="37"/>
  <c r="E2" i="38"/>
  <c r="E37" i="38" s="1"/>
  <c r="E38" i="38" s="1"/>
  <c r="P35" i="37"/>
  <c r="P36" i="37" s="1"/>
  <c r="P35" i="38"/>
  <c r="P36" i="38" s="1"/>
  <c r="P33" i="31"/>
  <c r="E33" i="31"/>
  <c r="J27" i="32"/>
  <c r="J26" i="32"/>
  <c r="V16" i="32"/>
  <c r="V11" i="32"/>
  <c r="U9" i="33"/>
  <c r="V11" i="33"/>
  <c r="V14" i="33"/>
  <c r="E24" i="33"/>
  <c r="J24" i="33"/>
  <c r="H24" i="33"/>
  <c r="U24" i="33" s="1"/>
  <c r="L25" i="33"/>
  <c r="P27" i="33"/>
  <c r="E28" i="33"/>
  <c r="J28" i="33"/>
  <c r="L29" i="33"/>
  <c r="T32" i="33"/>
  <c r="L32" i="33"/>
  <c r="H31" i="33"/>
  <c r="AE76" i="34"/>
  <c r="AC70" i="34"/>
  <c r="AG62" i="34"/>
  <c r="AG60" i="34"/>
  <c r="AC56" i="34"/>
  <c r="R37" i="34"/>
  <c r="T37" i="34" s="1"/>
  <c r="E31" i="34"/>
  <c r="E37" i="34" s="1"/>
  <c r="D25" i="34"/>
  <c r="AR19" i="34"/>
  <c r="L27" i="34"/>
  <c r="L31" i="34"/>
  <c r="E28" i="34"/>
  <c r="E32" i="34"/>
  <c r="E29" i="34"/>
  <c r="E33" i="34"/>
  <c r="J20" i="34"/>
  <c r="J33" i="34"/>
  <c r="P23" i="34"/>
  <c r="P25" i="34"/>
  <c r="P30" i="34"/>
  <c r="P34" i="34"/>
  <c r="P26" i="34"/>
  <c r="P27" i="34"/>
  <c r="P31" i="34"/>
  <c r="P37" i="34" s="1"/>
  <c r="Y76" i="34"/>
  <c r="J2" i="36"/>
  <c r="J37" i="36" s="1"/>
  <c r="J38" i="36" s="1"/>
  <c r="N37" i="35"/>
  <c r="N38" i="35" s="1"/>
  <c r="T31" i="36"/>
  <c r="C37" i="36"/>
  <c r="H17" i="37"/>
  <c r="E36" i="37"/>
  <c r="D36" i="37" s="1"/>
  <c r="L2" i="39"/>
  <c r="H17" i="38"/>
  <c r="H35" i="38" s="1"/>
  <c r="P20" i="38"/>
  <c r="P21" i="38" s="1"/>
  <c r="U17" i="39"/>
  <c r="H2" i="40"/>
  <c r="K37" i="39"/>
  <c r="K38" i="39" s="1"/>
  <c r="Q37" i="39"/>
  <c r="Q38" i="39" s="1"/>
  <c r="AP23" i="34"/>
  <c r="AR24" i="34" s="1"/>
  <c r="I8" i="34"/>
  <c r="J24" i="34"/>
  <c r="P7" i="34"/>
  <c r="P35" i="34" s="1"/>
  <c r="P36" i="34" s="1"/>
  <c r="E7" i="34"/>
  <c r="D2" i="39"/>
  <c r="M37" i="38"/>
  <c r="M38" i="38" s="1"/>
  <c r="D2" i="40"/>
  <c r="L2" i="40"/>
  <c r="L37" i="40" s="1"/>
  <c r="L38" i="40" s="1"/>
  <c r="F37" i="39"/>
  <c r="F38" i="39" s="1"/>
  <c r="R37" i="39"/>
  <c r="R38" i="39" s="1"/>
  <c r="L34" i="34"/>
  <c r="J32" i="34"/>
  <c r="L30" i="34"/>
  <c r="J28" i="34"/>
  <c r="D9" i="34"/>
  <c r="D24" i="34" s="1"/>
  <c r="E24" i="34"/>
  <c r="E25" i="34"/>
  <c r="V19" i="35"/>
  <c r="P32" i="36"/>
  <c r="P27" i="36"/>
  <c r="F37" i="38"/>
  <c r="F38" i="38" s="1"/>
  <c r="E2" i="40"/>
  <c r="E37" i="40" s="1"/>
  <c r="E38" i="40" s="1"/>
  <c r="P2" i="40"/>
  <c r="P37" i="40" s="1"/>
  <c r="P38" i="40" s="1"/>
  <c r="G37" i="39"/>
  <c r="G38" i="39" s="1"/>
  <c r="N37" i="39"/>
  <c r="N38" i="39" s="1"/>
  <c r="S37" i="39"/>
  <c r="S38" i="39" s="1"/>
  <c r="V9" i="40"/>
  <c r="H24" i="40"/>
  <c r="U24" i="40" s="1"/>
  <c r="T37" i="40"/>
  <c r="C38" i="40"/>
  <c r="T38" i="40" s="1"/>
  <c r="H25" i="40"/>
  <c r="U25" i="40" s="1"/>
  <c r="H33" i="40"/>
  <c r="U33" i="40" s="1"/>
  <c r="H20" i="40"/>
  <c r="V20" i="40" s="1"/>
  <c r="H27" i="40"/>
  <c r="U27" i="40" s="1"/>
  <c r="H35" i="40"/>
  <c r="U35" i="40" s="1"/>
  <c r="H29" i="40"/>
  <c r="U29" i="40" s="1"/>
  <c r="H31" i="40"/>
  <c r="U31" i="40" s="1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21" i="40" s="1"/>
  <c r="H26" i="40"/>
  <c r="U26" i="40" s="1"/>
  <c r="H30" i="40"/>
  <c r="U30" i="40" s="1"/>
  <c r="H34" i="40"/>
  <c r="U34" i="40" s="1"/>
  <c r="V23" i="40"/>
  <c r="L36" i="40"/>
  <c r="H28" i="40"/>
  <c r="U28" i="40" s="1"/>
  <c r="H32" i="40"/>
  <c r="U32" i="40" s="1"/>
  <c r="V10" i="40"/>
  <c r="V19" i="39"/>
  <c r="U18" i="39"/>
  <c r="V18" i="39"/>
  <c r="T33" i="39"/>
  <c r="V17" i="39"/>
  <c r="U16" i="39"/>
  <c r="V15" i="39"/>
  <c r="V14" i="39"/>
  <c r="U13" i="39"/>
  <c r="V13" i="39"/>
  <c r="J32" i="39"/>
  <c r="V12" i="39"/>
  <c r="U12" i="39"/>
  <c r="J35" i="39"/>
  <c r="J36" i="39" s="1"/>
  <c r="P29" i="39"/>
  <c r="V11" i="39"/>
  <c r="U11" i="39"/>
  <c r="T29" i="39"/>
  <c r="T28" i="39"/>
  <c r="T35" i="39"/>
  <c r="P32" i="39"/>
  <c r="P31" i="39"/>
  <c r="P37" i="39" s="1"/>
  <c r="P38" i="39" s="1"/>
  <c r="P28" i="39"/>
  <c r="P35" i="39"/>
  <c r="P36" i="39" s="1"/>
  <c r="P25" i="39"/>
  <c r="P33" i="39"/>
  <c r="T27" i="39"/>
  <c r="T30" i="39"/>
  <c r="T32" i="39"/>
  <c r="P26" i="39"/>
  <c r="P30" i="39"/>
  <c r="P34" i="39"/>
  <c r="P20" i="39"/>
  <c r="P21" i="39" s="1"/>
  <c r="P27" i="39"/>
  <c r="L33" i="39"/>
  <c r="L25" i="39"/>
  <c r="U9" i="39"/>
  <c r="V9" i="39"/>
  <c r="L31" i="39"/>
  <c r="L37" i="39" s="1"/>
  <c r="L27" i="39"/>
  <c r="L35" i="39"/>
  <c r="L36" i="39" s="1"/>
  <c r="N36" i="39" s="1"/>
  <c r="J29" i="39"/>
  <c r="J33" i="39"/>
  <c r="J25" i="39"/>
  <c r="J31" i="39"/>
  <c r="J37" i="39" s="1"/>
  <c r="J38" i="39" s="1"/>
  <c r="J27" i="39"/>
  <c r="J34" i="39"/>
  <c r="J30" i="39"/>
  <c r="J26" i="39"/>
  <c r="J20" i="39"/>
  <c r="J21" i="39" s="1"/>
  <c r="E25" i="39"/>
  <c r="T36" i="39"/>
  <c r="H26" i="38"/>
  <c r="H36" i="38"/>
  <c r="U36" i="38" s="1"/>
  <c r="H33" i="38"/>
  <c r="H32" i="38"/>
  <c r="H30" i="38"/>
  <c r="H29" i="38"/>
  <c r="U29" i="38" s="1"/>
  <c r="H34" i="38"/>
  <c r="V31" i="38"/>
  <c r="T37" i="39"/>
  <c r="T31" i="39"/>
  <c r="T21" i="39"/>
  <c r="T26" i="39"/>
  <c r="T20" i="39"/>
  <c r="T25" i="39"/>
  <c r="T34" i="39"/>
  <c r="U8" i="39"/>
  <c r="H28" i="39"/>
  <c r="U28" i="39" s="1"/>
  <c r="H24" i="39"/>
  <c r="U24" i="39" s="1"/>
  <c r="H35" i="39"/>
  <c r="H33" i="39"/>
  <c r="U33" i="39" s="1"/>
  <c r="H31" i="39"/>
  <c r="H27" i="39"/>
  <c r="U27" i="39" s="1"/>
  <c r="H23" i="39"/>
  <c r="U23" i="39" s="1"/>
  <c r="H30" i="39"/>
  <c r="U30" i="39" s="1"/>
  <c r="H26" i="39"/>
  <c r="U26" i="39" s="1"/>
  <c r="H34" i="39"/>
  <c r="U34" i="39" s="1"/>
  <c r="H32" i="39"/>
  <c r="U32" i="39" s="1"/>
  <c r="H29" i="39"/>
  <c r="V29" i="39" s="1"/>
  <c r="H25" i="39"/>
  <c r="U25" i="39" s="1"/>
  <c r="H20" i="39"/>
  <c r="V8" i="39"/>
  <c r="L20" i="39"/>
  <c r="L26" i="39"/>
  <c r="L30" i="39"/>
  <c r="L34" i="39"/>
  <c r="L24" i="39"/>
  <c r="L28" i="39"/>
  <c r="L32" i="39"/>
  <c r="E31" i="39"/>
  <c r="E37" i="39" s="1"/>
  <c r="E38" i="39" s="1"/>
  <c r="E35" i="39"/>
  <c r="E36" i="39"/>
  <c r="D36" i="39" s="1"/>
  <c r="E29" i="39"/>
  <c r="D34" i="39"/>
  <c r="D30" i="39"/>
  <c r="D26" i="39"/>
  <c r="D20" i="39"/>
  <c r="D21" i="39" s="1"/>
  <c r="D32" i="39"/>
  <c r="D24" i="39"/>
  <c r="D35" i="39"/>
  <c r="D23" i="39"/>
  <c r="D33" i="39"/>
  <c r="D29" i="39"/>
  <c r="D25" i="39"/>
  <c r="D28" i="39"/>
  <c r="D31" i="39"/>
  <c r="D37" i="39" s="1"/>
  <c r="D38" i="39" s="1"/>
  <c r="D27" i="39"/>
  <c r="E26" i="39"/>
  <c r="E30" i="39"/>
  <c r="C38" i="39"/>
  <c r="E23" i="39"/>
  <c r="E27" i="39"/>
  <c r="E33" i="39"/>
  <c r="E20" i="39"/>
  <c r="E21" i="39" s="1"/>
  <c r="E32" i="39"/>
  <c r="E24" i="39"/>
  <c r="E28" i="39"/>
  <c r="E34" i="39"/>
  <c r="M340" i="14" l="1"/>
  <c r="S13" i="7"/>
  <c r="R13" i="7"/>
  <c r="W58" i="7"/>
  <c r="AE58" i="7" s="1"/>
  <c r="J27" i="34"/>
  <c r="J26" i="34"/>
  <c r="J25" i="34"/>
  <c r="J23" i="34"/>
  <c r="J35" i="34"/>
  <c r="J36" i="34" s="1"/>
  <c r="V18" i="10"/>
  <c r="U18" i="10"/>
  <c r="Z68" i="10"/>
  <c r="AA50" i="23"/>
  <c r="AI50" i="23"/>
  <c r="F46" i="23"/>
  <c r="F47" i="23"/>
  <c r="T79" i="14"/>
  <c r="S79" i="14"/>
  <c r="J194" i="14"/>
  <c r="I95" i="14"/>
  <c r="D68" i="20"/>
  <c r="D67" i="20"/>
  <c r="E70" i="20" s="1"/>
  <c r="J223" i="14"/>
  <c r="I31" i="14"/>
  <c r="J130" i="14"/>
  <c r="R407" i="14"/>
  <c r="F407" i="14"/>
  <c r="E407" i="14" s="1"/>
  <c r="F414" i="14"/>
  <c r="E414" i="14" s="1"/>
  <c r="R414" i="14"/>
  <c r="R11" i="5"/>
  <c r="S11" i="5"/>
  <c r="AR8" i="23"/>
  <c r="Q8" i="1"/>
  <c r="D5" i="14"/>
  <c r="C30" i="1"/>
  <c r="Q30" i="1" s="1"/>
  <c r="C23" i="1"/>
  <c r="Q23" i="1" s="1"/>
  <c r="C34" i="1"/>
  <c r="Q34" i="1" s="1"/>
  <c r="C25" i="1"/>
  <c r="Q25" i="1" s="1"/>
  <c r="AI68" i="27"/>
  <c r="U8" i="12"/>
  <c r="H23" i="12"/>
  <c r="U23" i="12" s="1"/>
  <c r="Z48" i="12"/>
  <c r="AF62" i="6"/>
  <c r="R234" i="14"/>
  <c r="U7" i="27"/>
  <c r="W56" i="8"/>
  <c r="S12" i="8"/>
  <c r="R12" i="8"/>
  <c r="V23" i="33"/>
  <c r="AR20" i="34"/>
  <c r="AR21" i="34"/>
  <c r="E67" i="29"/>
  <c r="E68" i="29"/>
  <c r="D46" i="34"/>
  <c r="D44" i="34"/>
  <c r="AI52" i="24"/>
  <c r="AC76" i="24"/>
  <c r="AC72" i="24"/>
  <c r="I9" i="27"/>
  <c r="J24" i="27"/>
  <c r="J27" i="27"/>
  <c r="J32" i="27"/>
  <c r="J33" i="27"/>
  <c r="J34" i="27"/>
  <c r="J28" i="27"/>
  <c r="J31" i="27"/>
  <c r="J37" i="27" s="1"/>
  <c r="J20" i="27"/>
  <c r="J26" i="27"/>
  <c r="J25" i="27"/>
  <c r="J29" i="27"/>
  <c r="J30" i="27"/>
  <c r="Z64" i="18"/>
  <c r="U16" i="18"/>
  <c r="V16" i="18"/>
  <c r="J226" i="14"/>
  <c r="I34" i="14"/>
  <c r="S34" i="14" s="1"/>
  <c r="J133" i="14"/>
  <c r="T98" i="14"/>
  <c r="S98" i="14"/>
  <c r="J144" i="14"/>
  <c r="I46" i="14"/>
  <c r="J145" i="14"/>
  <c r="J263" i="14"/>
  <c r="J261" i="14"/>
  <c r="J169" i="14"/>
  <c r="J170" i="14"/>
  <c r="I72" i="14"/>
  <c r="J171" i="14"/>
  <c r="J167" i="14"/>
  <c r="J168" i="14"/>
  <c r="AR22" i="9"/>
  <c r="AR23" i="9"/>
  <c r="AR8" i="24"/>
  <c r="J260" i="14"/>
  <c r="I77" i="14"/>
  <c r="J175" i="14"/>
  <c r="J173" i="14"/>
  <c r="J174" i="14"/>
  <c r="J172" i="14"/>
  <c r="J176" i="14"/>
  <c r="AP4" i="9"/>
  <c r="AL13" i="9"/>
  <c r="F200" i="14"/>
  <c r="E200" i="14" s="1"/>
  <c r="D35" i="8"/>
  <c r="D29" i="8"/>
  <c r="V7" i="27"/>
  <c r="U13" i="18"/>
  <c r="V13" i="18"/>
  <c r="Z58" i="18"/>
  <c r="H28" i="18"/>
  <c r="H29" i="18"/>
  <c r="H30" i="18"/>
  <c r="H31" i="18"/>
  <c r="U10" i="32"/>
  <c r="H28" i="32"/>
  <c r="U28" i="32" s="1"/>
  <c r="H29" i="32"/>
  <c r="U29" i="32" s="1"/>
  <c r="D7" i="24"/>
  <c r="E35" i="24"/>
  <c r="E36" i="24" s="1"/>
  <c r="D7" i="27"/>
  <c r="E35" i="27"/>
  <c r="E36" i="27" s="1"/>
  <c r="D58" i="20"/>
  <c r="D57" i="20"/>
  <c r="E60" i="20" s="1"/>
  <c r="AL13" i="10"/>
  <c r="AP4" i="10"/>
  <c r="F132" i="14"/>
  <c r="E132" i="14" s="1"/>
  <c r="R132" i="14"/>
  <c r="F397" i="14"/>
  <c r="E397" i="14" s="1"/>
  <c r="R397" i="14"/>
  <c r="H21" i="36"/>
  <c r="U20" i="36"/>
  <c r="H28" i="33"/>
  <c r="D37" i="35"/>
  <c r="D38" i="35" s="1"/>
  <c r="AA52" i="24"/>
  <c r="AP10" i="24"/>
  <c r="M208" i="14"/>
  <c r="F258" i="14"/>
  <c r="E258" i="14" s="1"/>
  <c r="V31" i="35"/>
  <c r="H32" i="35"/>
  <c r="U32" i="35" s="1"/>
  <c r="L35" i="24"/>
  <c r="L36" i="24" s="1"/>
  <c r="AP26" i="20"/>
  <c r="AR24" i="20"/>
  <c r="AI64" i="23"/>
  <c r="AA64" i="23"/>
  <c r="S75" i="14"/>
  <c r="T75" i="14"/>
  <c r="F418" i="14"/>
  <c r="E418" i="14" s="1"/>
  <c r="R418" i="14"/>
  <c r="G47" i="9"/>
  <c r="H45" i="9" s="1"/>
  <c r="H50" i="9" s="1"/>
  <c r="G50" i="9"/>
  <c r="AI58" i="18"/>
  <c r="H34" i="35"/>
  <c r="V28" i="36"/>
  <c r="U28" i="36"/>
  <c r="F146" i="14"/>
  <c r="E146" i="14" s="1"/>
  <c r="R146" i="14"/>
  <c r="AO6" i="8"/>
  <c r="Z76" i="7"/>
  <c r="H35" i="35"/>
  <c r="R8" i="7"/>
  <c r="H25" i="7"/>
  <c r="H23" i="7"/>
  <c r="W48" i="7"/>
  <c r="H26" i="7"/>
  <c r="S8" i="7"/>
  <c r="H24" i="7"/>
  <c r="R12" i="6"/>
  <c r="S12" i="6"/>
  <c r="W56" i="6"/>
  <c r="AH64" i="29"/>
  <c r="AA64" i="29"/>
  <c r="T56" i="14"/>
  <c r="S56" i="14"/>
  <c r="AP10" i="23"/>
  <c r="AL13" i="23"/>
  <c r="I85" i="14"/>
  <c r="S85" i="14" s="1"/>
  <c r="T85" i="14"/>
  <c r="J131" i="14"/>
  <c r="J224" i="14"/>
  <c r="J225" i="14"/>
  <c r="J132" i="14"/>
  <c r="I96" i="14"/>
  <c r="S96" i="14" s="1"/>
  <c r="R10" i="2"/>
  <c r="S10" i="2"/>
  <c r="V20" i="36"/>
  <c r="AA54" i="12"/>
  <c r="AK13" i="23"/>
  <c r="AO10" i="23"/>
  <c r="R398" i="14"/>
  <c r="F398" i="14"/>
  <c r="E398" i="14" s="1"/>
  <c r="D110" i="14"/>
  <c r="R110" i="14" s="1"/>
  <c r="V26" i="39"/>
  <c r="AI70" i="31"/>
  <c r="D31" i="29"/>
  <c r="D37" i="29" s="1"/>
  <c r="D35" i="29"/>
  <c r="D36" i="29" s="1"/>
  <c r="J262" i="14"/>
  <c r="D20" i="8"/>
  <c r="D21" i="8" s="1"/>
  <c r="D33" i="11"/>
  <c r="AC76" i="10"/>
  <c r="S24" i="3"/>
  <c r="H29" i="35"/>
  <c r="W68" i="6"/>
  <c r="AF68" i="6" s="1"/>
  <c r="S18" i="6"/>
  <c r="R18" i="6"/>
  <c r="T37" i="24"/>
  <c r="E58" i="24"/>
  <c r="F159" i="14"/>
  <c r="E159" i="14" s="1"/>
  <c r="R8" i="5"/>
  <c r="S8" i="5"/>
  <c r="H23" i="5"/>
  <c r="F412" i="14"/>
  <c r="E412" i="14" s="1"/>
  <c r="F45" i="5"/>
  <c r="F47" i="5" s="1"/>
  <c r="G45" i="5" s="1"/>
  <c r="G57" i="31"/>
  <c r="H60" i="31" s="1"/>
  <c r="D109" i="14"/>
  <c r="R109" i="14" s="1"/>
  <c r="R327" i="14"/>
  <c r="D202" i="14"/>
  <c r="R202" i="14" s="1"/>
  <c r="H26" i="35"/>
  <c r="U26" i="35" s="1"/>
  <c r="U10" i="29"/>
  <c r="V10" i="29"/>
  <c r="Z52" i="29"/>
  <c r="T96" i="14"/>
  <c r="H30" i="33"/>
  <c r="U30" i="33" s="1"/>
  <c r="F377" i="14"/>
  <c r="E377" i="14" s="1"/>
  <c r="D31" i="11"/>
  <c r="X48" i="6"/>
  <c r="H23" i="33"/>
  <c r="U23" i="33" s="1"/>
  <c r="H25" i="33"/>
  <c r="U25" i="33" s="1"/>
  <c r="V8" i="33"/>
  <c r="U8" i="33"/>
  <c r="L36" i="27"/>
  <c r="H27" i="6"/>
  <c r="H23" i="6"/>
  <c r="H33" i="6"/>
  <c r="H32" i="6"/>
  <c r="H26" i="6"/>
  <c r="H31" i="6"/>
  <c r="S8" i="6"/>
  <c r="H29" i="6"/>
  <c r="H35" i="6"/>
  <c r="H28" i="6"/>
  <c r="W48" i="6"/>
  <c r="AE48" i="6" s="1"/>
  <c r="H30" i="6"/>
  <c r="R8" i="6"/>
  <c r="H25" i="6"/>
  <c r="H24" i="6"/>
  <c r="W68" i="8"/>
  <c r="H2" i="9"/>
  <c r="R18" i="8"/>
  <c r="S18" i="8"/>
  <c r="H19" i="18"/>
  <c r="V19" i="18" s="1"/>
  <c r="R16" i="8"/>
  <c r="S16" i="8"/>
  <c r="W64" i="8"/>
  <c r="AE64" i="8" s="1"/>
  <c r="AR9" i="24"/>
  <c r="E57" i="20"/>
  <c r="E58" i="20"/>
  <c r="G70" i="9"/>
  <c r="G67" i="9"/>
  <c r="H70" i="9" s="1"/>
  <c r="E44" i="7"/>
  <c r="E46" i="7"/>
  <c r="R143" i="14"/>
  <c r="V25" i="33"/>
  <c r="J347" i="14"/>
  <c r="F375" i="14"/>
  <c r="E375" i="14" s="1"/>
  <c r="M325" i="14"/>
  <c r="AD76" i="7"/>
  <c r="D28" i="35"/>
  <c r="H28" i="35"/>
  <c r="U28" i="35" s="1"/>
  <c r="W64" i="7"/>
  <c r="AE64" i="7" s="1"/>
  <c r="S16" i="7"/>
  <c r="R16" i="7"/>
  <c r="AA62" i="34"/>
  <c r="AI62" i="34"/>
  <c r="AR5" i="27"/>
  <c r="C67" i="31"/>
  <c r="D70" i="31" s="1"/>
  <c r="D68" i="31"/>
  <c r="M157" i="14"/>
  <c r="M158" i="14"/>
  <c r="L35" i="23"/>
  <c r="L36" i="23" s="1"/>
  <c r="D57" i="29"/>
  <c r="E60" i="29" s="1"/>
  <c r="D58" i="29"/>
  <c r="F68" i="29"/>
  <c r="T81" i="14"/>
  <c r="S81" i="14"/>
  <c r="R410" i="14"/>
  <c r="F410" i="14"/>
  <c r="E410" i="14" s="1"/>
  <c r="R12" i="5"/>
  <c r="S12" i="5"/>
  <c r="E44" i="6"/>
  <c r="E46" i="6"/>
  <c r="G46" i="6" s="1"/>
  <c r="D198" i="14"/>
  <c r="R198" i="14" s="1"/>
  <c r="AK13" i="24"/>
  <c r="AO10" i="24"/>
  <c r="R387" i="14"/>
  <c r="F387" i="14"/>
  <c r="E387" i="14" s="1"/>
  <c r="F142" i="14"/>
  <c r="E142" i="14" s="1"/>
  <c r="R142" i="14"/>
  <c r="F402" i="14"/>
  <c r="E402" i="14" s="1"/>
  <c r="R402" i="14"/>
  <c r="R106" i="14"/>
  <c r="AO10" i="12"/>
  <c r="AO13" i="12" s="1"/>
  <c r="AK13" i="12"/>
  <c r="F110" i="14"/>
  <c r="E110" i="14" s="1"/>
  <c r="F301" i="14"/>
  <c r="E301" i="14" s="1"/>
  <c r="M315" i="14"/>
  <c r="F171" i="14"/>
  <c r="E171" i="14" s="1"/>
  <c r="J349" i="14"/>
  <c r="F216" i="14"/>
  <c r="E216" i="14" s="1"/>
  <c r="M311" i="14"/>
  <c r="F141" i="14"/>
  <c r="E141" i="14" s="1"/>
  <c r="R247" i="14"/>
  <c r="AG72" i="10"/>
  <c r="D37" i="6"/>
  <c r="T35" i="14"/>
  <c r="Q38" i="5"/>
  <c r="R134" i="14"/>
  <c r="H27" i="35"/>
  <c r="U27" i="35" s="1"/>
  <c r="U9" i="29"/>
  <c r="Z50" i="29"/>
  <c r="V9" i="29"/>
  <c r="R14" i="7"/>
  <c r="W60" i="7"/>
  <c r="AE60" i="7" s="1"/>
  <c r="S14" i="7"/>
  <c r="H23" i="8"/>
  <c r="W48" i="8"/>
  <c r="S8" i="8"/>
  <c r="R8" i="8"/>
  <c r="I23" i="24"/>
  <c r="H8" i="24"/>
  <c r="I28" i="24"/>
  <c r="I24" i="24"/>
  <c r="I26" i="24"/>
  <c r="I25" i="24"/>
  <c r="I27" i="24"/>
  <c r="I29" i="24"/>
  <c r="I30" i="24"/>
  <c r="Z60" i="18"/>
  <c r="AK24" i="18"/>
  <c r="AO24" i="18" s="1"/>
  <c r="U14" i="18"/>
  <c r="V14" i="18"/>
  <c r="G70" i="27"/>
  <c r="G67" i="27"/>
  <c r="H70" i="27" s="1"/>
  <c r="J134" i="14"/>
  <c r="J228" i="14"/>
  <c r="I36" i="14"/>
  <c r="J135" i="14"/>
  <c r="J227" i="14"/>
  <c r="F58" i="23"/>
  <c r="E58" i="23"/>
  <c r="F248" i="14"/>
  <c r="E248" i="14" s="1"/>
  <c r="X70" i="8"/>
  <c r="AF70" i="8"/>
  <c r="AR9" i="11"/>
  <c r="G46" i="11"/>
  <c r="AI52" i="12"/>
  <c r="AA52" i="12"/>
  <c r="AH54" i="31"/>
  <c r="AI54" i="31"/>
  <c r="AA54" i="31"/>
  <c r="D108" i="14"/>
  <c r="R108" i="14" s="1"/>
  <c r="D107" i="14"/>
  <c r="F107" i="14" s="1"/>
  <c r="E107" i="14" s="1"/>
  <c r="C32" i="2"/>
  <c r="Q32" i="2" s="1"/>
  <c r="D20" i="14"/>
  <c r="D364" i="14" s="1"/>
  <c r="C28" i="2"/>
  <c r="Q28" i="2" s="1"/>
  <c r="Q11" i="2"/>
  <c r="C27" i="2"/>
  <c r="Q27" i="2" s="1"/>
  <c r="C26" i="2"/>
  <c r="Q26" i="2" s="1"/>
  <c r="C20" i="2"/>
  <c r="F395" i="14"/>
  <c r="E395" i="14" s="1"/>
  <c r="R395" i="14"/>
  <c r="AI26" i="8"/>
  <c r="AM18" i="8"/>
  <c r="F307" i="14"/>
  <c r="E307" i="14" s="1"/>
  <c r="V25" i="38"/>
  <c r="H20" i="35"/>
  <c r="H25" i="35"/>
  <c r="U25" i="35" s="1"/>
  <c r="V28" i="32"/>
  <c r="H24" i="10"/>
  <c r="U8" i="10"/>
  <c r="Z48" i="10"/>
  <c r="AI48" i="10" s="1"/>
  <c r="V8" i="10"/>
  <c r="H26" i="10"/>
  <c r="H23" i="10"/>
  <c r="H25" i="10"/>
  <c r="H27" i="10"/>
  <c r="R15" i="8"/>
  <c r="S15" i="8"/>
  <c r="W62" i="8"/>
  <c r="AP26" i="23"/>
  <c r="AR5" i="29"/>
  <c r="R14" i="8"/>
  <c r="S14" i="8"/>
  <c r="W60" i="8"/>
  <c r="AH24" i="8"/>
  <c r="AL24" i="8" s="1"/>
  <c r="J143" i="14"/>
  <c r="J141" i="14"/>
  <c r="J142" i="14"/>
  <c r="I44" i="14"/>
  <c r="I52" i="14"/>
  <c r="S52" i="14" s="1"/>
  <c r="J146" i="14"/>
  <c r="J137" i="14"/>
  <c r="J229" i="14"/>
  <c r="J230" i="14"/>
  <c r="I38" i="14"/>
  <c r="J136" i="14"/>
  <c r="D44" i="29"/>
  <c r="E58" i="27"/>
  <c r="E57" i="27"/>
  <c r="F58" i="27"/>
  <c r="I51" i="14"/>
  <c r="M149" i="14"/>
  <c r="M150" i="14"/>
  <c r="C75" i="10"/>
  <c r="E75" i="8"/>
  <c r="I55" i="14"/>
  <c r="I28" i="14"/>
  <c r="S28" i="14" s="1"/>
  <c r="J126" i="14"/>
  <c r="J307" i="14"/>
  <c r="J220" i="14"/>
  <c r="J306" i="14"/>
  <c r="J127" i="14"/>
  <c r="J219" i="14"/>
  <c r="J193" i="14"/>
  <c r="F411" i="14"/>
  <c r="E411" i="14" s="1"/>
  <c r="R411" i="14"/>
  <c r="AI50" i="18"/>
  <c r="AA50" i="18"/>
  <c r="AQ10" i="31"/>
  <c r="AO13" i="31"/>
  <c r="V10" i="35"/>
  <c r="D204" i="14"/>
  <c r="R204" i="14" s="1"/>
  <c r="D377" i="14"/>
  <c r="R377" i="14" s="1"/>
  <c r="D213" i="14"/>
  <c r="R213" i="14" s="1"/>
  <c r="D126" i="14"/>
  <c r="D303" i="14"/>
  <c r="R303" i="14" s="1"/>
  <c r="D376" i="14"/>
  <c r="D216" i="14"/>
  <c r="R216" i="14" s="1"/>
  <c r="D301" i="14"/>
  <c r="R301" i="14" s="1"/>
  <c r="D380" i="14"/>
  <c r="D123" i="14"/>
  <c r="R123" i="14" s="1"/>
  <c r="D307" i="14"/>
  <c r="R307" i="14" s="1"/>
  <c r="D382" i="14"/>
  <c r="D124" i="14"/>
  <c r="R124" i="14" s="1"/>
  <c r="D217" i="14"/>
  <c r="R217" i="14" s="1"/>
  <c r="D219" i="14"/>
  <c r="R219" i="14" s="1"/>
  <c r="D375" i="14"/>
  <c r="R375" i="14" s="1"/>
  <c r="F401" i="14"/>
  <c r="E401" i="14" s="1"/>
  <c r="R401" i="14"/>
  <c r="R167" i="14"/>
  <c r="H34" i="33"/>
  <c r="U34" i="33" s="1"/>
  <c r="H20" i="33"/>
  <c r="D30" i="20"/>
  <c r="F338" i="14"/>
  <c r="E338" i="14" s="1"/>
  <c r="AG76" i="10"/>
  <c r="U15" i="10"/>
  <c r="Z62" i="10"/>
  <c r="V15" i="10"/>
  <c r="H24" i="9"/>
  <c r="H25" i="9"/>
  <c r="H26" i="9"/>
  <c r="U9" i="9"/>
  <c r="Z50" i="9"/>
  <c r="AH50" i="9" s="1"/>
  <c r="V9" i="9"/>
  <c r="Z54" i="34"/>
  <c r="U11" i="34"/>
  <c r="V11" i="34"/>
  <c r="AI64" i="27"/>
  <c r="W52" i="6"/>
  <c r="AE52" i="6" s="1"/>
  <c r="R10" i="6"/>
  <c r="S10" i="6"/>
  <c r="I63" i="14"/>
  <c r="S63" i="14" s="1"/>
  <c r="T63" i="14"/>
  <c r="C46" i="23"/>
  <c r="AH56" i="20"/>
  <c r="AA56" i="20"/>
  <c r="R14" i="4"/>
  <c r="S14" i="4"/>
  <c r="X60" i="6"/>
  <c r="AA64" i="11"/>
  <c r="AO10" i="18"/>
  <c r="AK13" i="18"/>
  <c r="AQ10" i="12"/>
  <c r="AQ9" i="12"/>
  <c r="S19" i="4"/>
  <c r="V8" i="12"/>
  <c r="AR10" i="31"/>
  <c r="F111" i="14"/>
  <c r="E111" i="14" s="1"/>
  <c r="T38" i="39"/>
  <c r="AR9" i="29"/>
  <c r="D20" i="20"/>
  <c r="F213" i="14"/>
  <c r="E213" i="14" s="1"/>
  <c r="S29" i="1"/>
  <c r="AG72" i="12"/>
  <c r="D29" i="35"/>
  <c r="T74" i="14"/>
  <c r="V15" i="9"/>
  <c r="Z62" i="9"/>
  <c r="U15" i="9"/>
  <c r="J138" i="14"/>
  <c r="J232" i="14"/>
  <c r="J139" i="14"/>
  <c r="J231" i="14"/>
  <c r="I40" i="14"/>
  <c r="AA60" i="20"/>
  <c r="AI60" i="20"/>
  <c r="AH62" i="20"/>
  <c r="AA62" i="20"/>
  <c r="I6" i="14"/>
  <c r="S6" i="14" s="1"/>
  <c r="V16" i="10"/>
  <c r="Z64" i="10"/>
  <c r="U16" i="10"/>
  <c r="E44" i="27"/>
  <c r="F44" i="27"/>
  <c r="AG72" i="23"/>
  <c r="F155" i="14"/>
  <c r="E155" i="14" s="1"/>
  <c r="J222" i="14"/>
  <c r="J308" i="14"/>
  <c r="I30" i="14"/>
  <c r="J221" i="14"/>
  <c r="J128" i="14"/>
  <c r="J129" i="14"/>
  <c r="G47" i="12"/>
  <c r="H45" i="12" s="1"/>
  <c r="H50" i="12" s="1"/>
  <c r="G50" i="12"/>
  <c r="D112" i="14"/>
  <c r="R112" i="14" s="1"/>
  <c r="R13" i="14"/>
  <c r="D367" i="14"/>
  <c r="R367" i="14" s="1"/>
  <c r="F13" i="14"/>
  <c r="E13" i="14" s="1"/>
  <c r="D111" i="14"/>
  <c r="R111" i="14" s="1"/>
  <c r="D42" i="13"/>
  <c r="D44" i="13" s="1"/>
  <c r="E34" i="13"/>
  <c r="C42" i="13" s="1"/>
  <c r="AI56" i="20"/>
  <c r="Z58" i="11"/>
  <c r="U13" i="11"/>
  <c r="V13" i="11"/>
  <c r="D33" i="20"/>
  <c r="D37" i="40"/>
  <c r="D38" i="40" s="1"/>
  <c r="E37" i="23"/>
  <c r="R338" i="14"/>
  <c r="AG72" i="18"/>
  <c r="AP13" i="12"/>
  <c r="AR8" i="31"/>
  <c r="H7" i="24"/>
  <c r="U7" i="24" s="1"/>
  <c r="Z60" i="23"/>
  <c r="AK24" i="23"/>
  <c r="AO24" i="23" s="1"/>
  <c r="C38" i="32"/>
  <c r="T38" i="32" s="1"/>
  <c r="T37" i="32"/>
  <c r="D26" i="29"/>
  <c r="AI66" i="23"/>
  <c r="AA66" i="23"/>
  <c r="D25" i="24"/>
  <c r="D26" i="24"/>
  <c r="D27" i="24"/>
  <c r="D28" i="24"/>
  <c r="D29" i="24"/>
  <c r="D30" i="24"/>
  <c r="D24" i="24"/>
  <c r="AI64" i="29"/>
  <c r="J192" i="14"/>
  <c r="J191" i="14"/>
  <c r="I93" i="14"/>
  <c r="C46" i="24"/>
  <c r="D47" i="24"/>
  <c r="I60" i="14"/>
  <c r="J159" i="14"/>
  <c r="J140" i="14"/>
  <c r="J233" i="14"/>
  <c r="I62" i="14"/>
  <c r="J160" i="14"/>
  <c r="M165" i="14"/>
  <c r="M166" i="14"/>
  <c r="AF60" i="8"/>
  <c r="G47" i="11"/>
  <c r="H45" i="11" s="1"/>
  <c r="H50" i="11" s="1"/>
  <c r="G50" i="11"/>
  <c r="G60" i="12"/>
  <c r="G57" i="12"/>
  <c r="H60" i="12" s="1"/>
  <c r="AK21" i="29"/>
  <c r="AO21" i="29" s="1"/>
  <c r="AQ21" i="29" s="1"/>
  <c r="F75" i="24"/>
  <c r="F75" i="27"/>
  <c r="F75" i="20"/>
  <c r="F75" i="29"/>
  <c r="AK21" i="20"/>
  <c r="AO21" i="20" s="1"/>
  <c r="AK21" i="27"/>
  <c r="AO21" i="27" s="1"/>
  <c r="AQ21" i="27" s="1"/>
  <c r="F75" i="23"/>
  <c r="AK21" i="24"/>
  <c r="AO21" i="24" s="1"/>
  <c r="V19" i="9"/>
  <c r="AK21" i="23"/>
  <c r="AO21" i="23" s="1"/>
  <c r="U19" i="9"/>
  <c r="Z70" i="9"/>
  <c r="AH70" i="9" s="1"/>
  <c r="AK21" i="18"/>
  <c r="AO21" i="18" s="1"/>
  <c r="G75" i="11"/>
  <c r="AK22" i="11"/>
  <c r="AO22" i="11" s="1"/>
  <c r="AQ22" i="11" s="1"/>
  <c r="AK23" i="10"/>
  <c r="AO23" i="10" s="1"/>
  <c r="F75" i="34"/>
  <c r="AK21" i="31"/>
  <c r="AO21" i="31" s="1"/>
  <c r="F75" i="18"/>
  <c r="AK21" i="12"/>
  <c r="AO21" i="12" s="1"/>
  <c r="F75" i="12"/>
  <c r="H75" i="10"/>
  <c r="AK21" i="34"/>
  <c r="AO21" i="34" s="1"/>
  <c r="F75" i="31"/>
  <c r="F109" i="14"/>
  <c r="E109" i="14" s="1"/>
  <c r="F303" i="14"/>
  <c r="E303" i="14" s="1"/>
  <c r="F326" i="14"/>
  <c r="E326" i="14" s="1"/>
  <c r="E37" i="7"/>
  <c r="T37" i="12"/>
  <c r="R11" i="8"/>
  <c r="S11" i="8"/>
  <c r="W54" i="8"/>
  <c r="H7" i="23"/>
  <c r="U7" i="23" s="1"/>
  <c r="I35" i="23"/>
  <c r="I36" i="23" s="1"/>
  <c r="V16" i="9"/>
  <c r="U16" i="9"/>
  <c r="Z64" i="9"/>
  <c r="AH64" i="9" s="1"/>
  <c r="AR9" i="20"/>
  <c r="E68" i="24"/>
  <c r="AN13" i="27"/>
  <c r="E44" i="29"/>
  <c r="T28" i="14"/>
  <c r="AR10" i="18"/>
  <c r="AP13" i="18"/>
  <c r="F44" i="7"/>
  <c r="AR6" i="18"/>
  <c r="AI66" i="12"/>
  <c r="D25" i="35"/>
  <c r="D26" i="35"/>
  <c r="D24" i="35"/>
  <c r="F396" i="14"/>
  <c r="E396" i="14" s="1"/>
  <c r="R396" i="14"/>
  <c r="D288" i="14"/>
  <c r="F288" i="14" s="1"/>
  <c r="E288" i="14" s="1"/>
  <c r="S18" i="4"/>
  <c r="R18" i="4"/>
  <c r="H2" i="5"/>
  <c r="W76" i="5" s="1"/>
  <c r="F108" i="14"/>
  <c r="E108" i="14" s="1"/>
  <c r="AP10" i="29"/>
  <c r="AR10" i="29" s="1"/>
  <c r="J29" i="34"/>
  <c r="H35" i="33"/>
  <c r="U35" i="33" s="1"/>
  <c r="R163" i="14"/>
  <c r="AR6" i="12"/>
  <c r="J35" i="27"/>
  <c r="J36" i="27" s="1"/>
  <c r="AQ11" i="12"/>
  <c r="S14" i="5"/>
  <c r="E54" i="13"/>
  <c r="H30" i="35"/>
  <c r="W62" i="6"/>
  <c r="R15" i="6"/>
  <c r="S15" i="6"/>
  <c r="R11" i="7"/>
  <c r="S11" i="7"/>
  <c r="W54" i="7"/>
  <c r="AE54" i="7" s="1"/>
  <c r="AI60" i="24"/>
  <c r="AA60" i="24"/>
  <c r="U9" i="11"/>
  <c r="V9" i="11"/>
  <c r="Z50" i="11"/>
  <c r="H24" i="11"/>
  <c r="T66" i="14"/>
  <c r="S66" i="14"/>
  <c r="F416" i="14"/>
  <c r="E416" i="14" s="1"/>
  <c r="J183" i="14"/>
  <c r="J184" i="14"/>
  <c r="I87" i="14"/>
  <c r="AR23" i="18"/>
  <c r="AP26" i="18"/>
  <c r="AH58" i="12"/>
  <c r="AI58" i="12"/>
  <c r="AA58" i="12"/>
  <c r="E44" i="34"/>
  <c r="S13" i="4"/>
  <c r="V37" i="41"/>
  <c r="U37" i="41"/>
  <c r="V21" i="41"/>
  <c r="V36" i="41"/>
  <c r="V38" i="41"/>
  <c r="U12" i="9"/>
  <c r="H33" i="9"/>
  <c r="V12" i="9"/>
  <c r="H30" i="9"/>
  <c r="H32" i="9"/>
  <c r="H29" i="9"/>
  <c r="H35" i="9"/>
  <c r="Z56" i="9"/>
  <c r="H28" i="9"/>
  <c r="H31" i="9"/>
  <c r="H34" i="9"/>
  <c r="H20" i="9"/>
  <c r="H27" i="9"/>
  <c r="AH68" i="31"/>
  <c r="AA68" i="31"/>
  <c r="AI68" i="31"/>
  <c r="AK24" i="29"/>
  <c r="AO24" i="29" s="1"/>
  <c r="U14" i="29"/>
  <c r="Z60" i="29"/>
  <c r="D7" i="23"/>
  <c r="D35" i="23" s="1"/>
  <c r="D36" i="23" s="1"/>
  <c r="E35" i="23"/>
  <c r="E36" i="23" s="1"/>
  <c r="V26" i="33"/>
  <c r="U15" i="32"/>
  <c r="V15" i="32"/>
  <c r="H32" i="32"/>
  <c r="U32" i="32" s="1"/>
  <c r="H20" i="32"/>
  <c r="H33" i="32"/>
  <c r="U33" i="32" s="1"/>
  <c r="H31" i="32"/>
  <c r="H34" i="32"/>
  <c r="U34" i="32" s="1"/>
  <c r="H35" i="32"/>
  <c r="H30" i="32"/>
  <c r="U30" i="32" s="1"/>
  <c r="U12" i="23"/>
  <c r="Z56" i="23"/>
  <c r="V12" i="23"/>
  <c r="W58" i="8"/>
  <c r="R13" i="8"/>
  <c r="S13" i="8"/>
  <c r="L37" i="31"/>
  <c r="H28" i="10"/>
  <c r="H30" i="10"/>
  <c r="H32" i="10"/>
  <c r="H34" i="10"/>
  <c r="U13" i="10"/>
  <c r="H29" i="10"/>
  <c r="H31" i="10"/>
  <c r="H33" i="10"/>
  <c r="H35" i="10"/>
  <c r="V13" i="10"/>
  <c r="Z58" i="10"/>
  <c r="H20" i="10"/>
  <c r="D23" i="23"/>
  <c r="D28" i="23"/>
  <c r="D24" i="23"/>
  <c r="D32" i="23"/>
  <c r="D26" i="23"/>
  <c r="D34" i="23"/>
  <c r="D27" i="23"/>
  <c r="D30" i="23"/>
  <c r="D25" i="23"/>
  <c r="D20" i="23"/>
  <c r="D29" i="23"/>
  <c r="D31" i="23"/>
  <c r="D33" i="23"/>
  <c r="D30" i="27"/>
  <c r="D33" i="27"/>
  <c r="D28" i="27"/>
  <c r="D29" i="27"/>
  <c r="D20" i="27"/>
  <c r="D31" i="27"/>
  <c r="D37" i="27" s="1"/>
  <c r="D32" i="27"/>
  <c r="D27" i="27"/>
  <c r="D34" i="27"/>
  <c r="D35" i="27"/>
  <c r="D36" i="27" s="1"/>
  <c r="D7" i="34"/>
  <c r="D35" i="34" s="1"/>
  <c r="D36" i="34" s="1"/>
  <c r="E35" i="34"/>
  <c r="E36" i="34" s="1"/>
  <c r="AI56" i="34"/>
  <c r="AA56" i="34"/>
  <c r="AC76" i="34"/>
  <c r="AC72" i="34"/>
  <c r="H2" i="38"/>
  <c r="H37" i="38" s="1"/>
  <c r="U17" i="37"/>
  <c r="V17" i="37"/>
  <c r="L37" i="34"/>
  <c r="D26" i="34"/>
  <c r="U31" i="33"/>
  <c r="H37" i="33"/>
  <c r="U28" i="33"/>
  <c r="V28" i="33"/>
  <c r="D2" i="38"/>
  <c r="D37" i="38" s="1"/>
  <c r="D38" i="38" s="1"/>
  <c r="D32" i="37"/>
  <c r="D34" i="37"/>
  <c r="D35" i="37"/>
  <c r="D33" i="37"/>
  <c r="D20" i="37"/>
  <c r="D21" i="37" s="1"/>
  <c r="L38" i="35"/>
  <c r="Z58" i="34"/>
  <c r="V13" i="34"/>
  <c r="U13" i="34"/>
  <c r="V32" i="32"/>
  <c r="D29" i="31"/>
  <c r="D24" i="31"/>
  <c r="D28" i="31"/>
  <c r="D31" i="31"/>
  <c r="D37" i="31" s="1"/>
  <c r="D26" i="31"/>
  <c r="D25" i="31"/>
  <c r="D30" i="31"/>
  <c r="D32" i="31"/>
  <c r="D27" i="31"/>
  <c r="D33" i="31"/>
  <c r="D34" i="31"/>
  <c r="D20" i="31"/>
  <c r="D35" i="31"/>
  <c r="D36" i="31" s="1"/>
  <c r="R36" i="29"/>
  <c r="T36" i="29" s="1"/>
  <c r="T35" i="29"/>
  <c r="Z68" i="9"/>
  <c r="U18" i="9"/>
  <c r="V18" i="9"/>
  <c r="H2" i="10"/>
  <c r="U14" i="11"/>
  <c r="Z60" i="11"/>
  <c r="V14" i="11"/>
  <c r="AK24" i="11"/>
  <c r="AO24" i="11" s="1"/>
  <c r="AQ24" i="11" s="1"/>
  <c r="U25" i="32"/>
  <c r="V25" i="32"/>
  <c r="V14" i="29"/>
  <c r="AK23" i="29"/>
  <c r="H75" i="27"/>
  <c r="AK23" i="24"/>
  <c r="AK23" i="23"/>
  <c r="H75" i="23"/>
  <c r="H75" i="29"/>
  <c r="H75" i="24"/>
  <c r="H75" i="20"/>
  <c r="AK23" i="27"/>
  <c r="AK23" i="20"/>
  <c r="Z70" i="11"/>
  <c r="AK23" i="12"/>
  <c r="H75" i="12"/>
  <c r="AK23" i="18"/>
  <c r="U19" i="11"/>
  <c r="H2" i="12"/>
  <c r="H75" i="18"/>
  <c r="H76" i="18" s="1"/>
  <c r="V19" i="11"/>
  <c r="AK23" i="34"/>
  <c r="AK23" i="31"/>
  <c r="H75" i="31"/>
  <c r="H75" i="34"/>
  <c r="H16" i="24"/>
  <c r="I35" i="24"/>
  <c r="I36" i="24" s="1"/>
  <c r="I20" i="24"/>
  <c r="I33" i="24"/>
  <c r="I32" i="24"/>
  <c r="I31" i="24"/>
  <c r="I34" i="24"/>
  <c r="F60" i="24"/>
  <c r="G57" i="24"/>
  <c r="H60" i="24" s="1"/>
  <c r="AR5" i="20"/>
  <c r="AR6" i="20"/>
  <c r="R32" i="3"/>
  <c r="S32" i="3"/>
  <c r="L35" i="34"/>
  <c r="H7" i="34"/>
  <c r="V7" i="34" s="1"/>
  <c r="AP26" i="34"/>
  <c r="AR23" i="34"/>
  <c r="U33" i="38"/>
  <c r="V33" i="38"/>
  <c r="D27" i="34"/>
  <c r="D32" i="34"/>
  <c r="D20" i="34"/>
  <c r="D28" i="34"/>
  <c r="D31" i="34"/>
  <c r="D37" i="34" s="1"/>
  <c r="D33" i="34"/>
  <c r="D34" i="34"/>
  <c r="D29" i="34"/>
  <c r="D30" i="34"/>
  <c r="U35" i="38"/>
  <c r="V35" i="38"/>
  <c r="L36" i="33"/>
  <c r="V35" i="33"/>
  <c r="U20" i="33"/>
  <c r="H21" i="33"/>
  <c r="U21" i="33" s="1"/>
  <c r="AH60" i="34"/>
  <c r="AA60" i="34"/>
  <c r="AI60" i="34"/>
  <c r="U17" i="33"/>
  <c r="H2" i="35"/>
  <c r="H37" i="35" s="1"/>
  <c r="V37" i="35" s="1"/>
  <c r="V17" i="33"/>
  <c r="H33" i="33"/>
  <c r="D30" i="33"/>
  <c r="D26" i="33"/>
  <c r="D35" i="33"/>
  <c r="D27" i="33"/>
  <c r="D34" i="33"/>
  <c r="D25" i="33"/>
  <c r="D28" i="33"/>
  <c r="D20" i="33"/>
  <c r="D21" i="33" s="1"/>
  <c r="D29" i="33"/>
  <c r="D32" i="33"/>
  <c r="D33" i="33"/>
  <c r="D31" i="33"/>
  <c r="D37" i="33" s="1"/>
  <c r="D38" i="33" s="1"/>
  <c r="AR23" i="31"/>
  <c r="AP26" i="31"/>
  <c r="AR24" i="31"/>
  <c r="U9" i="37"/>
  <c r="H29" i="37"/>
  <c r="H31" i="37"/>
  <c r="H37" i="37" s="1"/>
  <c r="H32" i="37"/>
  <c r="H33" i="37"/>
  <c r="U33" i="37" s="1"/>
  <c r="V9" i="37"/>
  <c r="H26" i="37"/>
  <c r="H20" i="37"/>
  <c r="H30" i="37"/>
  <c r="H34" i="37"/>
  <c r="H24" i="37"/>
  <c r="H25" i="37"/>
  <c r="H27" i="37"/>
  <c r="H28" i="37"/>
  <c r="H35" i="37"/>
  <c r="S9" i="14"/>
  <c r="H27" i="29"/>
  <c r="H28" i="29"/>
  <c r="U28" i="29" s="1"/>
  <c r="H29" i="29"/>
  <c r="U29" i="29" s="1"/>
  <c r="H30" i="29"/>
  <c r="U30" i="29" s="1"/>
  <c r="H32" i="29"/>
  <c r="U32" i="29" s="1"/>
  <c r="H33" i="29"/>
  <c r="U33" i="29" s="1"/>
  <c r="H34" i="29"/>
  <c r="U34" i="29" s="1"/>
  <c r="Z48" i="29"/>
  <c r="V8" i="29"/>
  <c r="H26" i="29"/>
  <c r="H23" i="29"/>
  <c r="H24" i="29"/>
  <c r="H25" i="29"/>
  <c r="H20" i="29"/>
  <c r="U8" i="29"/>
  <c r="H31" i="29"/>
  <c r="L33" i="18"/>
  <c r="L35" i="18"/>
  <c r="L20" i="18"/>
  <c r="L2" i="20"/>
  <c r="L34" i="18"/>
  <c r="I24" i="34"/>
  <c r="I29" i="34"/>
  <c r="I33" i="34"/>
  <c r="I23" i="34"/>
  <c r="I25" i="34"/>
  <c r="I30" i="34"/>
  <c r="I34" i="34"/>
  <c r="I26" i="34"/>
  <c r="I32" i="34"/>
  <c r="I27" i="34"/>
  <c r="I28" i="34"/>
  <c r="I31" i="34"/>
  <c r="I37" i="34" s="1"/>
  <c r="I20" i="34"/>
  <c r="H8" i="34"/>
  <c r="I35" i="34"/>
  <c r="I36" i="34" s="1"/>
  <c r="AA70" i="34"/>
  <c r="AI70" i="34"/>
  <c r="V31" i="33"/>
  <c r="L37" i="33"/>
  <c r="V30" i="33"/>
  <c r="H20" i="38"/>
  <c r="U13" i="33"/>
  <c r="H29" i="33"/>
  <c r="U29" i="33" s="1"/>
  <c r="L37" i="24"/>
  <c r="T35" i="23"/>
  <c r="C36" i="23"/>
  <c r="T36" i="23" s="1"/>
  <c r="AP13" i="29"/>
  <c r="AR11" i="29"/>
  <c r="U19" i="23"/>
  <c r="V19" i="23"/>
  <c r="Z70" i="23"/>
  <c r="R12" i="7"/>
  <c r="W56" i="7"/>
  <c r="S12" i="7"/>
  <c r="H30" i="7"/>
  <c r="H34" i="7"/>
  <c r="H28" i="7"/>
  <c r="H29" i="7"/>
  <c r="H32" i="7"/>
  <c r="H33" i="7"/>
  <c r="H31" i="7"/>
  <c r="H27" i="7"/>
  <c r="H20" i="7"/>
  <c r="U17" i="10"/>
  <c r="H2" i="11"/>
  <c r="V17" i="10"/>
  <c r="Z66" i="10"/>
  <c r="H24" i="8"/>
  <c r="H25" i="8"/>
  <c r="H26" i="8"/>
  <c r="H35" i="8"/>
  <c r="W50" i="8"/>
  <c r="R9" i="8"/>
  <c r="H28" i="8"/>
  <c r="H29" i="8"/>
  <c r="H30" i="8"/>
  <c r="H31" i="8"/>
  <c r="H32" i="8"/>
  <c r="H33" i="8"/>
  <c r="H34" i="8"/>
  <c r="S9" i="8"/>
  <c r="H27" i="8"/>
  <c r="H20" i="8"/>
  <c r="D34" i="29"/>
  <c r="D29" i="29"/>
  <c r="AA66" i="34"/>
  <c r="AI66" i="34"/>
  <c r="V32" i="29"/>
  <c r="V28" i="29"/>
  <c r="U11" i="23"/>
  <c r="Z54" i="23"/>
  <c r="H34" i="23"/>
  <c r="U34" i="23" s="1"/>
  <c r="H26" i="23"/>
  <c r="U26" i="23" s="1"/>
  <c r="H29" i="23"/>
  <c r="U29" i="23" s="1"/>
  <c r="U27" i="32"/>
  <c r="V27" i="32"/>
  <c r="AG72" i="31"/>
  <c r="F46" i="34"/>
  <c r="G45" i="34" s="1"/>
  <c r="F44" i="34"/>
  <c r="G44" i="34"/>
  <c r="F60" i="23"/>
  <c r="G57" i="23"/>
  <c r="H60" i="23" s="1"/>
  <c r="H26" i="20"/>
  <c r="H27" i="20"/>
  <c r="V27" i="20" s="1"/>
  <c r="Z48" i="20"/>
  <c r="H23" i="20"/>
  <c r="U23" i="20" s="1"/>
  <c r="H30" i="20"/>
  <c r="U30" i="20" s="1"/>
  <c r="H31" i="20"/>
  <c r="U31" i="20" s="1"/>
  <c r="H33" i="20"/>
  <c r="U33" i="20" s="1"/>
  <c r="H24" i="20"/>
  <c r="H29" i="20"/>
  <c r="H20" i="20"/>
  <c r="H34" i="20"/>
  <c r="H32" i="20"/>
  <c r="U8" i="20"/>
  <c r="H28" i="20"/>
  <c r="H25" i="20"/>
  <c r="V8" i="20"/>
  <c r="H35" i="20"/>
  <c r="U35" i="20" s="1"/>
  <c r="AR10" i="20"/>
  <c r="AP13" i="20"/>
  <c r="AH56" i="29"/>
  <c r="AA56" i="29"/>
  <c r="AI56" i="29"/>
  <c r="D35" i="20"/>
  <c r="I8" i="14"/>
  <c r="J105" i="14"/>
  <c r="J198" i="14"/>
  <c r="J200" i="14"/>
  <c r="J107" i="14"/>
  <c r="J361" i="14"/>
  <c r="J199" i="14"/>
  <c r="J285" i="14"/>
  <c r="J360" i="14"/>
  <c r="J362" i="14"/>
  <c r="J287" i="14"/>
  <c r="J286" i="14"/>
  <c r="M112" i="14"/>
  <c r="M111" i="14"/>
  <c r="M202" i="14"/>
  <c r="M204" i="14"/>
  <c r="M365" i="14"/>
  <c r="M367" i="14"/>
  <c r="M203" i="14"/>
  <c r="M205" i="14"/>
  <c r="M364" i="14"/>
  <c r="M366" i="14"/>
  <c r="M292" i="14"/>
  <c r="M289" i="14"/>
  <c r="M290" i="14"/>
  <c r="M291" i="14"/>
  <c r="M183" i="14"/>
  <c r="I84" i="14"/>
  <c r="T84" i="14" s="1"/>
  <c r="M182" i="14"/>
  <c r="M275" i="14"/>
  <c r="M276" i="14"/>
  <c r="S100" i="14"/>
  <c r="T100" i="14"/>
  <c r="D29" i="20"/>
  <c r="D31" i="20"/>
  <c r="M109" i="14"/>
  <c r="I24" i="14"/>
  <c r="J123" i="14"/>
  <c r="J121" i="14"/>
  <c r="J375" i="14"/>
  <c r="J378" i="14"/>
  <c r="J377" i="14"/>
  <c r="J376" i="14"/>
  <c r="J213" i="14"/>
  <c r="J301" i="14"/>
  <c r="J215" i="14"/>
  <c r="J303" i="14"/>
  <c r="J300" i="14"/>
  <c r="J214" i="14"/>
  <c r="J302" i="14"/>
  <c r="J216" i="14"/>
  <c r="S25" i="14"/>
  <c r="T25" i="14"/>
  <c r="J110" i="14"/>
  <c r="J109" i="14"/>
  <c r="J202" i="14"/>
  <c r="J363" i="14"/>
  <c r="J365" i="14"/>
  <c r="J201" i="14"/>
  <c r="J364" i="14"/>
  <c r="J203" i="14"/>
  <c r="J288" i="14"/>
  <c r="J290" i="14"/>
  <c r="I11" i="14"/>
  <c r="J289" i="14"/>
  <c r="I26" i="14"/>
  <c r="J379" i="14"/>
  <c r="J380" i="14"/>
  <c r="J218" i="14"/>
  <c r="J304" i="14"/>
  <c r="J125" i="14"/>
  <c r="J217" i="14"/>
  <c r="J124" i="14"/>
  <c r="J305" i="14"/>
  <c r="J328" i="14"/>
  <c r="J396" i="14"/>
  <c r="J398" i="14"/>
  <c r="J400" i="14"/>
  <c r="J402" i="14"/>
  <c r="J404" i="14"/>
  <c r="J406" i="14"/>
  <c r="J312" i="14"/>
  <c r="J316" i="14"/>
  <c r="J381" i="14"/>
  <c r="J383" i="14"/>
  <c r="J385" i="14"/>
  <c r="J387" i="14"/>
  <c r="J389" i="14"/>
  <c r="J391" i="14"/>
  <c r="J393" i="14"/>
  <c r="J395" i="14"/>
  <c r="J320" i="14"/>
  <c r="J397" i="14"/>
  <c r="J399" i="14"/>
  <c r="J401" i="14"/>
  <c r="J403" i="14"/>
  <c r="J405" i="14"/>
  <c r="J407" i="14"/>
  <c r="J332" i="14"/>
  <c r="J384" i="14"/>
  <c r="J392" i="14"/>
  <c r="J386" i="14"/>
  <c r="J394" i="14"/>
  <c r="J324" i="14"/>
  <c r="J388" i="14"/>
  <c r="J382" i="14"/>
  <c r="J390" i="14"/>
  <c r="I53" i="14"/>
  <c r="J240" i="14"/>
  <c r="J327" i="14"/>
  <c r="J237" i="14"/>
  <c r="J319" i="14"/>
  <c r="J309" i="14"/>
  <c r="J152" i="14"/>
  <c r="J151" i="14"/>
  <c r="J149" i="14"/>
  <c r="J238" i="14"/>
  <c r="J325" i="14"/>
  <c r="J235" i="14"/>
  <c r="J317" i="14"/>
  <c r="J310" i="14"/>
  <c r="J311" i="14"/>
  <c r="J244" i="14"/>
  <c r="J242" i="14"/>
  <c r="J236" i="14"/>
  <c r="J234" i="14"/>
  <c r="J321" i="14"/>
  <c r="J315" i="14"/>
  <c r="J150" i="14"/>
  <c r="J329" i="14"/>
  <c r="J323" i="14"/>
  <c r="J147" i="14"/>
  <c r="J313" i="14"/>
  <c r="J245" i="14"/>
  <c r="J243" i="14"/>
  <c r="J241" i="14"/>
  <c r="J239" i="14"/>
  <c r="J148" i="14"/>
  <c r="M351" i="14"/>
  <c r="M352" i="14"/>
  <c r="M264" i="14"/>
  <c r="M259" i="14"/>
  <c r="M168" i="14"/>
  <c r="M262" i="14"/>
  <c r="T73" i="14"/>
  <c r="M170" i="14"/>
  <c r="M260" i="14"/>
  <c r="M258" i="14"/>
  <c r="M265" i="14"/>
  <c r="M172" i="14"/>
  <c r="M171" i="14"/>
  <c r="M167" i="14"/>
  <c r="M263" i="14"/>
  <c r="M169" i="14"/>
  <c r="M261" i="14"/>
  <c r="M353" i="14"/>
  <c r="M354" i="14"/>
  <c r="M355" i="14"/>
  <c r="M268" i="14"/>
  <c r="M173" i="14"/>
  <c r="M174" i="14"/>
  <c r="I76" i="14"/>
  <c r="I171" i="14" s="1"/>
  <c r="S171" i="14" s="1"/>
  <c r="M175" i="14"/>
  <c r="M266" i="14"/>
  <c r="M267" i="14"/>
  <c r="J265" i="14"/>
  <c r="J267" i="14"/>
  <c r="J269" i="14"/>
  <c r="J348" i="14"/>
  <c r="J350" i="14"/>
  <c r="J352" i="14"/>
  <c r="J354" i="14"/>
  <c r="J356" i="14"/>
  <c r="J275" i="14"/>
  <c r="I83" i="14"/>
  <c r="J178" i="14"/>
  <c r="J180" i="14"/>
  <c r="J177" i="14"/>
  <c r="J181" i="14"/>
  <c r="J272" i="14"/>
  <c r="J182" i="14"/>
  <c r="J179" i="14"/>
  <c r="J273" i="14"/>
  <c r="J271" i="14"/>
  <c r="J274" i="14"/>
  <c r="J270" i="14"/>
  <c r="I91" i="14"/>
  <c r="J187" i="14"/>
  <c r="J280" i="14"/>
  <c r="J188" i="14"/>
  <c r="J277" i="14"/>
  <c r="J279" i="14"/>
  <c r="J189" i="14"/>
  <c r="J281" i="14"/>
  <c r="J278" i="14"/>
  <c r="J186" i="14"/>
  <c r="J276" i="14"/>
  <c r="J185" i="14"/>
  <c r="J190" i="14"/>
  <c r="I99" i="14"/>
  <c r="T99" i="14" s="1"/>
  <c r="M194" i="14"/>
  <c r="J268" i="14"/>
  <c r="J353" i="14"/>
  <c r="J318" i="14"/>
  <c r="M323" i="14"/>
  <c r="J326" i="14"/>
  <c r="J330" i="14"/>
  <c r="M332" i="14"/>
  <c r="M341" i="14"/>
  <c r="M337" i="14"/>
  <c r="J258" i="14"/>
  <c r="J339" i="14"/>
  <c r="J341" i="14"/>
  <c r="J343" i="14"/>
  <c r="J345" i="14"/>
  <c r="J414" i="14"/>
  <c r="J416" i="14"/>
  <c r="J418" i="14"/>
  <c r="J259" i="14"/>
  <c r="J340" i="14"/>
  <c r="J342" i="14"/>
  <c r="J344" i="14"/>
  <c r="J346" i="14"/>
  <c r="J415" i="14"/>
  <c r="J417" i="14"/>
  <c r="J419" i="14"/>
  <c r="J164" i="14"/>
  <c r="J252" i="14"/>
  <c r="J165" i="14"/>
  <c r="J162" i="14"/>
  <c r="J256" i="14"/>
  <c r="I67" i="14"/>
  <c r="J254" i="14"/>
  <c r="J253" i="14"/>
  <c r="J166" i="14"/>
  <c r="J161" i="14"/>
  <c r="J163" i="14"/>
  <c r="J255" i="14"/>
  <c r="J257" i="14"/>
  <c r="M348" i="14"/>
  <c r="R260" i="14"/>
  <c r="F260" i="14"/>
  <c r="E260" i="14" s="1"/>
  <c r="F261" i="14"/>
  <c r="E261" i="14" s="1"/>
  <c r="R261" i="14"/>
  <c r="F334" i="14"/>
  <c r="E334" i="14" s="1"/>
  <c r="R334" i="14"/>
  <c r="F176" i="14"/>
  <c r="E176" i="14" s="1"/>
  <c r="R176" i="14"/>
  <c r="F277" i="14"/>
  <c r="E277" i="14" s="1"/>
  <c r="R277" i="14"/>
  <c r="F273" i="14"/>
  <c r="E273" i="14" s="1"/>
  <c r="R273" i="14"/>
  <c r="F180" i="14"/>
  <c r="E180" i="14" s="1"/>
  <c r="R180" i="14"/>
  <c r="R189" i="14"/>
  <c r="F189" i="14"/>
  <c r="E189" i="14" s="1"/>
  <c r="R191" i="14"/>
  <c r="F191" i="14"/>
  <c r="E191" i="14" s="1"/>
  <c r="F193" i="14"/>
  <c r="E193" i="14" s="1"/>
  <c r="R193" i="14"/>
  <c r="R13" i="2"/>
  <c r="S13" i="2"/>
  <c r="AI50" i="9"/>
  <c r="AA50" i="9"/>
  <c r="D44" i="10"/>
  <c r="E44" i="10"/>
  <c r="D46" i="10"/>
  <c r="AK18" i="9"/>
  <c r="AH19" i="8"/>
  <c r="AL19" i="8" s="1"/>
  <c r="AN19" i="8" s="1"/>
  <c r="C75" i="9"/>
  <c r="R19" i="3"/>
  <c r="S19" i="3"/>
  <c r="H35" i="4"/>
  <c r="D75" i="8"/>
  <c r="D58" i="10"/>
  <c r="C57" i="10"/>
  <c r="D60" i="10" s="1"/>
  <c r="C21" i="1"/>
  <c r="Q21" i="1" s="1"/>
  <c r="Q20" i="1"/>
  <c r="J359" i="14"/>
  <c r="AF64" i="7"/>
  <c r="X64" i="7"/>
  <c r="D57" i="9"/>
  <c r="E60" i="9" s="1"/>
  <c r="E58" i="9"/>
  <c r="D58" i="9"/>
  <c r="R18" i="5"/>
  <c r="S18" i="5"/>
  <c r="H2" i="6"/>
  <c r="D23" i="9"/>
  <c r="D20" i="9"/>
  <c r="D35" i="9"/>
  <c r="D31" i="9"/>
  <c r="D37" i="9" s="1"/>
  <c r="D29" i="9"/>
  <c r="D25" i="9"/>
  <c r="D27" i="9"/>
  <c r="D34" i="9"/>
  <c r="D26" i="9"/>
  <c r="D32" i="9"/>
  <c r="D24" i="9"/>
  <c r="D30" i="9"/>
  <c r="D33" i="9"/>
  <c r="D28" i="9"/>
  <c r="AF52" i="7"/>
  <c r="X52" i="7"/>
  <c r="D32" i="8"/>
  <c r="D30" i="8"/>
  <c r="D28" i="8"/>
  <c r="D34" i="8"/>
  <c r="AN6" i="9"/>
  <c r="AN4" i="11"/>
  <c r="C66" i="10"/>
  <c r="AK8" i="8"/>
  <c r="AN5" i="10"/>
  <c r="AP5" i="10" s="1"/>
  <c r="Q21" i="5"/>
  <c r="E66" i="8"/>
  <c r="D66" i="9"/>
  <c r="AC72" i="11"/>
  <c r="AI48" i="11"/>
  <c r="AA48" i="11"/>
  <c r="AC76" i="11"/>
  <c r="AG72" i="11"/>
  <c r="AQ20" i="9"/>
  <c r="AL11" i="12"/>
  <c r="AP11" i="12" s="1"/>
  <c r="AR11" i="12" s="1"/>
  <c r="T21" i="12"/>
  <c r="H20" i="3"/>
  <c r="H35" i="3"/>
  <c r="R10" i="3"/>
  <c r="S10" i="3"/>
  <c r="H27" i="3"/>
  <c r="H34" i="3"/>
  <c r="H31" i="3"/>
  <c r="L21" i="2"/>
  <c r="S14" i="2"/>
  <c r="AI70" i="10"/>
  <c r="AA70" i="10"/>
  <c r="D35" i="12"/>
  <c r="S20" i="1"/>
  <c r="R20" i="1"/>
  <c r="H21" i="1"/>
  <c r="F137" i="14"/>
  <c r="E137" i="14" s="1"/>
  <c r="R137" i="14"/>
  <c r="H7" i="29"/>
  <c r="I35" i="29"/>
  <c r="I36" i="29" s="1"/>
  <c r="U24" i="23"/>
  <c r="V24" i="23"/>
  <c r="R308" i="14"/>
  <c r="F308" i="14"/>
  <c r="E308" i="14" s="1"/>
  <c r="R218" i="14"/>
  <c r="F218" i="14"/>
  <c r="E218" i="14" s="1"/>
  <c r="I34" i="12"/>
  <c r="I28" i="12"/>
  <c r="H33" i="23"/>
  <c r="U33" i="23" s="1"/>
  <c r="S30" i="1"/>
  <c r="R30" i="1"/>
  <c r="R24" i="1"/>
  <c r="S24" i="1"/>
  <c r="AF66" i="4"/>
  <c r="Z68" i="4"/>
  <c r="AF68" i="4" s="1"/>
  <c r="L38" i="5"/>
  <c r="AI50" i="31"/>
  <c r="AH50" i="31"/>
  <c r="AA50" i="31"/>
  <c r="AH52" i="31"/>
  <c r="AI52" i="31"/>
  <c r="AA52" i="31"/>
  <c r="AH60" i="31"/>
  <c r="AA60" i="31"/>
  <c r="AI60" i="31"/>
  <c r="R312" i="14"/>
  <c r="F312" i="14"/>
  <c r="E312" i="14" s="1"/>
  <c r="AQ9" i="20"/>
  <c r="G47" i="31"/>
  <c r="H45" i="31" s="1"/>
  <c r="H50" i="31" s="1"/>
  <c r="G50" i="31"/>
  <c r="F379" i="14"/>
  <c r="E379" i="14" s="1"/>
  <c r="R379" i="14"/>
  <c r="R220" i="14"/>
  <c r="F220" i="14"/>
  <c r="E220" i="14" s="1"/>
  <c r="F394" i="14"/>
  <c r="E394" i="14" s="1"/>
  <c r="R394" i="14"/>
  <c r="H31" i="23"/>
  <c r="V31" i="23" s="1"/>
  <c r="H35" i="23"/>
  <c r="F378" i="14"/>
  <c r="E378" i="14" s="1"/>
  <c r="R378" i="14"/>
  <c r="U32" i="36"/>
  <c r="V32" i="36"/>
  <c r="AD72" i="6"/>
  <c r="R229" i="14"/>
  <c r="F229" i="14"/>
  <c r="E229" i="14" s="1"/>
  <c r="F314" i="14"/>
  <c r="E314" i="14" s="1"/>
  <c r="R314" i="14"/>
  <c r="F389" i="14"/>
  <c r="E389" i="14" s="1"/>
  <c r="R389" i="14"/>
  <c r="F302" i="14"/>
  <c r="E302" i="14" s="1"/>
  <c r="R302" i="14"/>
  <c r="R304" i="14"/>
  <c r="F304" i="14"/>
  <c r="E304" i="14" s="1"/>
  <c r="H28" i="23"/>
  <c r="U28" i="23" s="1"/>
  <c r="AH70" i="24"/>
  <c r="AI70" i="24"/>
  <c r="AA70" i="24"/>
  <c r="AI66" i="24"/>
  <c r="AH66" i="24"/>
  <c r="AA66" i="24"/>
  <c r="U35" i="35"/>
  <c r="V35" i="35"/>
  <c r="V31" i="36"/>
  <c r="V30" i="35"/>
  <c r="U30" i="35"/>
  <c r="U36" i="37"/>
  <c r="V36" i="37"/>
  <c r="L36" i="29"/>
  <c r="V27" i="29"/>
  <c r="V26" i="23"/>
  <c r="V34" i="23"/>
  <c r="V33" i="37"/>
  <c r="U26" i="32"/>
  <c r="V26" i="32"/>
  <c r="AI60" i="29"/>
  <c r="Y76" i="20"/>
  <c r="AG76" i="20" s="1"/>
  <c r="C37" i="20"/>
  <c r="T37" i="20" s="1"/>
  <c r="V33" i="20"/>
  <c r="D31" i="24"/>
  <c r="D37" i="24" s="1"/>
  <c r="D34" i="24"/>
  <c r="D20" i="24"/>
  <c r="D32" i="24"/>
  <c r="D35" i="24"/>
  <c r="D36" i="24" s="1"/>
  <c r="D33" i="24"/>
  <c r="AR11" i="24"/>
  <c r="I34" i="18"/>
  <c r="I20" i="18"/>
  <c r="I33" i="18"/>
  <c r="I35" i="18"/>
  <c r="H18" i="18"/>
  <c r="H20" i="18" s="1"/>
  <c r="AI58" i="20"/>
  <c r="AA58" i="20"/>
  <c r="G57" i="29"/>
  <c r="H60" i="29" s="1"/>
  <c r="F60" i="29"/>
  <c r="AP26" i="24"/>
  <c r="AR23" i="24"/>
  <c r="U17" i="18"/>
  <c r="V17" i="18"/>
  <c r="H32" i="18"/>
  <c r="Z66" i="18"/>
  <c r="AH56" i="27"/>
  <c r="AA56" i="27"/>
  <c r="I37" i="24"/>
  <c r="G47" i="24"/>
  <c r="H45" i="24" s="1"/>
  <c r="H50" i="24" s="1"/>
  <c r="G50" i="24"/>
  <c r="N37" i="20"/>
  <c r="AD76" i="20"/>
  <c r="AH52" i="20"/>
  <c r="AI52" i="20"/>
  <c r="AA52" i="20"/>
  <c r="AN11" i="20"/>
  <c r="AP11" i="20" s="1"/>
  <c r="AR11" i="20" s="1"/>
  <c r="T21" i="20"/>
  <c r="M118" i="14"/>
  <c r="M373" i="14"/>
  <c r="I19" i="14"/>
  <c r="M298" i="14"/>
  <c r="M211" i="14"/>
  <c r="I167" i="14"/>
  <c r="S167" i="14" s="1"/>
  <c r="I170" i="14"/>
  <c r="S170" i="14" s="1"/>
  <c r="S73" i="14"/>
  <c r="I168" i="14"/>
  <c r="S168" i="14" s="1"/>
  <c r="I169" i="14"/>
  <c r="S169" i="14" s="1"/>
  <c r="M191" i="14"/>
  <c r="M190" i="14"/>
  <c r="T92" i="14"/>
  <c r="I92" i="14"/>
  <c r="M176" i="14"/>
  <c r="M177" i="14"/>
  <c r="M269" i="14"/>
  <c r="M270" i="14"/>
  <c r="T78" i="14"/>
  <c r="I78" i="14"/>
  <c r="M278" i="14"/>
  <c r="M185" i="14"/>
  <c r="I86" i="14"/>
  <c r="T86" i="14" s="1"/>
  <c r="M184" i="14"/>
  <c r="M277" i="14"/>
  <c r="AH54" i="20"/>
  <c r="AA54" i="20"/>
  <c r="M106" i="14"/>
  <c r="M105" i="14"/>
  <c r="M107" i="14"/>
  <c r="M198" i="14"/>
  <c r="M200" i="14"/>
  <c r="M284" i="14"/>
  <c r="M359" i="14"/>
  <c r="M361" i="14"/>
  <c r="M197" i="14"/>
  <c r="M199" i="14"/>
  <c r="M360" i="14"/>
  <c r="M362" i="14"/>
  <c r="M287" i="14"/>
  <c r="M285" i="14"/>
  <c r="M286" i="14"/>
  <c r="T8" i="14"/>
  <c r="I14" i="14"/>
  <c r="J206" i="14"/>
  <c r="J368" i="14"/>
  <c r="J113" i="14"/>
  <c r="J293" i="14"/>
  <c r="J114" i="14"/>
  <c r="J369" i="14"/>
  <c r="J207" i="14"/>
  <c r="I15" i="14"/>
  <c r="J294" i="14"/>
  <c r="M116" i="14"/>
  <c r="I18" i="14"/>
  <c r="M117" i="14"/>
  <c r="M371" i="14"/>
  <c r="M209" i="14"/>
  <c r="M372" i="14"/>
  <c r="M368" i="14"/>
  <c r="M370" i="14"/>
  <c r="M295" i="14"/>
  <c r="M297" i="14"/>
  <c r="M294" i="14"/>
  <c r="M293" i="14"/>
  <c r="M210" i="14"/>
  <c r="M296" i="14"/>
  <c r="M375" i="14"/>
  <c r="M385" i="14"/>
  <c r="M387" i="14"/>
  <c r="M384" i="14"/>
  <c r="M386" i="14"/>
  <c r="I33" i="14"/>
  <c r="M132" i="14"/>
  <c r="M129" i="14"/>
  <c r="M222" i="14"/>
  <c r="T33" i="14"/>
  <c r="M224" i="14"/>
  <c r="M223" i="14"/>
  <c r="M310" i="14"/>
  <c r="M312" i="14"/>
  <c r="M309" i="14"/>
  <c r="M130" i="14"/>
  <c r="M131" i="14"/>
  <c r="M225" i="14"/>
  <c r="M317" i="14"/>
  <c r="M393" i="14"/>
  <c r="M395" i="14"/>
  <c r="M392" i="14"/>
  <c r="M394" i="14"/>
  <c r="I41" i="14"/>
  <c r="T41" i="14" s="1"/>
  <c r="M140" i="14"/>
  <c r="M231" i="14"/>
  <c r="M232" i="14"/>
  <c r="M138" i="14"/>
  <c r="M230" i="14"/>
  <c r="M320" i="14"/>
  <c r="M137" i="14"/>
  <c r="M139" i="14"/>
  <c r="M318" i="14"/>
  <c r="M233" i="14"/>
  <c r="M347" i="14"/>
  <c r="M356" i="14"/>
  <c r="F172" i="14"/>
  <c r="E172" i="14" s="1"/>
  <c r="R172" i="14"/>
  <c r="F174" i="14"/>
  <c r="E174" i="14" s="1"/>
  <c r="R174" i="14"/>
  <c r="F270" i="14"/>
  <c r="E270" i="14" s="1"/>
  <c r="R270" i="14"/>
  <c r="F175" i="14"/>
  <c r="E175" i="14" s="1"/>
  <c r="R175" i="14"/>
  <c r="F184" i="14"/>
  <c r="E184" i="14" s="1"/>
  <c r="R184" i="14"/>
  <c r="R276" i="14"/>
  <c r="F276" i="14"/>
  <c r="E276" i="14" s="1"/>
  <c r="F272" i="14"/>
  <c r="E272" i="14" s="1"/>
  <c r="R272" i="14"/>
  <c r="F281" i="14"/>
  <c r="E281" i="14" s="1"/>
  <c r="R281" i="14"/>
  <c r="F188" i="14"/>
  <c r="E188" i="14" s="1"/>
  <c r="R188" i="14"/>
  <c r="AI56" i="27"/>
  <c r="M206" i="14"/>
  <c r="S13" i="5"/>
  <c r="R13" i="5"/>
  <c r="Q31" i="1"/>
  <c r="C37" i="1"/>
  <c r="R15" i="4"/>
  <c r="S15" i="4"/>
  <c r="C37" i="2"/>
  <c r="J284" i="14"/>
  <c r="F44" i="8"/>
  <c r="F46" i="8"/>
  <c r="G44" i="8"/>
  <c r="AF58" i="7"/>
  <c r="X58" i="7"/>
  <c r="AF66" i="7"/>
  <c r="X66" i="7"/>
  <c r="AI70" i="9"/>
  <c r="AA70" i="9"/>
  <c r="AL26" i="8"/>
  <c r="X64" i="8"/>
  <c r="AF64" i="8"/>
  <c r="AI68" i="12"/>
  <c r="L38" i="2"/>
  <c r="D30" i="5"/>
  <c r="D27" i="5"/>
  <c r="D35" i="5"/>
  <c r="D26" i="5"/>
  <c r="D23" i="5"/>
  <c r="D33" i="5"/>
  <c r="D28" i="5"/>
  <c r="D25" i="5"/>
  <c r="D20" i="5"/>
  <c r="D21" i="5" s="1"/>
  <c r="D34" i="5"/>
  <c r="D31" i="5"/>
  <c r="D37" i="5" s="1"/>
  <c r="D38" i="5" s="1"/>
  <c r="D32" i="5"/>
  <c r="D24" i="5"/>
  <c r="D29" i="5"/>
  <c r="H31" i="4"/>
  <c r="R11" i="4"/>
  <c r="H28" i="4"/>
  <c r="H32" i="4"/>
  <c r="H20" i="4"/>
  <c r="H29" i="4"/>
  <c r="H33" i="4"/>
  <c r="S11" i="4"/>
  <c r="H26" i="4"/>
  <c r="H27" i="4"/>
  <c r="H30" i="4"/>
  <c r="H34" i="4"/>
  <c r="G67" i="18"/>
  <c r="H70" i="18" s="1"/>
  <c r="F70" i="18"/>
  <c r="H33" i="3"/>
  <c r="H2" i="4"/>
  <c r="AA60" i="9"/>
  <c r="AI60" i="9"/>
  <c r="H12" i="12"/>
  <c r="H31" i="12" s="1"/>
  <c r="I20" i="12"/>
  <c r="AD76" i="6"/>
  <c r="I30" i="12"/>
  <c r="R391" i="14"/>
  <c r="F391" i="14"/>
  <c r="E391" i="14" s="1"/>
  <c r="AL10" i="8"/>
  <c r="R313" i="14"/>
  <c r="F313" i="14"/>
  <c r="E313" i="14" s="1"/>
  <c r="Z76" i="18"/>
  <c r="AH76" i="18" s="1"/>
  <c r="H37" i="18"/>
  <c r="H27" i="23"/>
  <c r="Q15" i="13"/>
  <c r="O16" i="13"/>
  <c r="O17" i="13" s="1"/>
  <c r="R384" i="14"/>
  <c r="F384" i="14"/>
  <c r="E384" i="14" s="1"/>
  <c r="U35" i="36"/>
  <c r="V35" i="36"/>
  <c r="D37" i="11"/>
  <c r="AI54" i="11"/>
  <c r="AA54" i="11"/>
  <c r="I27" i="12"/>
  <c r="H27" i="12"/>
  <c r="U9" i="12"/>
  <c r="H24" i="12"/>
  <c r="H29" i="12"/>
  <c r="Z50" i="12"/>
  <c r="H25" i="12"/>
  <c r="H26" i="12"/>
  <c r="S25" i="1"/>
  <c r="R25" i="1"/>
  <c r="R31" i="1"/>
  <c r="H37" i="1"/>
  <c r="S31" i="1"/>
  <c r="AH56" i="31"/>
  <c r="AA56" i="31"/>
  <c r="AI62" i="31"/>
  <c r="AA62" i="31"/>
  <c r="AH62" i="31"/>
  <c r="AQ9" i="29"/>
  <c r="AR11" i="10"/>
  <c r="H30" i="23"/>
  <c r="U30" i="23" s="1"/>
  <c r="F222" i="14"/>
  <c r="E222" i="14" s="1"/>
  <c r="R222" i="14"/>
  <c r="Q37" i="5"/>
  <c r="AA58" i="31"/>
  <c r="F318" i="14"/>
  <c r="E318" i="14" s="1"/>
  <c r="R318" i="14"/>
  <c r="R136" i="14"/>
  <c r="F136" i="14"/>
  <c r="E136" i="14" s="1"/>
  <c r="R316" i="14"/>
  <c r="F316" i="14"/>
  <c r="E316" i="14" s="1"/>
  <c r="F125" i="14"/>
  <c r="E125" i="14" s="1"/>
  <c r="R125" i="14"/>
  <c r="F381" i="14"/>
  <c r="E381" i="14" s="1"/>
  <c r="R381" i="14"/>
  <c r="F306" i="14"/>
  <c r="E306" i="14" s="1"/>
  <c r="R306" i="14"/>
  <c r="R300" i="14"/>
  <c r="F300" i="14"/>
  <c r="E300" i="14" s="1"/>
  <c r="L21" i="5"/>
  <c r="H36" i="32"/>
  <c r="U36" i="32" s="1"/>
  <c r="G46" i="34"/>
  <c r="AO13" i="20"/>
  <c r="AQ11" i="20"/>
  <c r="AQ10" i="20"/>
  <c r="AI54" i="20"/>
  <c r="V20" i="33"/>
  <c r="L21" i="33"/>
  <c r="V21" i="33" s="1"/>
  <c r="U20" i="35"/>
  <c r="V20" i="35"/>
  <c r="H21" i="35"/>
  <c r="V32" i="35"/>
  <c r="V36" i="35"/>
  <c r="S21" i="14"/>
  <c r="T21" i="14"/>
  <c r="I120" i="14"/>
  <c r="S120" i="14" s="1"/>
  <c r="M193" i="14"/>
  <c r="I94" i="14"/>
  <c r="M192" i="14"/>
  <c r="T94" i="14"/>
  <c r="M108" i="14"/>
  <c r="M363" i="14"/>
  <c r="M201" i="14"/>
  <c r="M288" i="14"/>
  <c r="T9" i="14"/>
  <c r="J112" i="14"/>
  <c r="I13" i="14"/>
  <c r="J111" i="14"/>
  <c r="J204" i="14"/>
  <c r="J367" i="14"/>
  <c r="J205" i="14"/>
  <c r="J366" i="14"/>
  <c r="J291" i="14"/>
  <c r="J292" i="14"/>
  <c r="I20" i="14"/>
  <c r="J116" i="14"/>
  <c r="J118" i="14"/>
  <c r="J117" i="14"/>
  <c r="J115" i="14"/>
  <c r="J208" i="14"/>
  <c r="J210" i="14"/>
  <c r="J371" i="14"/>
  <c r="J373" i="14"/>
  <c r="J374" i="14"/>
  <c r="J370" i="14"/>
  <c r="J119" i="14"/>
  <c r="J209" i="14"/>
  <c r="J372" i="14"/>
  <c r="J296" i="14"/>
  <c r="J212" i="14"/>
  <c r="J298" i="14"/>
  <c r="J295" i="14"/>
  <c r="J297" i="14"/>
  <c r="J299" i="14"/>
  <c r="J211" i="14"/>
  <c r="M335" i="14"/>
  <c r="M336" i="14"/>
  <c r="M404" i="14"/>
  <c r="M405" i="14"/>
  <c r="M406" i="14"/>
  <c r="M410" i="14"/>
  <c r="M409" i="14"/>
  <c r="M408" i="14"/>
  <c r="M407" i="14"/>
  <c r="M411" i="14"/>
  <c r="M248" i="14"/>
  <c r="M242" i="14"/>
  <c r="M246" i="14"/>
  <c r="M245" i="14"/>
  <c r="M155" i="14"/>
  <c r="M330" i="14"/>
  <c r="I57" i="14"/>
  <c r="M154" i="14"/>
  <c r="M153" i="14"/>
  <c r="M156" i="14"/>
  <c r="M247" i="14"/>
  <c r="M243" i="14"/>
  <c r="M249" i="14"/>
  <c r="M151" i="14"/>
  <c r="M244" i="14"/>
  <c r="M152" i="14"/>
  <c r="M280" i="14"/>
  <c r="M187" i="14"/>
  <c r="I88" i="14"/>
  <c r="T88" i="14" s="1"/>
  <c r="M186" i="14"/>
  <c r="M279" i="14"/>
  <c r="T120" i="14"/>
  <c r="M319" i="14"/>
  <c r="M327" i="14"/>
  <c r="M400" i="14"/>
  <c r="M401" i="14"/>
  <c r="M402" i="14"/>
  <c r="M403" i="14"/>
  <c r="I49" i="14"/>
  <c r="M148" i="14"/>
  <c r="M239" i="14"/>
  <c r="M240" i="14"/>
  <c r="M146" i="14"/>
  <c r="M147" i="14"/>
  <c r="M326" i="14"/>
  <c r="M241" i="14"/>
  <c r="M145" i="14"/>
  <c r="M328" i="14"/>
  <c r="M238" i="14"/>
  <c r="M331" i="14"/>
  <c r="M334" i="14"/>
  <c r="M339" i="14"/>
  <c r="M350" i="14"/>
  <c r="M346" i="14"/>
  <c r="R268" i="14"/>
  <c r="F268" i="14"/>
  <c r="E268" i="14" s="1"/>
  <c r="F269" i="14"/>
  <c r="E269" i="14" s="1"/>
  <c r="R269" i="14"/>
  <c r="F173" i="14"/>
  <c r="E173" i="14" s="1"/>
  <c r="R173" i="14"/>
  <c r="R266" i="14"/>
  <c r="F266" i="14"/>
  <c r="E266" i="14" s="1"/>
  <c r="R181" i="14"/>
  <c r="F181" i="14"/>
  <c r="E181" i="14" s="1"/>
  <c r="F275" i="14"/>
  <c r="E275" i="14" s="1"/>
  <c r="R275" i="14"/>
  <c r="F271" i="14"/>
  <c r="E271" i="14" s="1"/>
  <c r="R271" i="14"/>
  <c r="M188" i="14"/>
  <c r="M189" i="14"/>
  <c r="I90" i="14"/>
  <c r="T90" i="14" s="1"/>
  <c r="M281" i="14"/>
  <c r="F280" i="14"/>
  <c r="E280" i="14" s="1"/>
  <c r="R280" i="14"/>
  <c r="AG72" i="27"/>
  <c r="M207" i="14"/>
  <c r="M115" i="14"/>
  <c r="AP6" i="9"/>
  <c r="AI48" i="9"/>
  <c r="AC72" i="9"/>
  <c r="AC76" i="9"/>
  <c r="J104" i="14"/>
  <c r="AF60" i="7"/>
  <c r="X60" i="7"/>
  <c r="AF68" i="7"/>
  <c r="X68" i="7"/>
  <c r="AF50" i="8"/>
  <c r="Z76" i="8"/>
  <c r="Z72" i="8"/>
  <c r="H24" i="2"/>
  <c r="R24" i="2" s="1"/>
  <c r="H28" i="2"/>
  <c r="R28" i="2" s="1"/>
  <c r="H32" i="2"/>
  <c r="R32" i="2" s="1"/>
  <c r="H25" i="2"/>
  <c r="R25" i="2" s="1"/>
  <c r="H29" i="2"/>
  <c r="R29" i="2" s="1"/>
  <c r="H33" i="2"/>
  <c r="R33" i="2" s="1"/>
  <c r="R9" i="2"/>
  <c r="H26" i="2"/>
  <c r="R26" i="2" s="1"/>
  <c r="H30" i="2"/>
  <c r="R30" i="2" s="1"/>
  <c r="H34" i="2"/>
  <c r="R34" i="2" s="1"/>
  <c r="S9" i="2"/>
  <c r="H27" i="2"/>
  <c r="H31" i="2"/>
  <c r="H20" i="2"/>
  <c r="F58" i="8"/>
  <c r="E58" i="8"/>
  <c r="E57" i="8"/>
  <c r="L38" i="3"/>
  <c r="AO18" i="10"/>
  <c r="AO26" i="10" s="1"/>
  <c r="AK26" i="10"/>
  <c r="G60" i="11"/>
  <c r="G57" i="11"/>
  <c r="H60" i="11" s="1"/>
  <c r="F70" i="12"/>
  <c r="G67" i="12"/>
  <c r="H70" i="12" s="1"/>
  <c r="R30" i="3"/>
  <c r="S30" i="3"/>
  <c r="S29" i="3"/>
  <c r="R29" i="3"/>
  <c r="R15" i="3"/>
  <c r="S15" i="3"/>
  <c r="S34" i="2"/>
  <c r="S29" i="2"/>
  <c r="S28" i="2"/>
  <c r="AR10" i="10"/>
  <c r="AP13" i="10"/>
  <c r="AI60" i="10"/>
  <c r="AA60" i="10"/>
  <c r="AC72" i="10"/>
  <c r="G70" i="10"/>
  <c r="G67" i="10"/>
  <c r="H70" i="10" s="1"/>
  <c r="G57" i="18"/>
  <c r="H60" i="18" s="1"/>
  <c r="G60" i="18"/>
  <c r="AF48" i="6"/>
  <c r="Z76" i="6"/>
  <c r="Z72" i="6"/>
  <c r="AI64" i="31"/>
  <c r="AA64" i="31"/>
  <c r="AH64" i="31"/>
  <c r="F227" i="14"/>
  <c r="E227" i="14" s="1"/>
  <c r="R227" i="14"/>
  <c r="AQ22" i="34"/>
  <c r="AQ21" i="34"/>
  <c r="F135" i="14"/>
  <c r="E135" i="14" s="1"/>
  <c r="R135" i="14"/>
  <c r="F388" i="14"/>
  <c r="E388" i="14" s="1"/>
  <c r="R388" i="14"/>
  <c r="V30" i="36"/>
  <c r="U30" i="36"/>
  <c r="AH68" i="12"/>
  <c r="AA68" i="12"/>
  <c r="AI64" i="12"/>
  <c r="AA64" i="12"/>
  <c r="AH64" i="12"/>
  <c r="S32" i="1"/>
  <c r="R32" i="1"/>
  <c r="S27" i="1"/>
  <c r="R27" i="1"/>
  <c r="AI66" i="31"/>
  <c r="AA66" i="31"/>
  <c r="AH66" i="31"/>
  <c r="F311" i="14"/>
  <c r="E311" i="14" s="1"/>
  <c r="R311" i="14"/>
  <c r="I37" i="29"/>
  <c r="R383" i="14"/>
  <c r="F383" i="14"/>
  <c r="E383" i="14" s="1"/>
  <c r="F226" i="14"/>
  <c r="E226" i="14" s="1"/>
  <c r="R226" i="14"/>
  <c r="F385" i="14"/>
  <c r="E385" i="14" s="1"/>
  <c r="R385" i="14"/>
  <c r="R393" i="14"/>
  <c r="F393" i="14"/>
  <c r="E393" i="14" s="1"/>
  <c r="F138" i="14"/>
  <c r="E138" i="14" s="1"/>
  <c r="R138" i="14"/>
  <c r="R215" i="14"/>
  <c r="F215" i="14"/>
  <c r="E215" i="14" s="1"/>
  <c r="AC72" i="20"/>
  <c r="X72" i="5"/>
  <c r="D23" i="12"/>
  <c r="D27" i="12"/>
  <c r="D31" i="12"/>
  <c r="D37" i="12" s="1"/>
  <c r="D26" i="12"/>
  <c r="D32" i="12"/>
  <c r="D28" i="12"/>
  <c r="D33" i="12"/>
  <c r="D30" i="12"/>
  <c r="D20" i="12"/>
  <c r="D24" i="12"/>
  <c r="D34" i="12"/>
  <c r="D25" i="12"/>
  <c r="D29" i="12"/>
  <c r="AQ9" i="9"/>
  <c r="X52" i="6"/>
  <c r="V34" i="33"/>
  <c r="U28" i="38"/>
  <c r="V28" i="38"/>
  <c r="AQ10" i="11"/>
  <c r="AQ11" i="11"/>
  <c r="U18" i="23"/>
  <c r="V18" i="23"/>
  <c r="Z68" i="23"/>
  <c r="H2" i="24"/>
  <c r="AR10" i="24"/>
  <c r="AP13" i="24"/>
  <c r="H2" i="39"/>
  <c r="U17" i="38"/>
  <c r="V17" i="38"/>
  <c r="T37" i="36"/>
  <c r="C38" i="36"/>
  <c r="T38" i="36" s="1"/>
  <c r="AG76" i="34"/>
  <c r="V32" i="33"/>
  <c r="R36" i="34"/>
  <c r="T36" i="34" s="1"/>
  <c r="T35" i="34"/>
  <c r="V27" i="33"/>
  <c r="AI56" i="31"/>
  <c r="AC72" i="31"/>
  <c r="AC76" i="31"/>
  <c r="H37" i="36"/>
  <c r="L21" i="32"/>
  <c r="V20" i="32"/>
  <c r="V31" i="32"/>
  <c r="D29" i="32"/>
  <c r="D35" i="32"/>
  <c r="D36" i="32" s="1"/>
  <c r="D20" i="32"/>
  <c r="D21" i="32" s="1"/>
  <c r="D32" i="32"/>
  <c r="D33" i="32"/>
  <c r="D30" i="32"/>
  <c r="D31" i="32"/>
  <c r="D37" i="32" s="1"/>
  <c r="D38" i="32" s="1"/>
  <c r="D34" i="32"/>
  <c r="L37" i="32"/>
  <c r="V13" i="29"/>
  <c r="U13" i="29"/>
  <c r="Z58" i="29"/>
  <c r="C36" i="24"/>
  <c r="T36" i="24" s="1"/>
  <c r="T35" i="24"/>
  <c r="AG72" i="34"/>
  <c r="L36" i="31"/>
  <c r="H24" i="31"/>
  <c r="H29" i="31"/>
  <c r="H20" i="31"/>
  <c r="V20" i="31" s="1"/>
  <c r="U8" i="31"/>
  <c r="H23" i="31"/>
  <c r="H31" i="31"/>
  <c r="V31" i="31" s="1"/>
  <c r="V8" i="31"/>
  <c r="H27" i="31"/>
  <c r="H34" i="31"/>
  <c r="H35" i="31"/>
  <c r="U35" i="31" s="1"/>
  <c r="H32" i="31"/>
  <c r="U32" i="31" s="1"/>
  <c r="Z48" i="31"/>
  <c r="H25" i="31"/>
  <c r="U25" i="31" s="1"/>
  <c r="H33" i="31"/>
  <c r="U33" i="31" s="1"/>
  <c r="H30" i="31"/>
  <c r="U30" i="31" s="1"/>
  <c r="H26" i="31"/>
  <c r="U26" i="31" s="1"/>
  <c r="H28" i="31"/>
  <c r="U28" i="31" s="1"/>
  <c r="C75" i="31"/>
  <c r="C75" i="29"/>
  <c r="AK18" i="29"/>
  <c r="AO18" i="29" s="1"/>
  <c r="AQ19" i="29" s="1"/>
  <c r="AK18" i="27"/>
  <c r="AO18" i="27" s="1"/>
  <c r="AQ19" i="27" s="1"/>
  <c r="C75" i="24"/>
  <c r="AK18" i="23"/>
  <c r="AO18" i="23" s="1"/>
  <c r="AQ19" i="23" s="1"/>
  <c r="AK18" i="24"/>
  <c r="AO18" i="24" s="1"/>
  <c r="AQ19" i="24" s="1"/>
  <c r="C75" i="23"/>
  <c r="AK18" i="20"/>
  <c r="AO18" i="20" s="1"/>
  <c r="AQ19" i="20" s="1"/>
  <c r="C75" i="20"/>
  <c r="C75" i="27"/>
  <c r="AH22" i="8"/>
  <c r="AL22" i="8" s="1"/>
  <c r="AN22" i="8" s="1"/>
  <c r="G75" i="8"/>
  <c r="AK21" i="9"/>
  <c r="AO21" i="9" s="1"/>
  <c r="F75" i="9"/>
  <c r="H35" i="7"/>
  <c r="H2" i="7"/>
  <c r="C75" i="18"/>
  <c r="AK20" i="10"/>
  <c r="AO20" i="10" s="1"/>
  <c r="AK19" i="11"/>
  <c r="AO19" i="11" s="1"/>
  <c r="AK18" i="12"/>
  <c r="AO18" i="12" s="1"/>
  <c r="AQ19" i="12" s="1"/>
  <c r="AK18" i="18"/>
  <c r="AO18" i="18" s="1"/>
  <c r="AQ19" i="18" s="1"/>
  <c r="S19" i="6"/>
  <c r="W70" i="6"/>
  <c r="C75" i="34"/>
  <c r="E75" i="10"/>
  <c r="C75" i="12"/>
  <c r="D75" i="11"/>
  <c r="R19" i="6"/>
  <c r="AK18" i="31"/>
  <c r="AO18" i="31" s="1"/>
  <c r="AQ19" i="31" s="1"/>
  <c r="H34" i="6"/>
  <c r="H20" i="6"/>
  <c r="AK18" i="34"/>
  <c r="AO18" i="34" s="1"/>
  <c r="AQ19" i="34" s="1"/>
  <c r="H29" i="11"/>
  <c r="H33" i="11"/>
  <c r="U10" i="11"/>
  <c r="H26" i="11"/>
  <c r="H28" i="11"/>
  <c r="H32" i="11"/>
  <c r="V10" i="11"/>
  <c r="H25" i="11"/>
  <c r="H31" i="11"/>
  <c r="H35" i="11"/>
  <c r="H30" i="11"/>
  <c r="Z52" i="11"/>
  <c r="H27" i="11"/>
  <c r="H34" i="11"/>
  <c r="H20" i="11"/>
  <c r="V24" i="33"/>
  <c r="H20" i="23"/>
  <c r="V20" i="23" s="1"/>
  <c r="D30" i="29"/>
  <c r="D20" i="29"/>
  <c r="V33" i="29"/>
  <c r="V29" i="29"/>
  <c r="V33" i="23"/>
  <c r="U24" i="32"/>
  <c r="V24" i="32"/>
  <c r="AG76" i="31"/>
  <c r="F44" i="29"/>
  <c r="F46" i="29"/>
  <c r="G44" i="29"/>
  <c r="AI48" i="27"/>
  <c r="AA48" i="27"/>
  <c r="AC72" i="27"/>
  <c r="AC76" i="27"/>
  <c r="G70" i="24"/>
  <c r="G67" i="24"/>
  <c r="H70" i="24" s="1"/>
  <c r="D18" i="18"/>
  <c r="E35" i="18"/>
  <c r="E33" i="18"/>
  <c r="E20" i="18"/>
  <c r="E34" i="18"/>
  <c r="E2" i="20"/>
  <c r="E37" i="20" s="1"/>
  <c r="V30" i="20"/>
  <c r="D37" i="23"/>
  <c r="AI48" i="29"/>
  <c r="AC76" i="29"/>
  <c r="AC72" i="29"/>
  <c r="AH50" i="20"/>
  <c r="AI50" i="20"/>
  <c r="AA50" i="20"/>
  <c r="AH60" i="27"/>
  <c r="AA60" i="27"/>
  <c r="U19" i="29"/>
  <c r="Z70" i="29"/>
  <c r="AH56" i="24"/>
  <c r="AA56" i="24"/>
  <c r="AI56" i="24"/>
  <c r="AA58" i="23"/>
  <c r="AH58" i="23"/>
  <c r="AI58" i="23"/>
  <c r="AC76" i="23"/>
  <c r="AC72" i="23"/>
  <c r="J108" i="14"/>
  <c r="M114" i="14"/>
  <c r="I115" i="14"/>
  <c r="S115" i="14" s="1"/>
  <c r="I208" i="14"/>
  <c r="S208" i="14" s="1"/>
  <c r="S16" i="14"/>
  <c r="T16" i="14"/>
  <c r="D28" i="20"/>
  <c r="D32" i="20"/>
  <c r="S10" i="14"/>
  <c r="I289" i="14"/>
  <c r="S289" i="14" s="1"/>
  <c r="I202" i="14"/>
  <c r="S202" i="14" s="1"/>
  <c r="I109" i="14"/>
  <c r="S109" i="14" s="1"/>
  <c r="M343" i="14"/>
  <c r="M344" i="14"/>
  <c r="M414" i="14"/>
  <c r="M418" i="14"/>
  <c r="M413" i="14"/>
  <c r="M417" i="14"/>
  <c r="M412" i="14"/>
  <c r="M416" i="14"/>
  <c r="M415" i="14"/>
  <c r="M419" i="14"/>
  <c r="I65" i="14"/>
  <c r="T65" i="14" s="1"/>
  <c r="M255" i="14"/>
  <c r="M252" i="14"/>
  <c r="M257" i="14"/>
  <c r="M253" i="14"/>
  <c r="M250" i="14"/>
  <c r="M162" i="14"/>
  <c r="M164" i="14"/>
  <c r="M160" i="14"/>
  <c r="M163" i="14"/>
  <c r="M256" i="14"/>
  <c r="M159" i="14"/>
  <c r="M254" i="14"/>
  <c r="M251" i="14"/>
  <c r="M161" i="14"/>
  <c r="I80" i="14"/>
  <c r="M178" i="14"/>
  <c r="M272" i="14"/>
  <c r="M179" i="14"/>
  <c r="M271" i="14"/>
  <c r="J266" i="14"/>
  <c r="J351" i="14"/>
  <c r="AR24" i="24"/>
  <c r="M122" i="14"/>
  <c r="M121" i="14"/>
  <c r="M377" i="14"/>
  <c r="M374" i="14"/>
  <c r="M376" i="14"/>
  <c r="M378" i="14"/>
  <c r="M215" i="14"/>
  <c r="M303" i="14"/>
  <c r="M214" i="14"/>
  <c r="M300" i="14"/>
  <c r="M216" i="14"/>
  <c r="M302" i="14"/>
  <c r="T24" i="14"/>
  <c r="M213" i="14"/>
  <c r="M299" i="14"/>
  <c r="M123" i="14"/>
  <c r="M301" i="14"/>
  <c r="M212" i="14"/>
  <c r="M379" i="14"/>
  <c r="M381" i="14"/>
  <c r="M383" i="14"/>
  <c r="M380" i="14"/>
  <c r="M382" i="14"/>
  <c r="M125" i="14"/>
  <c r="M126" i="14"/>
  <c r="M308" i="14"/>
  <c r="I29" i="14"/>
  <c r="M127" i="14"/>
  <c r="M217" i="14"/>
  <c r="M305" i="14"/>
  <c r="M128" i="14"/>
  <c r="M124" i="14"/>
  <c r="M220" i="14"/>
  <c r="M218" i="14"/>
  <c r="T29" i="14"/>
  <c r="M219" i="14"/>
  <c r="M304" i="14"/>
  <c r="M221" i="14"/>
  <c r="M306" i="14"/>
  <c r="M307" i="14"/>
  <c r="M313" i="14"/>
  <c r="M389" i="14"/>
  <c r="M391" i="14"/>
  <c r="M388" i="14"/>
  <c r="M390" i="14"/>
  <c r="M135" i="14"/>
  <c r="M316" i="14"/>
  <c r="M226" i="14"/>
  <c r="M229" i="14"/>
  <c r="M133" i="14"/>
  <c r="M314" i="14"/>
  <c r="T37" i="14"/>
  <c r="I37" i="14"/>
  <c r="M134" i="14"/>
  <c r="M136" i="14"/>
  <c r="M228" i="14"/>
  <c r="M227" i="14"/>
  <c r="M321" i="14"/>
  <c r="M396" i="14"/>
  <c r="M397" i="14"/>
  <c r="M398" i="14"/>
  <c r="M399" i="14"/>
  <c r="M143" i="14"/>
  <c r="M324" i="14"/>
  <c r="M234" i="14"/>
  <c r="M237" i="14"/>
  <c r="M141" i="14"/>
  <c r="M322" i="14"/>
  <c r="M144" i="14"/>
  <c r="M235" i="14"/>
  <c r="M236" i="14"/>
  <c r="M142" i="14"/>
  <c r="I45" i="14"/>
  <c r="I364" i="14" s="1"/>
  <c r="S364" i="14" s="1"/>
  <c r="J331" i="14"/>
  <c r="M333" i="14"/>
  <c r="J333" i="14"/>
  <c r="J335" i="14"/>
  <c r="J337" i="14"/>
  <c r="J408" i="14"/>
  <c r="J410" i="14"/>
  <c r="J412" i="14"/>
  <c r="J334" i="14"/>
  <c r="J336" i="14"/>
  <c r="J338" i="14"/>
  <c r="J409" i="14"/>
  <c r="J411" i="14"/>
  <c r="J413" i="14"/>
  <c r="J155" i="14"/>
  <c r="J248" i="14"/>
  <c r="J158" i="14"/>
  <c r="J153" i="14"/>
  <c r="J246" i="14"/>
  <c r="J249" i="14"/>
  <c r="J157" i="14"/>
  <c r="J250" i="14"/>
  <c r="J247" i="14"/>
  <c r="J251" i="14"/>
  <c r="J156" i="14"/>
  <c r="I59" i="14"/>
  <c r="J154" i="14"/>
  <c r="M342" i="14"/>
  <c r="M338" i="14"/>
  <c r="M349" i="14"/>
  <c r="M345" i="14"/>
  <c r="R264" i="14"/>
  <c r="F264" i="14"/>
  <c r="E264" i="14" s="1"/>
  <c r="F265" i="14"/>
  <c r="E265" i="14" s="1"/>
  <c r="R265" i="14"/>
  <c r="R335" i="14"/>
  <c r="F335" i="14"/>
  <c r="E335" i="14" s="1"/>
  <c r="R262" i="14"/>
  <c r="F262" i="14"/>
  <c r="E262" i="14" s="1"/>
  <c r="M181" i="14"/>
  <c r="I82" i="14"/>
  <c r="M273" i="14"/>
  <c r="T82" i="14"/>
  <c r="M180" i="14"/>
  <c r="M274" i="14"/>
  <c r="F278" i="14"/>
  <c r="E278" i="14" s="1"/>
  <c r="R278" i="14"/>
  <c r="F274" i="14"/>
  <c r="E274" i="14" s="1"/>
  <c r="R274" i="14"/>
  <c r="R183" i="14"/>
  <c r="F183" i="14"/>
  <c r="E183" i="14" s="1"/>
  <c r="F192" i="14"/>
  <c r="E192" i="14" s="1"/>
  <c r="R192" i="14"/>
  <c r="F279" i="14"/>
  <c r="E279" i="14" s="1"/>
  <c r="R279" i="14"/>
  <c r="G46" i="27"/>
  <c r="G45" i="27"/>
  <c r="M369" i="14"/>
  <c r="AM8" i="8"/>
  <c r="E44" i="9"/>
  <c r="E46" i="9"/>
  <c r="G46" i="9" s="1"/>
  <c r="AR20" i="10"/>
  <c r="AR19" i="10"/>
  <c r="AN24" i="8"/>
  <c r="R11" i="3"/>
  <c r="S11" i="3"/>
  <c r="AG72" i="9"/>
  <c r="AI64" i="9"/>
  <c r="AA64" i="9"/>
  <c r="F46" i="7"/>
  <c r="F47" i="7"/>
  <c r="J197" i="14"/>
  <c r="S5" i="14"/>
  <c r="T5" i="14"/>
  <c r="I197" i="14"/>
  <c r="S197" i="14" s="1"/>
  <c r="I284" i="14"/>
  <c r="S284" i="14" s="1"/>
  <c r="I359" i="14"/>
  <c r="S359" i="14" s="1"/>
  <c r="I104" i="14"/>
  <c r="S104" i="14" s="1"/>
  <c r="D28" i="7"/>
  <c r="D35" i="7"/>
  <c r="D25" i="7"/>
  <c r="D34" i="7"/>
  <c r="D27" i="7"/>
  <c r="D20" i="7"/>
  <c r="D33" i="7"/>
  <c r="D30" i="7"/>
  <c r="D26" i="7"/>
  <c r="D32" i="7"/>
  <c r="D29" i="7"/>
  <c r="D31" i="7"/>
  <c r="D37" i="7" s="1"/>
  <c r="AF62" i="7"/>
  <c r="X62" i="7"/>
  <c r="AF70" i="7"/>
  <c r="X70" i="7"/>
  <c r="R17" i="2"/>
  <c r="H2" i="3"/>
  <c r="H37" i="3" s="1"/>
  <c r="R37" i="3" s="1"/>
  <c r="S17" i="2"/>
  <c r="H26" i="5"/>
  <c r="R26" i="5" s="1"/>
  <c r="H34" i="5"/>
  <c r="R34" i="5" s="1"/>
  <c r="H27" i="5"/>
  <c r="H28" i="5"/>
  <c r="R28" i="5" s="1"/>
  <c r="H31" i="5"/>
  <c r="H25" i="5"/>
  <c r="R25" i="5" s="1"/>
  <c r="H30" i="5"/>
  <c r="R30" i="5" s="1"/>
  <c r="H33" i="5"/>
  <c r="R33" i="5" s="1"/>
  <c r="H24" i="5"/>
  <c r="R24" i="5" s="1"/>
  <c r="R9" i="5"/>
  <c r="H29" i="5"/>
  <c r="R29" i="5" s="1"/>
  <c r="H32" i="5"/>
  <c r="R32" i="5" s="1"/>
  <c r="H35" i="5"/>
  <c r="R35" i="5" s="1"/>
  <c r="H20" i="5"/>
  <c r="H21" i="5" s="1"/>
  <c r="Q37" i="7"/>
  <c r="AF54" i="7"/>
  <c r="X54" i="7"/>
  <c r="D27" i="8"/>
  <c r="AD76" i="8"/>
  <c r="AG76" i="11"/>
  <c r="S28" i="3"/>
  <c r="X52" i="8"/>
  <c r="AF52" i="8"/>
  <c r="AN20" i="8"/>
  <c r="AN21" i="8"/>
  <c r="D34" i="10"/>
  <c r="D29" i="10"/>
  <c r="D27" i="10"/>
  <c r="D35" i="10"/>
  <c r="D30" i="10"/>
  <c r="D32" i="10"/>
  <c r="D33" i="10"/>
  <c r="D28" i="10"/>
  <c r="D31" i="10"/>
  <c r="D37" i="10" s="1"/>
  <c r="G47" i="18"/>
  <c r="H45" i="18" s="1"/>
  <c r="H50" i="18" s="1"/>
  <c r="G50" i="18"/>
  <c r="H35" i="2"/>
  <c r="D20" i="10"/>
  <c r="H26" i="3"/>
  <c r="S25" i="3"/>
  <c r="R25" i="3"/>
  <c r="S30" i="2"/>
  <c r="S25" i="2"/>
  <c r="S24" i="2"/>
  <c r="G60" i="10"/>
  <c r="G57" i="10"/>
  <c r="H60" i="10" s="1"/>
  <c r="D35" i="11"/>
  <c r="D20" i="11"/>
  <c r="D28" i="11"/>
  <c r="D32" i="11"/>
  <c r="D29" i="11"/>
  <c r="D34" i="11"/>
  <c r="D30" i="11"/>
  <c r="AA48" i="9"/>
  <c r="AN11" i="18"/>
  <c r="AP11" i="18" s="1"/>
  <c r="AR11" i="18" s="1"/>
  <c r="T21" i="18"/>
  <c r="F231" i="14"/>
  <c r="E231" i="14" s="1"/>
  <c r="R231" i="14"/>
  <c r="F305" i="14"/>
  <c r="E305" i="14" s="1"/>
  <c r="R305" i="14"/>
  <c r="R319" i="14"/>
  <c r="F319" i="14"/>
  <c r="E319" i="14" s="1"/>
  <c r="R214" i="14"/>
  <c r="F214" i="14"/>
  <c r="E214" i="14" s="1"/>
  <c r="R392" i="14"/>
  <c r="F392" i="14"/>
  <c r="E392" i="14" s="1"/>
  <c r="L38" i="36"/>
  <c r="V37" i="36"/>
  <c r="I35" i="12"/>
  <c r="I31" i="12"/>
  <c r="I37" i="12" s="1"/>
  <c r="S26" i="1"/>
  <c r="R26" i="1"/>
  <c r="D30" i="35"/>
  <c r="D34" i="35"/>
  <c r="D35" i="35"/>
  <c r="D32" i="35"/>
  <c r="D20" i="35"/>
  <c r="D21" i="35" s="1"/>
  <c r="AI48" i="18"/>
  <c r="AC76" i="18"/>
  <c r="AI76" i="18" s="1"/>
  <c r="AC72" i="18"/>
  <c r="R34" i="1"/>
  <c r="S34" i="1"/>
  <c r="R28" i="1"/>
  <c r="S28" i="1"/>
  <c r="Z78" i="5"/>
  <c r="AF76" i="5"/>
  <c r="AQ23" i="11"/>
  <c r="AO26" i="11"/>
  <c r="AQ9" i="18"/>
  <c r="G46" i="31"/>
  <c r="R317" i="14"/>
  <c r="F317" i="14"/>
  <c r="E317" i="14" s="1"/>
  <c r="R230" i="14"/>
  <c r="F230" i="14"/>
  <c r="E230" i="14" s="1"/>
  <c r="S29" i="5"/>
  <c r="F225" i="14"/>
  <c r="E225" i="14" s="1"/>
  <c r="R225" i="14"/>
  <c r="F310" i="14"/>
  <c r="E310" i="14" s="1"/>
  <c r="R310" i="14"/>
  <c r="F223" i="14"/>
  <c r="E223" i="14" s="1"/>
  <c r="R223" i="14"/>
  <c r="F127" i="14"/>
  <c r="E127" i="14" s="1"/>
  <c r="R127" i="14"/>
  <c r="R122" i="14"/>
  <c r="F122" i="14"/>
  <c r="E122" i="14" s="1"/>
  <c r="S25" i="5"/>
  <c r="S34" i="5"/>
  <c r="AE76" i="5"/>
  <c r="W78" i="5"/>
  <c r="AE78" i="5" s="1"/>
  <c r="Z76" i="29"/>
  <c r="AH76" i="29" s="1"/>
  <c r="H37" i="29"/>
  <c r="H32" i="23"/>
  <c r="D61" i="13"/>
  <c r="V27" i="35"/>
  <c r="V35" i="40"/>
  <c r="V25" i="40"/>
  <c r="V24" i="40"/>
  <c r="V33" i="40"/>
  <c r="U20" i="40"/>
  <c r="V31" i="40"/>
  <c r="V26" i="40"/>
  <c r="H21" i="40"/>
  <c r="U21" i="40" s="1"/>
  <c r="H37" i="40"/>
  <c r="V37" i="40" s="1"/>
  <c r="V27" i="40"/>
  <c r="V29" i="40"/>
  <c r="N36" i="40"/>
  <c r="H36" i="40"/>
  <c r="U36" i="40" s="1"/>
  <c r="V34" i="40"/>
  <c r="V30" i="40"/>
  <c r="V32" i="40"/>
  <c r="V28" i="40"/>
  <c r="V28" i="39"/>
  <c r="V27" i="39"/>
  <c r="V30" i="39"/>
  <c r="V24" i="39"/>
  <c r="H36" i="39"/>
  <c r="V36" i="39" s="1"/>
  <c r="U29" i="39"/>
  <c r="V33" i="39"/>
  <c r="V32" i="38"/>
  <c r="U32" i="38"/>
  <c r="U34" i="38"/>
  <c r="V34" i="38"/>
  <c r="U26" i="38"/>
  <c r="V26" i="38"/>
  <c r="V30" i="38"/>
  <c r="U30" i="38"/>
  <c r="V36" i="38"/>
  <c r="V29" i="38"/>
  <c r="H38" i="38"/>
  <c r="U38" i="38" s="1"/>
  <c r="U37" i="38"/>
  <c r="V37" i="38"/>
  <c r="V34" i="39"/>
  <c r="U31" i="39"/>
  <c r="H37" i="39"/>
  <c r="V37" i="39" s="1"/>
  <c r="V25" i="39"/>
  <c r="L38" i="39"/>
  <c r="V20" i="39"/>
  <c r="L21" i="39"/>
  <c r="V35" i="39"/>
  <c r="U35" i="39"/>
  <c r="V23" i="39"/>
  <c r="V32" i="39"/>
  <c r="U20" i="39"/>
  <c r="H21" i="39"/>
  <c r="U21" i="39" s="1"/>
  <c r="V31" i="39"/>
  <c r="F364" i="14" l="1"/>
  <c r="E364" i="14" s="1"/>
  <c r="R364" i="14"/>
  <c r="AA64" i="10"/>
  <c r="AI64" i="10"/>
  <c r="AH64" i="10"/>
  <c r="F376" i="14"/>
  <c r="E376" i="14" s="1"/>
  <c r="R376" i="14"/>
  <c r="S38" i="14"/>
  <c r="T38" i="14"/>
  <c r="AE62" i="8"/>
  <c r="AF62" i="8"/>
  <c r="X62" i="8"/>
  <c r="S24" i="6"/>
  <c r="R24" i="6"/>
  <c r="U29" i="35"/>
  <c r="V29" i="35"/>
  <c r="R26" i="7"/>
  <c r="S26" i="7"/>
  <c r="U31" i="18"/>
  <c r="V31" i="18"/>
  <c r="AA64" i="18"/>
  <c r="AH64" i="18"/>
  <c r="AI64" i="18"/>
  <c r="H34" i="18"/>
  <c r="U34" i="18" s="1"/>
  <c r="U24" i="11"/>
  <c r="V24" i="11"/>
  <c r="V23" i="12"/>
  <c r="AQ22" i="29"/>
  <c r="AQ21" i="23"/>
  <c r="AQ22" i="23"/>
  <c r="AQ10" i="18"/>
  <c r="AO13" i="18"/>
  <c r="AA54" i="34"/>
  <c r="AH54" i="34"/>
  <c r="AI54" i="34"/>
  <c r="F202" i="14"/>
  <c r="E202" i="14" s="1"/>
  <c r="AE48" i="8"/>
  <c r="AF48" i="8"/>
  <c r="X48" i="8"/>
  <c r="F112" i="14"/>
  <c r="E112" i="14" s="1"/>
  <c r="R25" i="6"/>
  <c r="S25" i="6"/>
  <c r="V26" i="35"/>
  <c r="R107" i="14"/>
  <c r="AE48" i="7"/>
  <c r="X48" i="7"/>
  <c r="AF48" i="7"/>
  <c r="AQ11" i="18"/>
  <c r="U30" i="18"/>
  <c r="V30" i="18"/>
  <c r="AP13" i="9"/>
  <c r="AR5" i="9"/>
  <c r="AH48" i="12"/>
  <c r="AA48" i="12"/>
  <c r="AI48" i="12"/>
  <c r="AA50" i="11"/>
  <c r="AH50" i="11"/>
  <c r="R126" i="14"/>
  <c r="F126" i="14"/>
  <c r="E126" i="14" s="1"/>
  <c r="AO19" i="8"/>
  <c r="AM26" i="8"/>
  <c r="R23" i="8"/>
  <c r="S23" i="8"/>
  <c r="T52" i="14"/>
  <c r="R23" i="7"/>
  <c r="S23" i="7"/>
  <c r="U29" i="18"/>
  <c r="V29" i="18"/>
  <c r="I375" i="14"/>
  <c r="S375" i="14" s="1"/>
  <c r="H33" i="12"/>
  <c r="H35" i="18"/>
  <c r="U35" i="18" s="1"/>
  <c r="V35" i="20"/>
  <c r="AQ21" i="24"/>
  <c r="AQ22" i="24"/>
  <c r="F77" i="20"/>
  <c r="F76" i="20" s="1"/>
  <c r="F77" i="12"/>
  <c r="F76" i="12" s="1"/>
  <c r="F77" i="18"/>
  <c r="F76" i="18" s="1"/>
  <c r="F77" i="24"/>
  <c r="F76" i="24" s="1"/>
  <c r="U27" i="10"/>
  <c r="G77" i="11"/>
  <c r="G76" i="11" s="1"/>
  <c r="F77" i="23"/>
  <c r="F76" i="23" s="1"/>
  <c r="F77" i="29"/>
  <c r="F76" i="29" s="1"/>
  <c r="H77" i="10"/>
  <c r="H76" i="10" s="1"/>
  <c r="F77" i="27"/>
  <c r="F76" i="27" s="1"/>
  <c r="F77" i="31"/>
  <c r="F76" i="31" s="1"/>
  <c r="V27" i="10"/>
  <c r="F77" i="34"/>
  <c r="F76" i="34" s="1"/>
  <c r="R30" i="6"/>
  <c r="S30" i="6"/>
  <c r="S25" i="7"/>
  <c r="R25" i="7"/>
  <c r="F198" i="14"/>
  <c r="E198" i="14" s="1"/>
  <c r="U28" i="18"/>
  <c r="V28" i="18"/>
  <c r="T31" i="14"/>
  <c r="S31" i="14"/>
  <c r="H32" i="12"/>
  <c r="T62" i="14"/>
  <c r="S62" i="14"/>
  <c r="U25" i="10"/>
  <c r="V25" i="10"/>
  <c r="T34" i="14"/>
  <c r="AH58" i="18"/>
  <c r="AA58" i="18"/>
  <c r="G67" i="29"/>
  <c r="H70" i="29" s="1"/>
  <c r="F70" i="29"/>
  <c r="V26" i="9"/>
  <c r="U26" i="9"/>
  <c r="S55" i="14"/>
  <c r="T55" i="14"/>
  <c r="V23" i="10"/>
  <c r="U23" i="10"/>
  <c r="AA60" i="18"/>
  <c r="AH60" i="18"/>
  <c r="R288" i="14"/>
  <c r="G57" i="20"/>
  <c r="H60" i="20" s="1"/>
  <c r="F60" i="20"/>
  <c r="S28" i="6"/>
  <c r="R28" i="6"/>
  <c r="AI60" i="18"/>
  <c r="I295" i="14"/>
  <c r="S295" i="14" s="1"/>
  <c r="H28" i="12"/>
  <c r="V31" i="20"/>
  <c r="AQ21" i="20"/>
  <c r="AQ22" i="20"/>
  <c r="U25" i="9"/>
  <c r="V25" i="9"/>
  <c r="T44" i="14"/>
  <c r="S44" i="14"/>
  <c r="U26" i="10"/>
  <c r="V26" i="10"/>
  <c r="Q20" i="2"/>
  <c r="C21" i="2"/>
  <c r="AQ10" i="24"/>
  <c r="AO13" i="24"/>
  <c r="AQ11" i="24"/>
  <c r="S35" i="6"/>
  <c r="R35" i="6"/>
  <c r="S23" i="5"/>
  <c r="R23" i="5"/>
  <c r="AR10" i="23"/>
  <c r="AR11" i="23"/>
  <c r="AP13" i="23"/>
  <c r="S46" i="14"/>
  <c r="T46" i="14"/>
  <c r="V32" i="31"/>
  <c r="H20" i="12"/>
  <c r="X54" i="8"/>
  <c r="AE54" i="8"/>
  <c r="AQ21" i="12"/>
  <c r="AQ22" i="12"/>
  <c r="U24" i="9"/>
  <c r="V24" i="9"/>
  <c r="AA50" i="29"/>
  <c r="AH50" i="29"/>
  <c r="V7" i="23"/>
  <c r="R29" i="6"/>
  <c r="S29" i="6"/>
  <c r="AO13" i="23"/>
  <c r="AQ11" i="23"/>
  <c r="AQ10" i="23"/>
  <c r="S77" i="14"/>
  <c r="T77" i="14"/>
  <c r="T95" i="14"/>
  <c r="S95" i="14"/>
  <c r="H34" i="12"/>
  <c r="S60" i="14"/>
  <c r="T60" i="14"/>
  <c r="T30" i="14"/>
  <c r="S30" i="14"/>
  <c r="T40" i="14"/>
  <c r="S40" i="14"/>
  <c r="AA48" i="10"/>
  <c r="AH48" i="10"/>
  <c r="T6" i="14"/>
  <c r="H30" i="12"/>
  <c r="I347" i="14"/>
  <c r="S347" i="14" s="1"/>
  <c r="I172" i="14"/>
  <c r="S172" i="14" s="1"/>
  <c r="AQ21" i="31"/>
  <c r="AQ22" i="31"/>
  <c r="AH58" i="11"/>
  <c r="AI58" i="11"/>
  <c r="AA58" i="11"/>
  <c r="AH62" i="10"/>
  <c r="AA62" i="10"/>
  <c r="AI62" i="10"/>
  <c r="F217" i="14"/>
  <c r="E217" i="14" s="1"/>
  <c r="R31" i="6"/>
  <c r="S31" i="6"/>
  <c r="F219" i="14"/>
  <c r="E219" i="14" s="1"/>
  <c r="D104" i="14"/>
  <c r="D197" i="14"/>
  <c r="R5" i="14"/>
  <c r="F5" i="14"/>
  <c r="E5" i="14" s="1"/>
  <c r="D284" i="14"/>
  <c r="D359" i="14"/>
  <c r="R382" i="14"/>
  <c r="F382" i="14"/>
  <c r="E382" i="14" s="1"/>
  <c r="S51" i="14"/>
  <c r="T51" i="14"/>
  <c r="U24" i="10"/>
  <c r="V24" i="10"/>
  <c r="R26" i="6"/>
  <c r="S26" i="6"/>
  <c r="AI50" i="29"/>
  <c r="AE56" i="8"/>
  <c r="X56" i="8"/>
  <c r="AF56" i="8"/>
  <c r="I304" i="14"/>
  <c r="S304" i="14" s="1"/>
  <c r="S87" i="14"/>
  <c r="T87" i="14"/>
  <c r="AQ23" i="10"/>
  <c r="AQ24" i="10"/>
  <c r="T93" i="14"/>
  <c r="S93" i="14"/>
  <c r="V28" i="35"/>
  <c r="AE60" i="8"/>
  <c r="X60" i="8"/>
  <c r="R20" i="14"/>
  <c r="D206" i="14"/>
  <c r="D212" i="14"/>
  <c r="D207" i="14"/>
  <c r="D116" i="14"/>
  <c r="D209" i="14"/>
  <c r="D119" i="14"/>
  <c r="F20" i="14"/>
  <c r="E20" i="14" s="1"/>
  <c r="D372" i="14"/>
  <c r="D368" i="14"/>
  <c r="D369" i="14"/>
  <c r="D299" i="14"/>
  <c r="D285" i="14"/>
  <c r="D210" i="14"/>
  <c r="D287" i="14"/>
  <c r="D363" i="14"/>
  <c r="D289" i="14"/>
  <c r="D296" i="14"/>
  <c r="D208" i="14"/>
  <c r="D291" i="14"/>
  <c r="D371" i="14"/>
  <c r="D373" i="14"/>
  <c r="D295" i="14"/>
  <c r="D293" i="14"/>
  <c r="D294" i="14"/>
  <c r="D360" i="14"/>
  <c r="D286" i="14"/>
  <c r="D297" i="14"/>
  <c r="D374" i="14"/>
  <c r="D201" i="14"/>
  <c r="D370" i="14"/>
  <c r="D117" i="14"/>
  <c r="D298" i="14"/>
  <c r="D366" i="14"/>
  <c r="D365" i="14"/>
  <c r="D118" i="14"/>
  <c r="D290" i="14"/>
  <c r="D203" i="14"/>
  <c r="D211" i="14"/>
  <c r="D292" i="14"/>
  <c r="D362" i="14"/>
  <c r="D114" i="14"/>
  <c r="D115" i="14"/>
  <c r="D361" i="14"/>
  <c r="U19" i="18"/>
  <c r="Z70" i="18"/>
  <c r="S32" i="6"/>
  <c r="R32" i="6"/>
  <c r="X56" i="6"/>
  <c r="X76" i="6" s="1"/>
  <c r="AE56" i="6"/>
  <c r="AF56" i="6"/>
  <c r="X62" i="6"/>
  <c r="AE62" i="6"/>
  <c r="AI50" i="11"/>
  <c r="AA60" i="23"/>
  <c r="AI60" i="23"/>
  <c r="AH60" i="23"/>
  <c r="C44" i="13"/>
  <c r="D47" i="13"/>
  <c r="D49" i="13"/>
  <c r="C61" i="13" s="1"/>
  <c r="D50" i="13"/>
  <c r="D51" i="13" s="1"/>
  <c r="G57" i="27"/>
  <c r="H60" i="27" s="1"/>
  <c r="F60" i="27"/>
  <c r="R33" i="6"/>
  <c r="S33" i="6"/>
  <c r="AA52" i="29"/>
  <c r="AH52" i="29"/>
  <c r="AI52" i="29"/>
  <c r="V7" i="24"/>
  <c r="V25" i="35"/>
  <c r="G45" i="23"/>
  <c r="G46" i="23"/>
  <c r="H37" i="4"/>
  <c r="H38" i="4" s="1"/>
  <c r="I108" i="14"/>
  <c r="S108" i="14" s="1"/>
  <c r="F367" i="14"/>
  <c r="E367" i="14" s="1"/>
  <c r="R380" i="14"/>
  <c r="F380" i="14"/>
  <c r="E380" i="14" s="1"/>
  <c r="T36" i="14"/>
  <c r="S36" i="14"/>
  <c r="Z48" i="24"/>
  <c r="U8" i="24"/>
  <c r="V8" i="24"/>
  <c r="H23" i="24"/>
  <c r="H30" i="24"/>
  <c r="H24" i="24"/>
  <c r="H27" i="24"/>
  <c r="H28" i="24"/>
  <c r="H29" i="24"/>
  <c r="H26" i="24"/>
  <c r="H25" i="24"/>
  <c r="S23" i="6"/>
  <c r="R23" i="6"/>
  <c r="F123" i="14"/>
  <c r="E123" i="14" s="1"/>
  <c r="H9" i="27"/>
  <c r="I27" i="27"/>
  <c r="I28" i="27"/>
  <c r="I31" i="27"/>
  <c r="I37" i="27" s="1"/>
  <c r="I29" i="27"/>
  <c r="I34" i="27"/>
  <c r="I26" i="27"/>
  <c r="I35" i="27"/>
  <c r="I36" i="27" s="1"/>
  <c r="I25" i="27"/>
  <c r="I30" i="27"/>
  <c r="I33" i="27"/>
  <c r="I32" i="27"/>
  <c r="I20" i="27"/>
  <c r="I24" i="27"/>
  <c r="V30" i="32"/>
  <c r="AQ21" i="18"/>
  <c r="AQ22" i="18"/>
  <c r="AH62" i="9"/>
  <c r="AI62" i="9"/>
  <c r="AA62" i="9"/>
  <c r="AF52" i="6"/>
  <c r="C77" i="11"/>
  <c r="C76" i="11" s="1"/>
  <c r="R27" i="6"/>
  <c r="S27" i="6"/>
  <c r="D77" i="10"/>
  <c r="D76" i="10" s="1"/>
  <c r="E77" i="9"/>
  <c r="E76" i="9" s="1"/>
  <c r="F77" i="8"/>
  <c r="F76" i="8" s="1"/>
  <c r="S24" i="7"/>
  <c r="R24" i="7"/>
  <c r="U34" i="35"/>
  <c r="V34" i="35"/>
  <c r="AQ22" i="27"/>
  <c r="U21" i="36"/>
  <c r="V21" i="36"/>
  <c r="F124" i="14"/>
  <c r="E124" i="14" s="1"/>
  <c r="F204" i="14"/>
  <c r="E204" i="14" s="1"/>
  <c r="AQ19" i="10"/>
  <c r="V34" i="32"/>
  <c r="D205" i="14"/>
  <c r="AF54" i="8"/>
  <c r="AE68" i="8"/>
  <c r="X68" i="8"/>
  <c r="AF68" i="8"/>
  <c r="X68" i="6"/>
  <c r="AE68" i="6"/>
  <c r="V29" i="32"/>
  <c r="T72" i="14"/>
  <c r="S72" i="14"/>
  <c r="AH68" i="10"/>
  <c r="AA68" i="10"/>
  <c r="AI68" i="10"/>
  <c r="D79" i="9"/>
  <c r="E79" i="8"/>
  <c r="C79" i="10"/>
  <c r="AK4" i="11"/>
  <c r="AK6" i="9"/>
  <c r="AO6" i="9" s="1"/>
  <c r="R21" i="5"/>
  <c r="AK5" i="10"/>
  <c r="AO5" i="10" s="1"/>
  <c r="AH8" i="8"/>
  <c r="AL8" i="8" s="1"/>
  <c r="R38" i="4"/>
  <c r="S38" i="4"/>
  <c r="H78" i="18"/>
  <c r="U20" i="18"/>
  <c r="U37" i="37"/>
  <c r="H38" i="37"/>
  <c r="V37" i="37"/>
  <c r="R31" i="5"/>
  <c r="H37" i="5"/>
  <c r="G45" i="7"/>
  <c r="G46" i="7"/>
  <c r="AO9" i="8"/>
  <c r="AO8" i="8"/>
  <c r="T45" i="14"/>
  <c r="I316" i="14"/>
  <c r="S316" i="14" s="1"/>
  <c r="I314" i="14"/>
  <c r="S314" i="14" s="1"/>
  <c r="I135" i="14"/>
  <c r="S135" i="14" s="1"/>
  <c r="I390" i="14"/>
  <c r="S390" i="14" s="1"/>
  <c r="I391" i="14"/>
  <c r="S391" i="14" s="1"/>
  <c r="I226" i="14"/>
  <c r="S226" i="14" s="1"/>
  <c r="I229" i="14"/>
  <c r="S229" i="14" s="1"/>
  <c r="I315" i="14"/>
  <c r="I134" i="14"/>
  <c r="S134" i="14" s="1"/>
  <c r="I228" i="14"/>
  <c r="S228" i="14" s="1"/>
  <c r="I388" i="14"/>
  <c r="S388" i="14" s="1"/>
  <c r="S37" i="14"/>
  <c r="I389" i="14"/>
  <c r="S389" i="14" s="1"/>
  <c r="I136" i="14"/>
  <c r="S136" i="14" s="1"/>
  <c r="I227" i="14"/>
  <c r="S227" i="14" s="1"/>
  <c r="I133" i="14"/>
  <c r="S133" i="14" s="1"/>
  <c r="I313" i="14"/>
  <c r="S313" i="14" s="1"/>
  <c r="T304" i="14"/>
  <c r="D33" i="18"/>
  <c r="D35" i="18"/>
  <c r="D20" i="18"/>
  <c r="D34" i="18"/>
  <c r="D2" i="20"/>
  <c r="D37" i="20" s="1"/>
  <c r="G45" i="29"/>
  <c r="G46" i="29"/>
  <c r="G78" i="29"/>
  <c r="U20" i="11"/>
  <c r="G78" i="24"/>
  <c r="H78" i="11"/>
  <c r="V20" i="11"/>
  <c r="G78" i="34"/>
  <c r="G78" i="23"/>
  <c r="G78" i="12"/>
  <c r="G78" i="20"/>
  <c r="G78" i="18"/>
  <c r="G78" i="31"/>
  <c r="G78" i="27"/>
  <c r="U30" i="11"/>
  <c r="V30" i="11"/>
  <c r="E78" i="9"/>
  <c r="S20" i="6"/>
  <c r="R20" i="6"/>
  <c r="C78" i="11"/>
  <c r="F78" i="8"/>
  <c r="D78" i="10"/>
  <c r="X70" i="6"/>
  <c r="AE70" i="6"/>
  <c r="W72" i="6"/>
  <c r="AE72" i="6" s="1"/>
  <c r="AF70" i="6"/>
  <c r="AQ19" i="11"/>
  <c r="AQ20" i="11"/>
  <c r="R35" i="7"/>
  <c r="S35" i="7"/>
  <c r="V34" i="31"/>
  <c r="U34" i="31"/>
  <c r="V23" i="31"/>
  <c r="U23" i="31"/>
  <c r="U24" i="31"/>
  <c r="V24" i="31"/>
  <c r="AH68" i="23"/>
  <c r="AA68" i="23"/>
  <c r="AI68" i="23"/>
  <c r="S35" i="5"/>
  <c r="S37" i="3"/>
  <c r="R20" i="2"/>
  <c r="H21" i="2"/>
  <c r="S90" i="14"/>
  <c r="I281" i="14"/>
  <c r="S281" i="14" s="1"/>
  <c r="I189" i="14"/>
  <c r="S189" i="14" s="1"/>
  <c r="I188" i="14"/>
  <c r="S188" i="14" s="1"/>
  <c r="T108" i="14"/>
  <c r="I192" i="14"/>
  <c r="S192" i="14" s="1"/>
  <c r="I193" i="14"/>
  <c r="S193" i="14" s="1"/>
  <c r="S94" i="14"/>
  <c r="S20" i="5"/>
  <c r="R37" i="1"/>
  <c r="H38" i="1"/>
  <c r="S37" i="1"/>
  <c r="V26" i="12"/>
  <c r="U26" i="12"/>
  <c r="V30" i="12"/>
  <c r="U30" i="12"/>
  <c r="V24" i="12"/>
  <c r="U24" i="12"/>
  <c r="S33" i="3"/>
  <c r="R33" i="3"/>
  <c r="R30" i="4"/>
  <c r="S30" i="4"/>
  <c r="R33" i="4"/>
  <c r="S33" i="4"/>
  <c r="S28" i="4"/>
  <c r="R28" i="4"/>
  <c r="AN23" i="8"/>
  <c r="G45" i="8"/>
  <c r="G46" i="8"/>
  <c r="T347" i="14"/>
  <c r="S41" i="14"/>
  <c r="I233" i="14"/>
  <c r="S233" i="14" s="1"/>
  <c r="I320" i="14"/>
  <c r="S320" i="14" s="1"/>
  <c r="I138" i="14"/>
  <c r="S138" i="14" s="1"/>
  <c r="I393" i="14"/>
  <c r="S393" i="14" s="1"/>
  <c r="I232" i="14"/>
  <c r="S232" i="14" s="1"/>
  <c r="I230" i="14"/>
  <c r="S230" i="14" s="1"/>
  <c r="I395" i="14"/>
  <c r="S395" i="14" s="1"/>
  <c r="I231" i="14"/>
  <c r="S231" i="14" s="1"/>
  <c r="I318" i="14"/>
  <c r="S318" i="14" s="1"/>
  <c r="I394" i="14"/>
  <c r="S394" i="14" s="1"/>
  <c r="I140" i="14"/>
  <c r="S140" i="14" s="1"/>
  <c r="I139" i="14"/>
  <c r="S139" i="14" s="1"/>
  <c r="I392" i="14"/>
  <c r="S392" i="14" s="1"/>
  <c r="I319" i="14"/>
  <c r="S319" i="14" s="1"/>
  <c r="I137" i="14"/>
  <c r="S137" i="14" s="1"/>
  <c r="I317" i="14"/>
  <c r="S317" i="14" s="1"/>
  <c r="T393" i="14"/>
  <c r="I207" i="14"/>
  <c r="S207" i="14" s="1"/>
  <c r="T15" i="14"/>
  <c r="I114" i="14"/>
  <c r="S114" i="14" s="1"/>
  <c r="I369" i="14"/>
  <c r="S369" i="14" s="1"/>
  <c r="S15" i="14"/>
  <c r="I294" i="14"/>
  <c r="S294" i="14" s="1"/>
  <c r="I368" i="14"/>
  <c r="S368" i="14" s="1"/>
  <c r="S14" i="14"/>
  <c r="I293" i="14"/>
  <c r="S293" i="14" s="1"/>
  <c r="I206" i="14"/>
  <c r="S206" i="14" s="1"/>
  <c r="I113" i="14"/>
  <c r="T14" i="14"/>
  <c r="B285" i="14"/>
  <c r="B284" i="14"/>
  <c r="T284" i="14"/>
  <c r="I191" i="14"/>
  <c r="S191" i="14" s="1"/>
  <c r="S92" i="14"/>
  <c r="I349" i="14"/>
  <c r="S349" i="14" s="1"/>
  <c r="I260" i="14"/>
  <c r="S260" i="14" s="1"/>
  <c r="I351" i="14"/>
  <c r="S351" i="14" s="1"/>
  <c r="H33" i="18"/>
  <c r="U33" i="18" s="1"/>
  <c r="H2" i="20"/>
  <c r="S20" i="2"/>
  <c r="R34" i="3"/>
  <c r="S34" i="3"/>
  <c r="R35" i="3"/>
  <c r="S35" i="3"/>
  <c r="AN13" i="11"/>
  <c r="AP4" i="11"/>
  <c r="R35" i="4"/>
  <c r="S35" i="4"/>
  <c r="I175" i="14"/>
  <c r="S175" i="14" s="1"/>
  <c r="I355" i="14"/>
  <c r="S355" i="14" s="1"/>
  <c r="I266" i="14"/>
  <c r="S266" i="14" s="1"/>
  <c r="I174" i="14"/>
  <c r="S174" i="14" s="1"/>
  <c r="I354" i="14"/>
  <c r="S354" i="14" s="1"/>
  <c r="I268" i="14"/>
  <c r="S268" i="14" s="1"/>
  <c r="I267" i="14"/>
  <c r="S267" i="14" s="1"/>
  <c r="S76" i="14"/>
  <c r="I173" i="14"/>
  <c r="S173" i="14" s="1"/>
  <c r="I353" i="14"/>
  <c r="S353" i="14" s="1"/>
  <c r="T76" i="14"/>
  <c r="T171" i="14"/>
  <c r="T168" i="14"/>
  <c r="T351" i="14"/>
  <c r="S84" i="14"/>
  <c r="I183" i="14"/>
  <c r="S183" i="14" s="1"/>
  <c r="I276" i="14"/>
  <c r="S276" i="14" s="1"/>
  <c r="U25" i="20"/>
  <c r="V25" i="20"/>
  <c r="U34" i="20"/>
  <c r="V34" i="20"/>
  <c r="Z72" i="20"/>
  <c r="AH72" i="20" s="1"/>
  <c r="AA48" i="20"/>
  <c r="AH48" i="20"/>
  <c r="AI48" i="20"/>
  <c r="R34" i="8"/>
  <c r="S34" i="8"/>
  <c r="R30" i="8"/>
  <c r="S30" i="8"/>
  <c r="AE50" i="8"/>
  <c r="W76" i="8"/>
  <c r="AE76" i="8" s="1"/>
  <c r="X50" i="8"/>
  <c r="W72" i="8"/>
  <c r="AE72" i="8" s="1"/>
  <c r="R24" i="8"/>
  <c r="S24" i="8"/>
  <c r="H37" i="11"/>
  <c r="Z76" i="11"/>
  <c r="AH76" i="11" s="1"/>
  <c r="R31" i="7"/>
  <c r="S31" i="7"/>
  <c r="R28" i="7"/>
  <c r="S28" i="7"/>
  <c r="AE56" i="7"/>
  <c r="X56" i="7"/>
  <c r="AF56" i="7"/>
  <c r="W72" i="7"/>
  <c r="U8" i="34"/>
  <c r="H24" i="34"/>
  <c r="H28" i="34"/>
  <c r="H32" i="34"/>
  <c r="H23" i="34"/>
  <c r="H29" i="34"/>
  <c r="H34" i="34"/>
  <c r="H33" i="34"/>
  <c r="H25" i="34"/>
  <c r="H30" i="34"/>
  <c r="Z48" i="34"/>
  <c r="H20" i="34"/>
  <c r="H31" i="34"/>
  <c r="H26" i="34"/>
  <c r="V8" i="34"/>
  <c r="H27" i="34"/>
  <c r="AC76" i="20"/>
  <c r="L37" i="20"/>
  <c r="V33" i="18"/>
  <c r="U23" i="29"/>
  <c r="V23" i="29"/>
  <c r="I288" i="14"/>
  <c r="S288" i="14" s="1"/>
  <c r="T208" i="14"/>
  <c r="U25" i="37"/>
  <c r="V25" i="37"/>
  <c r="H21" i="37"/>
  <c r="U20" i="37"/>
  <c r="V20" i="37"/>
  <c r="U32" i="37"/>
  <c r="V32" i="37"/>
  <c r="X72" i="6"/>
  <c r="AK26" i="27"/>
  <c r="AO23" i="27"/>
  <c r="AO23" i="29"/>
  <c r="AK26" i="29"/>
  <c r="V26" i="31"/>
  <c r="AH60" i="11"/>
  <c r="AA60" i="11"/>
  <c r="AI60" i="11"/>
  <c r="AA58" i="34"/>
  <c r="AH58" i="34"/>
  <c r="AI58" i="34"/>
  <c r="F78" i="23"/>
  <c r="G78" i="11"/>
  <c r="F78" i="18"/>
  <c r="U20" i="10"/>
  <c r="F78" i="34"/>
  <c r="F78" i="27"/>
  <c r="F78" i="12"/>
  <c r="F78" i="24"/>
  <c r="F78" i="31"/>
  <c r="V20" i="10"/>
  <c r="F78" i="29"/>
  <c r="F78" i="20"/>
  <c r="H78" i="10"/>
  <c r="U33" i="10"/>
  <c r="V33" i="10"/>
  <c r="U34" i="10"/>
  <c r="V34" i="10"/>
  <c r="U31" i="32"/>
  <c r="H37" i="32"/>
  <c r="V34" i="29"/>
  <c r="E78" i="31"/>
  <c r="E78" i="23"/>
  <c r="H78" i="9"/>
  <c r="E78" i="12"/>
  <c r="E78" i="18"/>
  <c r="E78" i="27"/>
  <c r="E78" i="20"/>
  <c r="G78" i="10"/>
  <c r="E78" i="24"/>
  <c r="V20" i="9"/>
  <c r="E78" i="29"/>
  <c r="U20" i="9"/>
  <c r="F78" i="11"/>
  <c r="E78" i="34"/>
  <c r="AH56" i="9"/>
  <c r="AA56" i="9"/>
  <c r="Z72" i="9"/>
  <c r="AH72" i="9" s="1"/>
  <c r="Z76" i="9"/>
  <c r="AH76" i="9" s="1"/>
  <c r="AI56" i="9"/>
  <c r="U30" i="9"/>
  <c r="V30" i="9"/>
  <c r="U37" i="29"/>
  <c r="V37" i="29"/>
  <c r="R26" i="3"/>
  <c r="S26" i="3"/>
  <c r="T369" i="14"/>
  <c r="T349" i="14"/>
  <c r="I158" i="14"/>
  <c r="I413" i="14"/>
  <c r="S413" i="14" s="1"/>
  <c r="I338" i="14"/>
  <c r="S338" i="14" s="1"/>
  <c r="I337" i="14"/>
  <c r="S337" i="14" s="1"/>
  <c r="S59" i="14"/>
  <c r="I250" i="14"/>
  <c r="S250" i="14" s="1"/>
  <c r="T59" i="14"/>
  <c r="I251" i="14"/>
  <c r="S251" i="14" s="1"/>
  <c r="I412" i="14"/>
  <c r="S412" i="14" s="1"/>
  <c r="I157" i="14"/>
  <c r="T228" i="14"/>
  <c r="T226" i="14"/>
  <c r="I272" i="14"/>
  <c r="S272" i="14" s="1"/>
  <c r="I271" i="14"/>
  <c r="S271" i="14" s="1"/>
  <c r="S80" i="14"/>
  <c r="I179" i="14"/>
  <c r="S179" i="14" s="1"/>
  <c r="I178" i="14"/>
  <c r="S178" i="14" s="1"/>
  <c r="I164" i="14"/>
  <c r="S164" i="14" s="1"/>
  <c r="I162" i="14"/>
  <c r="S162" i="14" s="1"/>
  <c r="I257" i="14"/>
  <c r="S257" i="14" s="1"/>
  <c r="I254" i="14"/>
  <c r="S254" i="14" s="1"/>
  <c r="I341" i="14"/>
  <c r="S341" i="14" s="1"/>
  <c r="I163" i="14"/>
  <c r="S163" i="14" s="1"/>
  <c r="I419" i="14"/>
  <c r="S419" i="14" s="1"/>
  <c r="I255" i="14"/>
  <c r="S255" i="14" s="1"/>
  <c r="I252" i="14"/>
  <c r="S252" i="14" s="1"/>
  <c r="I342" i="14"/>
  <c r="S342" i="14" s="1"/>
  <c r="I344" i="14"/>
  <c r="S344" i="14" s="1"/>
  <c r="I416" i="14"/>
  <c r="S416" i="14" s="1"/>
  <c r="I161" i="14"/>
  <c r="S161" i="14" s="1"/>
  <c r="I160" i="14"/>
  <c r="S160" i="14" s="1"/>
  <c r="I256" i="14"/>
  <c r="S256" i="14" s="1"/>
  <c r="I339" i="14"/>
  <c r="S339" i="14" s="1"/>
  <c r="I343" i="14"/>
  <c r="S343" i="14" s="1"/>
  <c r="S65" i="14"/>
  <c r="I418" i="14"/>
  <c r="S418" i="14" s="1"/>
  <c r="I340" i="14"/>
  <c r="I415" i="14"/>
  <c r="S415" i="14" s="1"/>
  <c r="I414" i="14"/>
  <c r="S414" i="14" s="1"/>
  <c r="I253" i="14"/>
  <c r="S253" i="14" s="1"/>
  <c r="I417" i="14"/>
  <c r="S417" i="14" s="1"/>
  <c r="I159" i="14"/>
  <c r="S159" i="14" s="1"/>
  <c r="T412" i="14"/>
  <c r="U34" i="11"/>
  <c r="V34" i="11"/>
  <c r="V35" i="11"/>
  <c r="U35" i="11"/>
  <c r="U32" i="11"/>
  <c r="V32" i="11"/>
  <c r="U33" i="11"/>
  <c r="V33" i="11"/>
  <c r="R34" i="6"/>
  <c r="S34" i="6"/>
  <c r="AQ20" i="10"/>
  <c r="AQ21" i="10"/>
  <c r="AA48" i="31"/>
  <c r="AI48" i="31"/>
  <c r="AH48" i="31"/>
  <c r="Z76" i="31"/>
  <c r="AH76" i="31" s="1"/>
  <c r="Z72" i="31"/>
  <c r="AH72" i="31" s="1"/>
  <c r="U27" i="31"/>
  <c r="H77" i="31"/>
  <c r="H76" i="31" s="1"/>
  <c r="V35" i="31"/>
  <c r="L38" i="32"/>
  <c r="V37" i="32"/>
  <c r="U37" i="36"/>
  <c r="H38" i="36"/>
  <c r="U38" i="36" s="1"/>
  <c r="S30" i="5"/>
  <c r="F60" i="8"/>
  <c r="G57" i="8"/>
  <c r="H60" i="8" s="1"/>
  <c r="R31" i="2"/>
  <c r="S31" i="2"/>
  <c r="H37" i="2"/>
  <c r="AI72" i="9"/>
  <c r="T115" i="14"/>
  <c r="T189" i="14"/>
  <c r="I148" i="14"/>
  <c r="S148" i="14" s="1"/>
  <c r="I403" i="14"/>
  <c r="S403" i="14" s="1"/>
  <c r="I238" i="14"/>
  <c r="S238" i="14" s="1"/>
  <c r="I239" i="14"/>
  <c r="S239" i="14" s="1"/>
  <c r="I145" i="14"/>
  <c r="S145" i="14" s="1"/>
  <c r="S49" i="14"/>
  <c r="I326" i="14"/>
  <c r="S326" i="14" s="1"/>
  <c r="I147" i="14"/>
  <c r="S147" i="14" s="1"/>
  <c r="I402" i="14"/>
  <c r="S402" i="14" s="1"/>
  <c r="I325" i="14"/>
  <c r="I328" i="14"/>
  <c r="S328" i="14" s="1"/>
  <c r="I327" i="14"/>
  <c r="S327" i="14" s="1"/>
  <c r="I241" i="14"/>
  <c r="S241" i="14" s="1"/>
  <c r="I146" i="14"/>
  <c r="S146" i="14" s="1"/>
  <c r="I401" i="14"/>
  <c r="S401" i="14" s="1"/>
  <c r="I240" i="14"/>
  <c r="S240" i="14" s="1"/>
  <c r="I400" i="14"/>
  <c r="S400" i="14" s="1"/>
  <c r="I336" i="14"/>
  <c r="S336" i="14" s="1"/>
  <c r="I155" i="14"/>
  <c r="S155" i="14" s="1"/>
  <c r="I247" i="14"/>
  <c r="S247" i="14" s="1"/>
  <c r="I156" i="14"/>
  <c r="S156" i="14" s="1"/>
  <c r="I411" i="14"/>
  <c r="S411" i="14" s="1"/>
  <c r="S57" i="14"/>
  <c r="I248" i="14"/>
  <c r="S248" i="14" s="1"/>
  <c r="I249" i="14"/>
  <c r="S249" i="14" s="1"/>
  <c r="I335" i="14"/>
  <c r="S335" i="14" s="1"/>
  <c r="I410" i="14"/>
  <c r="S410" i="14" s="1"/>
  <c r="I246" i="14"/>
  <c r="S246" i="14" s="1"/>
  <c r="I333" i="14"/>
  <c r="S333" i="14" s="1"/>
  <c r="I154" i="14"/>
  <c r="S154" i="14" s="1"/>
  <c r="I408" i="14"/>
  <c r="S408" i="14" s="1"/>
  <c r="I153" i="14"/>
  <c r="S153" i="14" s="1"/>
  <c r="I334" i="14"/>
  <c r="S334" i="14" s="1"/>
  <c r="I409" i="14"/>
  <c r="S409" i="14" s="1"/>
  <c r="T246" i="14"/>
  <c r="T335" i="14"/>
  <c r="T288" i="14"/>
  <c r="T104" i="14"/>
  <c r="T193" i="14"/>
  <c r="S28" i="5"/>
  <c r="S24" i="5"/>
  <c r="U28" i="12"/>
  <c r="V28" i="12"/>
  <c r="V25" i="12"/>
  <c r="U25" i="12"/>
  <c r="Q16" i="13"/>
  <c r="O19" i="13" s="1"/>
  <c r="O18" i="13"/>
  <c r="S32" i="2"/>
  <c r="D77" i="8"/>
  <c r="S27" i="4"/>
  <c r="R27" i="4"/>
  <c r="C77" i="9"/>
  <c r="R29" i="4"/>
  <c r="S29" i="4"/>
  <c r="T233" i="14"/>
  <c r="T320" i="14"/>
  <c r="T394" i="14"/>
  <c r="T317" i="14"/>
  <c r="T295" i="14"/>
  <c r="S18" i="14"/>
  <c r="I209" i="14"/>
  <c r="S209" i="14" s="1"/>
  <c r="I210" i="14"/>
  <c r="S210" i="14" s="1"/>
  <c r="I371" i="14"/>
  <c r="S371" i="14" s="1"/>
  <c r="I117" i="14"/>
  <c r="S117" i="14" s="1"/>
  <c r="I296" i="14"/>
  <c r="S296" i="14" s="1"/>
  <c r="I372" i="14"/>
  <c r="S372" i="14" s="1"/>
  <c r="I116" i="14"/>
  <c r="S116" i="14" s="1"/>
  <c r="I297" i="14"/>
  <c r="S297" i="14" s="1"/>
  <c r="T197" i="14"/>
  <c r="I350" i="14"/>
  <c r="S350" i="14" s="1"/>
  <c r="I352" i="14"/>
  <c r="S352" i="14" s="1"/>
  <c r="I298" i="14"/>
  <c r="S298" i="14" s="1"/>
  <c r="S19" i="14"/>
  <c r="I211" i="14"/>
  <c r="S211" i="14" s="1"/>
  <c r="I373" i="14"/>
  <c r="S373" i="14" s="1"/>
  <c r="I118" i="14"/>
  <c r="S118" i="14" s="1"/>
  <c r="V30" i="23"/>
  <c r="S26" i="5"/>
  <c r="S21" i="1"/>
  <c r="R21" i="1"/>
  <c r="S21" i="2"/>
  <c r="R27" i="3"/>
  <c r="S27" i="3"/>
  <c r="C77" i="8"/>
  <c r="C76" i="8" s="1"/>
  <c r="S20" i="3"/>
  <c r="R20" i="3"/>
  <c r="H21" i="3"/>
  <c r="C78" i="8"/>
  <c r="AR6" i="10"/>
  <c r="AR5" i="10"/>
  <c r="AO18" i="9"/>
  <c r="AK26" i="9"/>
  <c r="I258" i="14"/>
  <c r="S258" i="14" s="1"/>
  <c r="I166" i="14"/>
  <c r="S67" i="14"/>
  <c r="I345" i="14"/>
  <c r="S345" i="14" s="1"/>
  <c r="I259" i="14"/>
  <c r="S259" i="14" s="1"/>
  <c r="I346" i="14"/>
  <c r="S346" i="14" s="1"/>
  <c r="I165" i="14"/>
  <c r="T67" i="14"/>
  <c r="T267" i="14"/>
  <c r="T174" i="14"/>
  <c r="T355" i="14"/>
  <c r="T169" i="14"/>
  <c r="T172" i="14"/>
  <c r="T170" i="14"/>
  <c r="T259" i="14"/>
  <c r="S26" i="14"/>
  <c r="I305" i="14"/>
  <c r="S305" i="14" s="1"/>
  <c r="I380" i="14"/>
  <c r="S380" i="14" s="1"/>
  <c r="I125" i="14"/>
  <c r="S125" i="14" s="1"/>
  <c r="I218" i="14"/>
  <c r="S218" i="14" s="1"/>
  <c r="T26" i="14"/>
  <c r="I124" i="14"/>
  <c r="S124" i="14" s="1"/>
  <c r="T183" i="14"/>
  <c r="T289" i="14"/>
  <c r="T364" i="14"/>
  <c r="I107" i="14"/>
  <c r="S107" i="14" s="1"/>
  <c r="I200" i="14"/>
  <c r="S200" i="14" s="1"/>
  <c r="I362" i="14"/>
  <c r="S362" i="14" s="1"/>
  <c r="I287" i="14"/>
  <c r="S287" i="14" s="1"/>
  <c r="S8" i="14"/>
  <c r="I105" i="14"/>
  <c r="S105" i="14" s="1"/>
  <c r="I106" i="14"/>
  <c r="S106" i="14" s="1"/>
  <c r="I198" i="14"/>
  <c r="S198" i="14" s="1"/>
  <c r="I286" i="14"/>
  <c r="S286" i="14" s="1"/>
  <c r="I285" i="14"/>
  <c r="S285" i="14" s="1"/>
  <c r="I361" i="14"/>
  <c r="S361" i="14" s="1"/>
  <c r="I199" i="14"/>
  <c r="S199" i="14" s="1"/>
  <c r="I360" i="14"/>
  <c r="S360" i="14" s="1"/>
  <c r="U28" i="20"/>
  <c r="V28" i="20"/>
  <c r="U20" i="20"/>
  <c r="H78" i="20"/>
  <c r="V20" i="20"/>
  <c r="U27" i="20"/>
  <c r="H77" i="20"/>
  <c r="H76" i="20" s="1"/>
  <c r="V28" i="23"/>
  <c r="D78" i="29"/>
  <c r="D78" i="20"/>
  <c r="E78" i="11"/>
  <c r="D78" i="18"/>
  <c r="D78" i="23"/>
  <c r="G78" i="9"/>
  <c r="D78" i="34"/>
  <c r="D78" i="27"/>
  <c r="R20" i="8"/>
  <c r="D78" i="12"/>
  <c r="H21" i="8"/>
  <c r="H78" i="8"/>
  <c r="D78" i="31"/>
  <c r="D78" i="24"/>
  <c r="S20" i="8"/>
  <c r="F78" i="10"/>
  <c r="R33" i="8"/>
  <c r="S33" i="8"/>
  <c r="R29" i="8"/>
  <c r="S29" i="8"/>
  <c r="R35" i="8"/>
  <c r="S35" i="8"/>
  <c r="V33" i="31"/>
  <c r="R33" i="7"/>
  <c r="S33" i="7"/>
  <c r="R34" i="7"/>
  <c r="S34" i="7"/>
  <c r="H21" i="38"/>
  <c r="V20" i="38"/>
  <c r="U20" i="38"/>
  <c r="V18" i="18"/>
  <c r="H78" i="29"/>
  <c r="U20" i="29"/>
  <c r="U26" i="29"/>
  <c r="V26" i="29"/>
  <c r="I363" i="14"/>
  <c r="S363" i="14" s="1"/>
  <c r="U35" i="37"/>
  <c r="V35" i="37"/>
  <c r="U24" i="37"/>
  <c r="V24" i="37"/>
  <c r="V26" i="37"/>
  <c r="U26" i="37"/>
  <c r="V31" i="37"/>
  <c r="U31" i="37"/>
  <c r="V29" i="23"/>
  <c r="U33" i="33"/>
  <c r="V33" i="33"/>
  <c r="H35" i="34"/>
  <c r="U7" i="34"/>
  <c r="U16" i="24"/>
  <c r="V16" i="24"/>
  <c r="Z64" i="24"/>
  <c r="H32" i="24"/>
  <c r="H35" i="24"/>
  <c r="H33" i="24"/>
  <c r="H31" i="24"/>
  <c r="H20" i="24"/>
  <c r="H34" i="24"/>
  <c r="AO23" i="31"/>
  <c r="AK26" i="31"/>
  <c r="H37" i="12"/>
  <c r="AO23" i="12"/>
  <c r="AK26" i="12"/>
  <c r="AO23" i="23"/>
  <c r="AK26" i="23"/>
  <c r="AA68" i="9"/>
  <c r="AH68" i="9"/>
  <c r="AI68" i="9"/>
  <c r="V30" i="31"/>
  <c r="U37" i="33"/>
  <c r="H38" i="33"/>
  <c r="U38" i="33" s="1"/>
  <c r="I348" i="14"/>
  <c r="S348" i="14" s="1"/>
  <c r="AH58" i="10"/>
  <c r="AA58" i="10"/>
  <c r="Z72" i="10"/>
  <c r="AH72" i="10" s="1"/>
  <c r="AI58" i="10"/>
  <c r="U31" i="10"/>
  <c r="V31" i="10"/>
  <c r="U32" i="10"/>
  <c r="V32" i="10"/>
  <c r="AE58" i="8"/>
  <c r="X58" i="8"/>
  <c r="AF58" i="8"/>
  <c r="AH60" i="29"/>
  <c r="AA60" i="29"/>
  <c r="U34" i="9"/>
  <c r="V34" i="9"/>
  <c r="V35" i="9"/>
  <c r="U35" i="9"/>
  <c r="U32" i="23"/>
  <c r="V32" i="23"/>
  <c r="AF78" i="5"/>
  <c r="AA76" i="9"/>
  <c r="AA72" i="9"/>
  <c r="C77" i="10"/>
  <c r="C76" i="10" s="1"/>
  <c r="R27" i="5"/>
  <c r="E77" i="8"/>
  <c r="E76" i="8" s="1"/>
  <c r="D77" i="9"/>
  <c r="D76" i="9" s="1"/>
  <c r="S27" i="5"/>
  <c r="G50" i="27"/>
  <c r="G47" i="27"/>
  <c r="H45" i="27" s="1"/>
  <c r="H50" i="27" s="1"/>
  <c r="I181" i="14"/>
  <c r="S181" i="14" s="1"/>
  <c r="S82" i="14"/>
  <c r="I274" i="14"/>
  <c r="S274" i="14" s="1"/>
  <c r="I273" i="14"/>
  <c r="S273" i="14" s="1"/>
  <c r="I180" i="14"/>
  <c r="S180" i="14" s="1"/>
  <c r="T338" i="14"/>
  <c r="T136" i="14"/>
  <c r="T314" i="14"/>
  <c r="T316" i="14"/>
  <c r="T391" i="14"/>
  <c r="I307" i="14"/>
  <c r="S307" i="14" s="1"/>
  <c r="I220" i="14"/>
  <c r="S220" i="14" s="1"/>
  <c r="I219" i="14"/>
  <c r="S219" i="14" s="1"/>
  <c r="I221" i="14"/>
  <c r="S221" i="14" s="1"/>
  <c r="I383" i="14"/>
  <c r="S383" i="14" s="1"/>
  <c r="I126" i="14"/>
  <c r="S126" i="14" s="1"/>
  <c r="I308" i="14"/>
  <c r="S308" i="14" s="1"/>
  <c r="I127" i="14"/>
  <c r="S127" i="14" s="1"/>
  <c r="S29" i="14"/>
  <c r="I306" i="14"/>
  <c r="S306" i="14" s="1"/>
  <c r="I382" i="14"/>
  <c r="S382" i="14" s="1"/>
  <c r="I128" i="14"/>
  <c r="S128" i="14" s="1"/>
  <c r="I381" i="14"/>
  <c r="S381" i="14" s="1"/>
  <c r="T80" i="14"/>
  <c r="T161" i="14"/>
  <c r="T256" i="14"/>
  <c r="T164" i="14"/>
  <c r="T257" i="14"/>
  <c r="T419" i="14"/>
  <c r="T417" i="14"/>
  <c r="T344" i="14"/>
  <c r="I370" i="14"/>
  <c r="S370" i="14" s="1"/>
  <c r="H78" i="23"/>
  <c r="U20" i="23"/>
  <c r="H77" i="11"/>
  <c r="H76" i="11" s="1"/>
  <c r="V27" i="11"/>
  <c r="G77" i="12"/>
  <c r="G76" i="12" s="1"/>
  <c r="G77" i="34"/>
  <c r="G76" i="34" s="1"/>
  <c r="G77" i="29"/>
  <c r="G76" i="29" s="1"/>
  <c r="G77" i="23"/>
  <c r="G76" i="23" s="1"/>
  <c r="G77" i="20"/>
  <c r="G76" i="20" s="1"/>
  <c r="G77" i="18"/>
  <c r="G76" i="18" s="1"/>
  <c r="G77" i="27"/>
  <c r="G76" i="27" s="1"/>
  <c r="G77" i="24"/>
  <c r="G76" i="24" s="1"/>
  <c r="U27" i="11"/>
  <c r="G77" i="31"/>
  <c r="G76" i="31" s="1"/>
  <c r="U31" i="11"/>
  <c r="V31" i="11"/>
  <c r="U28" i="11"/>
  <c r="V28" i="11"/>
  <c r="U29" i="11"/>
  <c r="V29" i="11"/>
  <c r="AQ22" i="9"/>
  <c r="AQ21" i="9"/>
  <c r="U20" i="31"/>
  <c r="H78" i="31"/>
  <c r="H36" i="31"/>
  <c r="U36" i="31" s="1"/>
  <c r="AH58" i="29"/>
  <c r="AI58" i="29"/>
  <c r="AA58" i="29"/>
  <c r="AI76" i="31"/>
  <c r="AI72" i="20"/>
  <c r="R27" i="2"/>
  <c r="S27" i="2"/>
  <c r="AF72" i="8"/>
  <c r="T207" i="14"/>
  <c r="T188" i="14"/>
  <c r="T350" i="14"/>
  <c r="T238" i="14"/>
  <c r="T326" i="14"/>
  <c r="T49" i="14"/>
  <c r="T403" i="14"/>
  <c r="T327" i="14"/>
  <c r="T249" i="14"/>
  <c r="T57" i="14"/>
  <c r="T408" i="14"/>
  <c r="I299" i="14"/>
  <c r="S299" i="14" s="1"/>
  <c r="S20" i="14"/>
  <c r="I212" i="14"/>
  <c r="S212" i="14" s="1"/>
  <c r="T20" i="14"/>
  <c r="I374" i="14"/>
  <c r="S374" i="14" s="1"/>
  <c r="I119" i="14"/>
  <c r="S13" i="14"/>
  <c r="I291" i="14"/>
  <c r="S291" i="14" s="1"/>
  <c r="I112" i="14"/>
  <c r="S112" i="14" s="1"/>
  <c r="I205" i="14"/>
  <c r="S205" i="14" s="1"/>
  <c r="I366" i="14"/>
  <c r="S366" i="14" s="1"/>
  <c r="I204" i="14"/>
  <c r="S204" i="14" s="1"/>
  <c r="I292" i="14"/>
  <c r="S292" i="14" s="1"/>
  <c r="I111" i="14"/>
  <c r="S111" i="14" s="1"/>
  <c r="I367" i="14"/>
  <c r="S367" i="14" s="1"/>
  <c r="I213" i="14"/>
  <c r="S213" i="14" s="1"/>
  <c r="V36" i="32"/>
  <c r="S33" i="5"/>
  <c r="V33" i="12"/>
  <c r="U33" i="12"/>
  <c r="H78" i="12"/>
  <c r="U20" i="12"/>
  <c r="V20" i="12"/>
  <c r="AA50" i="12"/>
  <c r="AH50" i="12"/>
  <c r="AI50" i="12"/>
  <c r="U31" i="12"/>
  <c r="V31" i="12"/>
  <c r="V27" i="23"/>
  <c r="H77" i="23"/>
  <c r="H76" i="23" s="1"/>
  <c r="U27" i="23"/>
  <c r="V12" i="12"/>
  <c r="Z56" i="12"/>
  <c r="U12" i="12"/>
  <c r="S33" i="2"/>
  <c r="R26" i="4"/>
  <c r="S26" i="4"/>
  <c r="H21" i="4"/>
  <c r="R20" i="4"/>
  <c r="D78" i="8"/>
  <c r="C78" i="9"/>
  <c r="S20" i="4"/>
  <c r="R31" i="4"/>
  <c r="S31" i="4"/>
  <c r="T318" i="14"/>
  <c r="T230" i="14"/>
  <c r="T231" i="14"/>
  <c r="T392" i="14"/>
  <c r="I312" i="14"/>
  <c r="S312" i="14" s="1"/>
  <c r="I132" i="14"/>
  <c r="S132" i="14" s="1"/>
  <c r="I225" i="14"/>
  <c r="S225" i="14" s="1"/>
  <c r="S33" i="14"/>
  <c r="I387" i="14"/>
  <c r="S387" i="14" s="1"/>
  <c r="I311" i="14"/>
  <c r="I130" i="14"/>
  <c r="S130" i="14" s="1"/>
  <c r="I222" i="14"/>
  <c r="S222" i="14" s="1"/>
  <c r="I310" i="14"/>
  <c r="S310" i="14" s="1"/>
  <c r="I131" i="14"/>
  <c r="S131" i="14" s="1"/>
  <c r="I129" i="14"/>
  <c r="S129" i="14" s="1"/>
  <c r="I223" i="14"/>
  <c r="S223" i="14" s="1"/>
  <c r="I386" i="14"/>
  <c r="S386" i="14" s="1"/>
  <c r="I384" i="14"/>
  <c r="S384" i="14" s="1"/>
  <c r="I224" i="14"/>
  <c r="S224" i="14" s="1"/>
  <c r="I385" i="14"/>
  <c r="S385" i="14" s="1"/>
  <c r="I309" i="14"/>
  <c r="S309" i="14" s="1"/>
  <c r="T293" i="14"/>
  <c r="T370" i="14"/>
  <c r="T116" i="14"/>
  <c r="T362" i="14"/>
  <c r="T361" i="14"/>
  <c r="T198" i="14"/>
  <c r="I356" i="14"/>
  <c r="S356" i="14" s="1"/>
  <c r="I177" i="14"/>
  <c r="S177" i="14" s="1"/>
  <c r="I176" i="14"/>
  <c r="S176" i="14" s="1"/>
  <c r="S78" i="14"/>
  <c r="I270" i="14"/>
  <c r="S270" i="14" s="1"/>
  <c r="I269" i="14"/>
  <c r="S269" i="14" s="1"/>
  <c r="I264" i="14"/>
  <c r="S264" i="14" s="1"/>
  <c r="I263" i="14"/>
  <c r="S263" i="14" s="1"/>
  <c r="T211" i="14"/>
  <c r="T373" i="14"/>
  <c r="U32" i="18"/>
  <c r="V32" i="18"/>
  <c r="S31" i="5"/>
  <c r="S32" i="5"/>
  <c r="V35" i="23"/>
  <c r="U35" i="23"/>
  <c r="H36" i="23"/>
  <c r="H35" i="29"/>
  <c r="U7" i="29"/>
  <c r="V7" i="29"/>
  <c r="S26" i="2"/>
  <c r="AI76" i="11"/>
  <c r="D68" i="9"/>
  <c r="D67" i="9"/>
  <c r="E70" i="9" s="1"/>
  <c r="E68" i="9"/>
  <c r="X76" i="7"/>
  <c r="X72" i="7"/>
  <c r="W76" i="6"/>
  <c r="AE76" i="6" s="1"/>
  <c r="H37" i="6"/>
  <c r="S99" i="14"/>
  <c r="I194" i="14"/>
  <c r="S194" i="14" s="1"/>
  <c r="T266" i="14"/>
  <c r="T173" i="14"/>
  <c r="T354" i="14"/>
  <c r="T263" i="14"/>
  <c r="I217" i="14"/>
  <c r="S217" i="14" s="1"/>
  <c r="S24" i="14"/>
  <c r="I216" i="14"/>
  <c r="S216" i="14" s="1"/>
  <c r="I303" i="14"/>
  <c r="S303" i="14" s="1"/>
  <c r="I376" i="14"/>
  <c r="S376" i="14" s="1"/>
  <c r="I378" i="14"/>
  <c r="S378" i="14" s="1"/>
  <c r="I123" i="14"/>
  <c r="S123" i="14" s="1"/>
  <c r="I214" i="14"/>
  <c r="S214" i="14" s="1"/>
  <c r="I121" i="14"/>
  <c r="S121" i="14" s="1"/>
  <c r="I302" i="14"/>
  <c r="S302" i="14" s="1"/>
  <c r="I122" i="14"/>
  <c r="S122" i="14" s="1"/>
  <c r="I377" i="14"/>
  <c r="S377" i="14" s="1"/>
  <c r="I215" i="14"/>
  <c r="S215" i="14" s="1"/>
  <c r="I301" i="14"/>
  <c r="S301" i="14" s="1"/>
  <c r="T13" i="14"/>
  <c r="T205" i="14"/>
  <c r="T204" i="14"/>
  <c r="U29" i="20"/>
  <c r="V29" i="20"/>
  <c r="U26" i="20"/>
  <c r="V26" i="20"/>
  <c r="D77" i="31"/>
  <c r="D76" i="31" s="1"/>
  <c r="D77" i="23"/>
  <c r="D76" i="23" s="1"/>
  <c r="D77" i="24"/>
  <c r="D76" i="24" s="1"/>
  <c r="R27" i="8"/>
  <c r="D77" i="29"/>
  <c r="D76" i="29" s="1"/>
  <c r="H77" i="8"/>
  <c r="H76" i="8" s="1"/>
  <c r="D77" i="18"/>
  <c r="D76" i="18" s="1"/>
  <c r="D77" i="27"/>
  <c r="D76" i="27" s="1"/>
  <c r="D77" i="34"/>
  <c r="D76" i="34" s="1"/>
  <c r="G77" i="9"/>
  <c r="G76" i="9" s="1"/>
  <c r="S27" i="8"/>
  <c r="E77" i="11"/>
  <c r="E76" i="11" s="1"/>
  <c r="D77" i="12"/>
  <c r="D76" i="12" s="1"/>
  <c r="D77" i="20"/>
  <c r="D76" i="20" s="1"/>
  <c r="F77" i="10"/>
  <c r="F76" i="10" s="1"/>
  <c r="R32" i="8"/>
  <c r="S32" i="8"/>
  <c r="R28" i="8"/>
  <c r="S28" i="8"/>
  <c r="R26" i="8"/>
  <c r="S26" i="8"/>
  <c r="AA66" i="10"/>
  <c r="AH66" i="10"/>
  <c r="AI66" i="10"/>
  <c r="C78" i="29"/>
  <c r="R20" i="7"/>
  <c r="C78" i="18"/>
  <c r="C78" i="31"/>
  <c r="C78" i="20"/>
  <c r="D78" i="11"/>
  <c r="C78" i="23"/>
  <c r="C78" i="27"/>
  <c r="G78" i="8"/>
  <c r="C78" i="12"/>
  <c r="C78" i="24"/>
  <c r="F78" i="9"/>
  <c r="C78" i="34"/>
  <c r="E78" i="10"/>
  <c r="S20" i="7"/>
  <c r="R32" i="7"/>
  <c r="S32" i="7"/>
  <c r="R30" i="7"/>
  <c r="S30" i="7"/>
  <c r="AH70" i="23"/>
  <c r="AA70" i="23"/>
  <c r="AI70" i="23"/>
  <c r="V25" i="31"/>
  <c r="V20" i="18"/>
  <c r="U25" i="29"/>
  <c r="V25" i="29"/>
  <c r="U27" i="29"/>
  <c r="H77" i="29"/>
  <c r="U28" i="37"/>
  <c r="V28" i="37"/>
  <c r="V34" i="37"/>
  <c r="U34" i="37"/>
  <c r="V29" i="37"/>
  <c r="U29" i="37"/>
  <c r="L36" i="34"/>
  <c r="V35" i="34"/>
  <c r="AO23" i="34"/>
  <c r="AK26" i="34"/>
  <c r="AH70" i="11"/>
  <c r="AA70" i="11"/>
  <c r="AI70" i="11"/>
  <c r="AO23" i="24"/>
  <c r="AK26" i="24"/>
  <c r="Z76" i="10"/>
  <c r="H37" i="10"/>
  <c r="V23" i="20"/>
  <c r="U29" i="10"/>
  <c r="V29" i="10"/>
  <c r="U30" i="10"/>
  <c r="V30" i="10"/>
  <c r="V27" i="31"/>
  <c r="U35" i="32"/>
  <c r="V35" i="32"/>
  <c r="U20" i="32"/>
  <c r="H21" i="32"/>
  <c r="U21" i="32" s="1"/>
  <c r="V33" i="32"/>
  <c r="V28" i="31"/>
  <c r="H37" i="9"/>
  <c r="U31" i="9"/>
  <c r="V31" i="9"/>
  <c r="U29" i="9"/>
  <c r="V29" i="9"/>
  <c r="U33" i="9"/>
  <c r="V33" i="9"/>
  <c r="V38" i="36"/>
  <c r="R35" i="2"/>
  <c r="S35" i="2"/>
  <c r="R20" i="5"/>
  <c r="E78" i="8"/>
  <c r="D78" i="9"/>
  <c r="C78" i="10"/>
  <c r="T180" i="14"/>
  <c r="T181" i="14"/>
  <c r="T342" i="14"/>
  <c r="S45" i="14"/>
  <c r="I234" i="14"/>
  <c r="S234" i="14" s="1"/>
  <c r="I237" i="14"/>
  <c r="S237" i="14" s="1"/>
  <c r="I324" i="14"/>
  <c r="S324" i="14" s="1"/>
  <c r="I323" i="14"/>
  <c r="S323" i="14" s="1"/>
  <c r="I399" i="14"/>
  <c r="S399" i="14" s="1"/>
  <c r="I142" i="14"/>
  <c r="S142" i="14" s="1"/>
  <c r="I397" i="14"/>
  <c r="S397" i="14" s="1"/>
  <c r="I236" i="14"/>
  <c r="S236" i="14" s="1"/>
  <c r="I144" i="14"/>
  <c r="S144" i="14" s="1"/>
  <c r="I321" i="14"/>
  <c r="S321" i="14" s="1"/>
  <c r="I235" i="14"/>
  <c r="S235" i="14" s="1"/>
  <c r="I141" i="14"/>
  <c r="S141" i="14" s="1"/>
  <c r="I143" i="14"/>
  <c r="S143" i="14" s="1"/>
  <c r="I398" i="14"/>
  <c r="S398" i="14" s="1"/>
  <c r="I322" i="14"/>
  <c r="S322" i="14" s="1"/>
  <c r="I396" i="14"/>
  <c r="S396" i="14" s="1"/>
  <c r="T144" i="14"/>
  <c r="T237" i="14"/>
  <c r="T134" i="14"/>
  <c r="T133" i="14"/>
  <c r="T135" i="14"/>
  <c r="T389" i="14"/>
  <c r="T221" i="14"/>
  <c r="T218" i="14"/>
  <c r="T305" i="14"/>
  <c r="T308" i="14"/>
  <c r="T380" i="14"/>
  <c r="T213" i="14"/>
  <c r="T272" i="14"/>
  <c r="T251" i="14"/>
  <c r="T162" i="14"/>
  <c r="T252" i="14"/>
  <c r="T415" i="14"/>
  <c r="T413" i="14"/>
  <c r="T343" i="14"/>
  <c r="AH70" i="29"/>
  <c r="AA70" i="29"/>
  <c r="AI70" i="29"/>
  <c r="AI76" i="29"/>
  <c r="AA52" i="11"/>
  <c r="AA72" i="11" s="1"/>
  <c r="AH52" i="11"/>
  <c r="Z72" i="11"/>
  <c r="AH72" i="11" s="1"/>
  <c r="AI52" i="11"/>
  <c r="U25" i="11"/>
  <c r="V25" i="11"/>
  <c r="U26" i="11"/>
  <c r="V26" i="11"/>
  <c r="H37" i="7"/>
  <c r="W76" i="7"/>
  <c r="U31" i="31"/>
  <c r="H37" i="31"/>
  <c r="U37" i="31" s="1"/>
  <c r="V29" i="31"/>
  <c r="U29" i="31"/>
  <c r="AI72" i="31"/>
  <c r="H37" i="24"/>
  <c r="U37" i="24" s="1"/>
  <c r="Z76" i="24"/>
  <c r="AF72" i="6"/>
  <c r="H38" i="3"/>
  <c r="R38" i="3" s="1"/>
  <c r="AF76" i="8"/>
  <c r="AR8" i="9"/>
  <c r="AR6" i="9"/>
  <c r="T281" i="14"/>
  <c r="T339" i="14"/>
  <c r="T328" i="14"/>
  <c r="T147" i="14"/>
  <c r="T239" i="14"/>
  <c r="T402" i="14"/>
  <c r="T319" i="14"/>
  <c r="I187" i="14"/>
  <c r="S187" i="14" s="1"/>
  <c r="S88" i="14"/>
  <c r="I279" i="14"/>
  <c r="S279" i="14" s="1"/>
  <c r="I280" i="14"/>
  <c r="S280" i="14" s="1"/>
  <c r="I186" i="14"/>
  <c r="S186" i="14" s="1"/>
  <c r="T153" i="14"/>
  <c r="T155" i="14"/>
  <c r="T248" i="14"/>
  <c r="T409" i="14"/>
  <c r="T363" i="14"/>
  <c r="T192" i="14"/>
  <c r="I300" i="14"/>
  <c r="S300" i="14" s="1"/>
  <c r="U21" i="35"/>
  <c r="V21" i="35"/>
  <c r="S21" i="5"/>
  <c r="V32" i="12"/>
  <c r="U32" i="12"/>
  <c r="V34" i="12"/>
  <c r="U34" i="12"/>
  <c r="V29" i="12"/>
  <c r="U29" i="12"/>
  <c r="V27" i="12"/>
  <c r="H77" i="12"/>
  <c r="H76" i="12" s="1"/>
  <c r="U27" i="12"/>
  <c r="V37" i="18"/>
  <c r="U37" i="18"/>
  <c r="AN10" i="8"/>
  <c r="R37" i="4"/>
  <c r="S37" i="4"/>
  <c r="R34" i="4"/>
  <c r="S34" i="4"/>
  <c r="S32" i="4"/>
  <c r="R32" i="4"/>
  <c r="C38" i="2"/>
  <c r="Q38" i="2" s="1"/>
  <c r="Q37" i="2"/>
  <c r="C38" i="1"/>
  <c r="Q38" i="1" s="1"/>
  <c r="Q37" i="1"/>
  <c r="T206" i="14"/>
  <c r="T356" i="14"/>
  <c r="T139" i="14"/>
  <c r="T138" i="14"/>
  <c r="T140" i="14"/>
  <c r="T395" i="14"/>
  <c r="T131" i="14"/>
  <c r="T310" i="14"/>
  <c r="T222" i="14"/>
  <c r="T386" i="14"/>
  <c r="T375" i="14"/>
  <c r="T294" i="14"/>
  <c r="T368" i="14"/>
  <c r="T18" i="14"/>
  <c r="T286" i="14"/>
  <c r="T360" i="14"/>
  <c r="T359" i="14"/>
  <c r="T107" i="14"/>
  <c r="I277" i="14"/>
  <c r="S277" i="14" s="1"/>
  <c r="I184" i="14"/>
  <c r="S184" i="14" s="1"/>
  <c r="S86" i="14"/>
  <c r="I185" i="14"/>
  <c r="S185" i="14" s="1"/>
  <c r="I278" i="14"/>
  <c r="S278" i="14" s="1"/>
  <c r="T176" i="14"/>
  <c r="T191" i="14"/>
  <c r="I265" i="14"/>
  <c r="S265" i="14" s="1"/>
  <c r="I262" i="14"/>
  <c r="S262" i="14" s="1"/>
  <c r="I261" i="14"/>
  <c r="S261" i="14" s="1"/>
  <c r="T19" i="14"/>
  <c r="T118" i="14"/>
  <c r="AA66" i="18"/>
  <c r="AH66" i="18"/>
  <c r="AI66" i="18"/>
  <c r="U18" i="18"/>
  <c r="Z68" i="18"/>
  <c r="Z72" i="18" s="1"/>
  <c r="AH72" i="18" s="1"/>
  <c r="H37" i="23"/>
  <c r="U31" i="23"/>
  <c r="R31" i="3"/>
  <c r="S31" i="3"/>
  <c r="AA76" i="11"/>
  <c r="F68" i="8"/>
  <c r="E68" i="8"/>
  <c r="E67" i="8"/>
  <c r="C67" i="10"/>
  <c r="D70" i="10" s="1"/>
  <c r="D68" i="10"/>
  <c r="D76" i="8"/>
  <c r="C76" i="9"/>
  <c r="T337" i="14"/>
  <c r="T91" i="14"/>
  <c r="S91" i="14"/>
  <c r="I190" i="14"/>
  <c r="S190" i="14" s="1"/>
  <c r="I182" i="14"/>
  <c r="S182" i="14" s="1"/>
  <c r="T83" i="14"/>
  <c r="I275" i="14"/>
  <c r="S275" i="14" s="1"/>
  <c r="S83" i="14"/>
  <c r="T175" i="14"/>
  <c r="T268" i="14"/>
  <c r="T353" i="14"/>
  <c r="T167" i="14"/>
  <c r="T258" i="14"/>
  <c r="T352" i="14"/>
  <c r="I244" i="14"/>
  <c r="S244" i="14" s="1"/>
  <c r="T53" i="14"/>
  <c r="I245" i="14"/>
  <c r="S245" i="14" s="1"/>
  <c r="I151" i="14"/>
  <c r="S151" i="14" s="1"/>
  <c r="I331" i="14"/>
  <c r="S331" i="14" s="1"/>
  <c r="I407" i="14"/>
  <c r="S407" i="14" s="1"/>
  <c r="I152" i="14"/>
  <c r="S152" i="14" s="1"/>
  <c r="I332" i="14"/>
  <c r="S332" i="14" s="1"/>
  <c r="S53" i="14"/>
  <c r="I406" i="14"/>
  <c r="S406" i="14" s="1"/>
  <c r="I242" i="14"/>
  <c r="S242" i="14" s="1"/>
  <c r="I243" i="14"/>
  <c r="S243" i="14" s="1"/>
  <c r="I329" i="14"/>
  <c r="I150" i="14"/>
  <c r="I149" i="14"/>
  <c r="I330" i="14"/>
  <c r="S330" i="14" s="1"/>
  <c r="I404" i="14"/>
  <c r="S404" i="14" s="1"/>
  <c r="I405" i="14"/>
  <c r="S405" i="14" s="1"/>
  <c r="I110" i="14"/>
  <c r="I290" i="14"/>
  <c r="S290" i="14" s="1"/>
  <c r="I203" i="14"/>
  <c r="S203" i="14" s="1"/>
  <c r="T11" i="14"/>
  <c r="I365" i="14"/>
  <c r="S365" i="14" s="1"/>
  <c r="S11" i="14"/>
  <c r="I379" i="14"/>
  <c r="S379" i="14" s="1"/>
  <c r="T109" i="14"/>
  <c r="T291" i="14"/>
  <c r="T292" i="14"/>
  <c r="T202" i="14"/>
  <c r="U32" i="20"/>
  <c r="V32" i="20"/>
  <c r="U24" i="20"/>
  <c r="V24" i="20"/>
  <c r="G50" i="34"/>
  <c r="G47" i="34"/>
  <c r="H45" i="34" s="1"/>
  <c r="H50" i="34" s="1"/>
  <c r="AH54" i="23"/>
  <c r="AI54" i="23"/>
  <c r="AA54" i="23"/>
  <c r="Z76" i="23"/>
  <c r="AH76" i="23" s="1"/>
  <c r="Z72" i="23"/>
  <c r="AH72" i="23" s="1"/>
  <c r="R31" i="8"/>
  <c r="H37" i="8"/>
  <c r="S31" i="8"/>
  <c r="S25" i="8"/>
  <c r="R25" i="8"/>
  <c r="C77" i="31"/>
  <c r="C76" i="31" s="1"/>
  <c r="C77" i="27"/>
  <c r="C76" i="27" s="1"/>
  <c r="C77" i="24"/>
  <c r="C76" i="24" s="1"/>
  <c r="S27" i="7"/>
  <c r="F77" i="9"/>
  <c r="F76" i="9" s="1"/>
  <c r="C77" i="18"/>
  <c r="C76" i="18" s="1"/>
  <c r="C77" i="12"/>
  <c r="C76" i="12" s="1"/>
  <c r="C77" i="23"/>
  <c r="C76" i="23" s="1"/>
  <c r="G77" i="8"/>
  <c r="G76" i="8" s="1"/>
  <c r="R27" i="7"/>
  <c r="C77" i="29"/>
  <c r="C76" i="29" s="1"/>
  <c r="E77" i="10"/>
  <c r="E76" i="10" s="1"/>
  <c r="C77" i="20"/>
  <c r="C76" i="20" s="1"/>
  <c r="D77" i="11"/>
  <c r="D76" i="11" s="1"/>
  <c r="C77" i="34"/>
  <c r="C76" i="34" s="1"/>
  <c r="R29" i="7"/>
  <c r="S29" i="7"/>
  <c r="L38" i="33"/>
  <c r="V38" i="33" s="1"/>
  <c r="V37" i="33"/>
  <c r="V34" i="18"/>
  <c r="V35" i="18"/>
  <c r="U31" i="29"/>
  <c r="V31" i="29"/>
  <c r="U24" i="29"/>
  <c r="V24" i="29"/>
  <c r="AH48" i="29"/>
  <c r="AA48" i="29"/>
  <c r="Z72" i="29"/>
  <c r="AH72" i="29" s="1"/>
  <c r="I201" i="14"/>
  <c r="S201" i="14" s="1"/>
  <c r="V30" i="29"/>
  <c r="U27" i="37"/>
  <c r="V27" i="37"/>
  <c r="U30" i="37"/>
  <c r="V30" i="37"/>
  <c r="U37" i="35"/>
  <c r="H38" i="35"/>
  <c r="U38" i="35" s="1"/>
  <c r="N36" i="33"/>
  <c r="H36" i="33"/>
  <c r="U36" i="33" s="1"/>
  <c r="V20" i="29"/>
  <c r="H35" i="12"/>
  <c r="AO23" i="18"/>
  <c r="AK26" i="18"/>
  <c r="AK26" i="20"/>
  <c r="AO23" i="20"/>
  <c r="H76" i="29"/>
  <c r="U35" i="10"/>
  <c r="V35" i="10"/>
  <c r="U28" i="10"/>
  <c r="V28" i="10"/>
  <c r="AH56" i="23"/>
  <c r="AA56" i="23"/>
  <c r="AI56" i="23"/>
  <c r="V29" i="33"/>
  <c r="AQ24" i="29"/>
  <c r="U27" i="9"/>
  <c r="E77" i="34"/>
  <c r="E76" i="34" s="1"/>
  <c r="E77" i="24"/>
  <c r="E76" i="24" s="1"/>
  <c r="H77" i="9"/>
  <c r="H76" i="9" s="1"/>
  <c r="E77" i="27"/>
  <c r="E76" i="27" s="1"/>
  <c r="E77" i="20"/>
  <c r="E76" i="20" s="1"/>
  <c r="G77" i="10"/>
  <c r="G76" i="10" s="1"/>
  <c r="E77" i="29"/>
  <c r="E76" i="29" s="1"/>
  <c r="E77" i="12"/>
  <c r="E76" i="12" s="1"/>
  <c r="E77" i="31"/>
  <c r="E76" i="31" s="1"/>
  <c r="E77" i="23"/>
  <c r="E76" i="23" s="1"/>
  <c r="F77" i="11"/>
  <c r="F76" i="11" s="1"/>
  <c r="E77" i="18"/>
  <c r="E76" i="18" s="1"/>
  <c r="V27" i="9"/>
  <c r="U28" i="9"/>
  <c r="V28" i="9"/>
  <c r="U32" i="9"/>
  <c r="V32" i="9"/>
  <c r="H38" i="40"/>
  <c r="U38" i="40" s="1"/>
  <c r="U37" i="40"/>
  <c r="V21" i="40"/>
  <c r="V36" i="40"/>
  <c r="U36" i="39"/>
  <c r="V21" i="39"/>
  <c r="V38" i="38"/>
  <c r="U37" i="39"/>
  <c r="H38" i="39"/>
  <c r="U38" i="39" s="1"/>
  <c r="F365" i="14" l="1"/>
  <c r="E365" i="14" s="1"/>
  <c r="R365" i="14"/>
  <c r="R208" i="14"/>
  <c r="F208" i="14"/>
  <c r="E208" i="14" s="1"/>
  <c r="R212" i="14"/>
  <c r="F212" i="14"/>
  <c r="E212" i="14" s="1"/>
  <c r="T212" i="14"/>
  <c r="T241" i="14"/>
  <c r="R366" i="14"/>
  <c r="F366" i="14"/>
  <c r="E366" i="14" s="1"/>
  <c r="R296" i="14"/>
  <c r="F296" i="14"/>
  <c r="E296" i="14" s="1"/>
  <c r="R206" i="14"/>
  <c r="F206" i="14"/>
  <c r="E206" i="14" s="1"/>
  <c r="T312" i="14"/>
  <c r="AI48" i="24"/>
  <c r="AA48" i="24"/>
  <c r="AH48" i="24"/>
  <c r="F298" i="14"/>
  <c r="E298" i="14" s="1"/>
  <c r="R298" i="14"/>
  <c r="R289" i="14"/>
  <c r="F289" i="14"/>
  <c r="E289" i="14" s="1"/>
  <c r="T182" i="14"/>
  <c r="R117" i="14"/>
  <c r="F117" i="14"/>
  <c r="E117" i="14" s="1"/>
  <c r="R363" i="14"/>
  <c r="F363" i="14"/>
  <c r="E363" i="14" s="1"/>
  <c r="U9" i="27"/>
  <c r="Z50" i="27"/>
  <c r="H31" i="27"/>
  <c r="H24" i="27"/>
  <c r="H26" i="27"/>
  <c r="H27" i="27"/>
  <c r="H28" i="27"/>
  <c r="H29" i="27"/>
  <c r="H32" i="27"/>
  <c r="H25" i="27"/>
  <c r="H30" i="27"/>
  <c r="H34" i="27"/>
  <c r="H20" i="27"/>
  <c r="H33" i="27"/>
  <c r="V9" i="27"/>
  <c r="H35" i="27"/>
  <c r="F370" i="14"/>
  <c r="E370" i="14" s="1"/>
  <c r="R370" i="14"/>
  <c r="R287" i="14"/>
  <c r="F287" i="14"/>
  <c r="E287" i="14" s="1"/>
  <c r="T210" i="14"/>
  <c r="T114" i="14"/>
  <c r="T388" i="14"/>
  <c r="AI70" i="18"/>
  <c r="AA70" i="18"/>
  <c r="AH70" i="18"/>
  <c r="F201" i="14"/>
  <c r="E201" i="14" s="1"/>
  <c r="R201" i="14"/>
  <c r="R210" i="14"/>
  <c r="F210" i="14"/>
  <c r="E210" i="14" s="1"/>
  <c r="AA76" i="18"/>
  <c r="R374" i="14"/>
  <c r="F374" i="14"/>
  <c r="E374" i="14" s="1"/>
  <c r="F285" i="14"/>
  <c r="E285" i="14" s="1"/>
  <c r="R285" i="14"/>
  <c r="F361" i="14"/>
  <c r="E361" i="14" s="1"/>
  <c r="R361" i="14"/>
  <c r="F297" i="14"/>
  <c r="E297" i="14" s="1"/>
  <c r="R297" i="14"/>
  <c r="R299" i="14"/>
  <c r="F299" i="14"/>
  <c r="E299" i="14" s="1"/>
  <c r="V36" i="33"/>
  <c r="T382" i="14"/>
  <c r="U25" i="24"/>
  <c r="V25" i="24"/>
  <c r="F115" i="14"/>
  <c r="E115" i="14" s="1"/>
  <c r="R115" i="14"/>
  <c r="R286" i="14"/>
  <c r="F286" i="14"/>
  <c r="E286" i="14" s="1"/>
  <c r="F369" i="14"/>
  <c r="E369" i="14" s="1"/>
  <c r="R369" i="14"/>
  <c r="Q21" i="2"/>
  <c r="AI4" i="8"/>
  <c r="T137" i="14"/>
  <c r="T390" i="14"/>
  <c r="U26" i="24"/>
  <c r="V26" i="24"/>
  <c r="F114" i="14"/>
  <c r="E114" i="14" s="1"/>
  <c r="R114" i="14"/>
  <c r="F360" i="14"/>
  <c r="E360" i="14" s="1"/>
  <c r="R360" i="14"/>
  <c r="F368" i="14"/>
  <c r="E368" i="14" s="1"/>
  <c r="R368" i="14"/>
  <c r="R359" i="14"/>
  <c r="F359" i="14"/>
  <c r="E359" i="14" s="1"/>
  <c r="U29" i="24"/>
  <c r="V29" i="24"/>
  <c r="F362" i="14"/>
  <c r="E362" i="14" s="1"/>
  <c r="R362" i="14"/>
  <c r="R294" i="14"/>
  <c r="F294" i="14"/>
  <c r="E294" i="14" s="1"/>
  <c r="R372" i="14"/>
  <c r="F372" i="14"/>
  <c r="E372" i="14" s="1"/>
  <c r="R284" i="14"/>
  <c r="F284" i="14"/>
  <c r="E284" i="14" s="1"/>
  <c r="T399" i="14"/>
  <c r="U28" i="24"/>
  <c r="V28" i="24"/>
  <c r="G50" i="23"/>
  <c r="H45" i="23"/>
  <c r="H50" i="23" s="1"/>
  <c r="G47" i="23"/>
  <c r="F292" i="14"/>
  <c r="E292" i="14" s="1"/>
  <c r="R292" i="14"/>
  <c r="R293" i="14"/>
  <c r="F293" i="14"/>
  <c r="E293" i="14" s="1"/>
  <c r="H77" i="24"/>
  <c r="H76" i="24" s="1"/>
  <c r="U27" i="24"/>
  <c r="V27" i="24"/>
  <c r="F211" i="14"/>
  <c r="E211" i="14" s="1"/>
  <c r="R211" i="14"/>
  <c r="R295" i="14"/>
  <c r="F295" i="14"/>
  <c r="E295" i="14" s="1"/>
  <c r="F119" i="14"/>
  <c r="E119" i="14" s="1"/>
  <c r="R119" i="14"/>
  <c r="R205" i="14"/>
  <c r="F205" i="14"/>
  <c r="E205" i="14" s="1"/>
  <c r="U24" i="24"/>
  <c r="V24" i="24"/>
  <c r="R203" i="14"/>
  <c r="F203" i="14"/>
  <c r="E203" i="14" s="1"/>
  <c r="F373" i="14"/>
  <c r="E373" i="14" s="1"/>
  <c r="R373" i="14"/>
  <c r="R209" i="14"/>
  <c r="F209" i="14"/>
  <c r="E209" i="14" s="1"/>
  <c r="R197" i="14"/>
  <c r="F197" i="14"/>
  <c r="E197" i="14" s="1"/>
  <c r="T152" i="14"/>
  <c r="T371" i="14"/>
  <c r="V30" i="24"/>
  <c r="U30" i="24"/>
  <c r="R290" i="14"/>
  <c r="F290" i="14"/>
  <c r="E290" i="14" s="1"/>
  <c r="F371" i="14"/>
  <c r="E371" i="14" s="1"/>
  <c r="R371" i="14"/>
  <c r="R116" i="14"/>
  <c r="F116" i="14"/>
  <c r="E116" i="14" s="1"/>
  <c r="R104" i="14"/>
  <c r="F104" i="14"/>
  <c r="E104" i="14" s="1"/>
  <c r="T262" i="14"/>
  <c r="AI72" i="10"/>
  <c r="T121" i="14"/>
  <c r="T400" i="14"/>
  <c r="U23" i="24"/>
  <c r="V23" i="24"/>
  <c r="R118" i="14"/>
  <c r="F118" i="14"/>
  <c r="E118" i="14" s="1"/>
  <c r="F291" i="14"/>
  <c r="E291" i="14" s="1"/>
  <c r="R291" i="14"/>
  <c r="F207" i="14"/>
  <c r="E207" i="14" s="1"/>
  <c r="R207" i="14"/>
  <c r="S329" i="14"/>
  <c r="T329" i="14"/>
  <c r="V38" i="35"/>
  <c r="AA72" i="29"/>
  <c r="AA76" i="29"/>
  <c r="AQ23" i="20"/>
  <c r="AQ24" i="20"/>
  <c r="AO26" i="20"/>
  <c r="U35" i="12"/>
  <c r="V35" i="12"/>
  <c r="S37" i="8"/>
  <c r="R37" i="8"/>
  <c r="AA76" i="23"/>
  <c r="AA72" i="23"/>
  <c r="T203" i="14"/>
  <c r="S150" i="14"/>
  <c r="T150" i="14"/>
  <c r="T243" i="14"/>
  <c r="AH76" i="24"/>
  <c r="AI76" i="24"/>
  <c r="T300" i="14"/>
  <c r="T321" i="14"/>
  <c r="C80" i="10"/>
  <c r="C81" i="10"/>
  <c r="AH76" i="10"/>
  <c r="AI76" i="10"/>
  <c r="AO26" i="34"/>
  <c r="AQ23" i="34"/>
  <c r="AQ24" i="34"/>
  <c r="E82" i="10"/>
  <c r="E81" i="10"/>
  <c r="E80" i="10"/>
  <c r="C80" i="12"/>
  <c r="C81" i="12"/>
  <c r="D81" i="11"/>
  <c r="D82" i="11"/>
  <c r="D80" i="11"/>
  <c r="T264" i="14"/>
  <c r="R37" i="6"/>
  <c r="S37" i="6"/>
  <c r="U36" i="23"/>
  <c r="V36" i="23"/>
  <c r="T177" i="14"/>
  <c r="T330" i="14"/>
  <c r="T186" i="14"/>
  <c r="T299" i="14"/>
  <c r="T128" i="14"/>
  <c r="T141" i="14"/>
  <c r="T274" i="14"/>
  <c r="V37" i="31"/>
  <c r="U31" i="24"/>
  <c r="V31" i="24"/>
  <c r="AA64" i="24"/>
  <c r="AH64" i="24"/>
  <c r="AI64" i="24"/>
  <c r="Z72" i="24"/>
  <c r="H36" i="34"/>
  <c r="U36" i="34" s="1"/>
  <c r="U35" i="34"/>
  <c r="U21" i="38"/>
  <c r="V21" i="38"/>
  <c r="D82" i="31"/>
  <c r="D80" i="31"/>
  <c r="D81" i="31"/>
  <c r="D81" i="23"/>
  <c r="D82" i="23"/>
  <c r="D80" i="23"/>
  <c r="D81" i="29"/>
  <c r="D80" i="29"/>
  <c r="D82" i="29"/>
  <c r="S166" i="14"/>
  <c r="T166" i="14"/>
  <c r="AO26" i="9"/>
  <c r="AQ19" i="9"/>
  <c r="C81" i="8"/>
  <c r="C80" i="8"/>
  <c r="T269" i="14"/>
  <c r="T200" i="14"/>
  <c r="T209" i="14"/>
  <c r="T132" i="14"/>
  <c r="O20" i="13"/>
  <c r="T407" i="14"/>
  <c r="T151" i="14"/>
  <c r="T240" i="14"/>
  <c r="S38" i="3"/>
  <c r="T414" i="14"/>
  <c r="T160" i="14"/>
  <c r="T374" i="14"/>
  <c r="T381" i="14"/>
  <c r="T219" i="14"/>
  <c r="T236" i="14"/>
  <c r="G80" i="10"/>
  <c r="G81" i="10"/>
  <c r="G82" i="10"/>
  <c r="E82" i="12"/>
  <c r="E80" i="12"/>
  <c r="E81" i="12"/>
  <c r="F81" i="20"/>
  <c r="F82" i="20"/>
  <c r="F80" i="20"/>
  <c r="F80" i="24"/>
  <c r="F81" i="24"/>
  <c r="F82" i="24"/>
  <c r="AO26" i="29"/>
  <c r="AQ23" i="29"/>
  <c r="U31" i="34"/>
  <c r="H37" i="34"/>
  <c r="V31" i="34"/>
  <c r="U25" i="34"/>
  <c r="V25" i="34"/>
  <c r="U23" i="34"/>
  <c r="V23" i="34"/>
  <c r="T290" i="14"/>
  <c r="T276" i="14"/>
  <c r="T298" i="14"/>
  <c r="T105" i="14"/>
  <c r="T285" i="14"/>
  <c r="T297" i="14"/>
  <c r="T223" i="14"/>
  <c r="T232" i="14"/>
  <c r="G50" i="8"/>
  <c r="G47" i="8"/>
  <c r="H45" i="8" s="1"/>
  <c r="H50" i="8" s="1"/>
  <c r="T336" i="14"/>
  <c r="T154" i="14"/>
  <c r="T401" i="14"/>
  <c r="T334" i="14"/>
  <c r="F81" i="8"/>
  <c r="F82" i="8"/>
  <c r="F80" i="8"/>
  <c r="E80" i="9"/>
  <c r="E81" i="9"/>
  <c r="E82" i="9"/>
  <c r="G82" i="31"/>
  <c r="G80" i="31"/>
  <c r="G81" i="31"/>
  <c r="G80" i="23"/>
  <c r="G81" i="23"/>
  <c r="G82" i="23"/>
  <c r="G81" i="24"/>
  <c r="G82" i="24"/>
  <c r="G80" i="24"/>
  <c r="G50" i="29"/>
  <c r="G47" i="29"/>
  <c r="H45" i="29" s="1"/>
  <c r="H50" i="29" s="1"/>
  <c r="T416" i="14"/>
  <c r="T254" i="14"/>
  <c r="T376" i="14"/>
  <c r="T126" i="14"/>
  <c r="T313" i="14"/>
  <c r="S315" i="14"/>
  <c r="T315" i="14"/>
  <c r="T227" i="14"/>
  <c r="T142" i="14"/>
  <c r="AQ6" i="10"/>
  <c r="F70" i="8"/>
  <c r="G67" i="8"/>
  <c r="H70" i="8" s="1"/>
  <c r="U37" i="23"/>
  <c r="V37" i="23"/>
  <c r="D82" i="9"/>
  <c r="F86" i="9" s="1"/>
  <c r="D81" i="9"/>
  <c r="F83" i="9" s="1"/>
  <c r="D80" i="9"/>
  <c r="U37" i="9"/>
  <c r="V37" i="9"/>
  <c r="C80" i="34"/>
  <c r="C81" i="34"/>
  <c r="G80" i="8"/>
  <c r="G81" i="8"/>
  <c r="G82" i="8"/>
  <c r="C81" i="20"/>
  <c r="C80" i="20"/>
  <c r="C80" i="29"/>
  <c r="C81" i="29"/>
  <c r="E83" i="29" s="1"/>
  <c r="T275" i="14"/>
  <c r="T265" i="14"/>
  <c r="AH6" i="8"/>
  <c r="AL6" i="8" s="1"/>
  <c r="AN6" i="8" s="1"/>
  <c r="AK4" i="10"/>
  <c r="C79" i="9"/>
  <c r="D79" i="8"/>
  <c r="AK5" i="9"/>
  <c r="AO5" i="9" s="1"/>
  <c r="R21" i="4"/>
  <c r="S21" i="4"/>
  <c r="T201" i="14"/>
  <c r="T405" i="14"/>
  <c r="V36" i="31"/>
  <c r="T377" i="14"/>
  <c r="T379" i="14"/>
  <c r="T306" i="14"/>
  <c r="T235" i="14"/>
  <c r="AQ23" i="12"/>
  <c r="AO26" i="12"/>
  <c r="AQ24" i="12"/>
  <c r="AQ23" i="31"/>
  <c r="AO26" i="31"/>
  <c r="AQ24" i="31"/>
  <c r="V33" i="24"/>
  <c r="U33" i="24"/>
  <c r="V37" i="24"/>
  <c r="F81" i="10"/>
  <c r="H83" i="10" s="1"/>
  <c r="F80" i="10"/>
  <c r="F82" i="10"/>
  <c r="D81" i="27"/>
  <c r="D80" i="27"/>
  <c r="D82" i="27"/>
  <c r="D81" i="18"/>
  <c r="D82" i="18"/>
  <c r="D80" i="18"/>
  <c r="T332" i="14"/>
  <c r="AK4" i="9"/>
  <c r="AO4" i="9" s="1"/>
  <c r="AH5" i="8"/>
  <c r="AL5" i="8" s="1"/>
  <c r="R21" i="3"/>
  <c r="S21" i="3"/>
  <c r="C79" i="8"/>
  <c r="T278" i="14"/>
  <c r="T224" i="14"/>
  <c r="T279" i="14"/>
  <c r="AA72" i="31"/>
  <c r="AA76" i="31"/>
  <c r="T159" i="14"/>
  <c r="T303" i="14"/>
  <c r="T125" i="14"/>
  <c r="T307" i="14"/>
  <c r="T397" i="14"/>
  <c r="T333" i="14"/>
  <c r="T273" i="14"/>
  <c r="E82" i="29"/>
  <c r="E80" i="29"/>
  <c r="E81" i="29"/>
  <c r="G83" i="29" s="1"/>
  <c r="E82" i="20"/>
  <c r="E80" i="20"/>
  <c r="E81" i="20"/>
  <c r="G83" i="20" s="1"/>
  <c r="H38" i="32"/>
  <c r="U38" i="32" s="1"/>
  <c r="U37" i="32"/>
  <c r="F81" i="29"/>
  <c r="F80" i="29"/>
  <c r="F82" i="29"/>
  <c r="H86" i="29" s="1"/>
  <c r="F80" i="12"/>
  <c r="F81" i="12"/>
  <c r="F82" i="12"/>
  <c r="F80" i="18"/>
  <c r="F81" i="18"/>
  <c r="F82" i="18"/>
  <c r="H77" i="34"/>
  <c r="H76" i="34" s="1"/>
  <c r="U27" i="34"/>
  <c r="V27" i="34"/>
  <c r="H78" i="34"/>
  <c r="U20" i="34"/>
  <c r="V20" i="34"/>
  <c r="U33" i="34"/>
  <c r="V33" i="34"/>
  <c r="V32" i="34"/>
  <c r="U32" i="34"/>
  <c r="AE72" i="7"/>
  <c r="AF72" i="7"/>
  <c r="T111" i="14"/>
  <c r="T261" i="14"/>
  <c r="T194" i="14"/>
  <c r="T296" i="14"/>
  <c r="T130" i="14"/>
  <c r="R38" i="1"/>
  <c r="S38" i="1"/>
  <c r="T410" i="14"/>
  <c r="T247" i="14"/>
  <c r="T148" i="14"/>
  <c r="AI76" i="9"/>
  <c r="AF76" i="6"/>
  <c r="C81" i="11"/>
  <c r="E83" i="11" s="1"/>
  <c r="C80" i="11"/>
  <c r="G81" i="18"/>
  <c r="G82" i="18"/>
  <c r="G80" i="18"/>
  <c r="G81" i="34"/>
  <c r="G82" i="34"/>
  <c r="G80" i="34"/>
  <c r="T255" i="14"/>
  <c r="T178" i="14"/>
  <c r="T214" i="14"/>
  <c r="T217" i="14"/>
  <c r="T398" i="14"/>
  <c r="T345" i="14"/>
  <c r="G50" i="7"/>
  <c r="G47" i="7"/>
  <c r="H45" i="7" s="1"/>
  <c r="H50" i="7" s="1"/>
  <c r="U38" i="37"/>
  <c r="V38" i="37"/>
  <c r="AE76" i="7"/>
  <c r="AF76" i="7"/>
  <c r="AI72" i="23"/>
  <c r="E81" i="8"/>
  <c r="G83" i="8" s="1"/>
  <c r="E82" i="8"/>
  <c r="E80" i="8"/>
  <c r="AQ23" i="24"/>
  <c r="AO26" i="24"/>
  <c r="AQ24" i="24"/>
  <c r="F81" i="9"/>
  <c r="F80" i="9"/>
  <c r="F82" i="9"/>
  <c r="C80" i="27"/>
  <c r="C81" i="27"/>
  <c r="E83" i="27" s="1"/>
  <c r="C80" i="31"/>
  <c r="C81" i="31"/>
  <c r="E83" i="31" s="1"/>
  <c r="T225" i="14"/>
  <c r="C80" i="9"/>
  <c r="C81" i="9"/>
  <c r="E83" i="9" s="1"/>
  <c r="AA56" i="12"/>
  <c r="AA76" i="12" s="1"/>
  <c r="AH56" i="12"/>
  <c r="AI56" i="12"/>
  <c r="Z72" i="12"/>
  <c r="T215" i="14"/>
  <c r="T396" i="14"/>
  <c r="AO26" i="23"/>
  <c r="AQ23" i="23"/>
  <c r="AQ24" i="23"/>
  <c r="Z76" i="12"/>
  <c r="V34" i="24"/>
  <c r="U34" i="24"/>
  <c r="V35" i="24"/>
  <c r="H36" i="24"/>
  <c r="U35" i="24"/>
  <c r="D79" i="34"/>
  <c r="D79" i="31"/>
  <c r="AK6" i="27"/>
  <c r="AO6" i="27" s="1"/>
  <c r="AK6" i="24"/>
  <c r="AO6" i="24" s="1"/>
  <c r="AK6" i="20"/>
  <c r="AO6" i="20" s="1"/>
  <c r="AK6" i="23"/>
  <c r="AO6" i="23" s="1"/>
  <c r="D79" i="20"/>
  <c r="D79" i="18"/>
  <c r="D79" i="12"/>
  <c r="AK6" i="34"/>
  <c r="AO6" i="34" s="1"/>
  <c r="AK6" i="31"/>
  <c r="AO6" i="31" s="1"/>
  <c r="AK6" i="29"/>
  <c r="AO6" i="29" s="1"/>
  <c r="S21" i="8"/>
  <c r="R21" i="8"/>
  <c r="G79" i="9"/>
  <c r="AK6" i="12"/>
  <c r="AO6" i="12" s="1"/>
  <c r="AK6" i="18"/>
  <c r="AO6" i="18" s="1"/>
  <c r="AK10" i="9"/>
  <c r="H79" i="8"/>
  <c r="F79" i="10"/>
  <c r="AK8" i="11"/>
  <c r="AO8" i="11" s="1"/>
  <c r="D79" i="23"/>
  <c r="D79" i="24"/>
  <c r="AK9" i="10"/>
  <c r="AO9" i="10" s="1"/>
  <c r="D79" i="27"/>
  <c r="D79" i="29"/>
  <c r="AH11" i="8"/>
  <c r="AL11" i="8" s="1"/>
  <c r="AN11" i="8" s="1"/>
  <c r="E79" i="11"/>
  <c r="D82" i="34"/>
  <c r="D81" i="34"/>
  <c r="D80" i="34"/>
  <c r="E81" i="11"/>
  <c r="E82" i="11"/>
  <c r="E80" i="11"/>
  <c r="T112" i="14"/>
  <c r="T348" i="14"/>
  <c r="T277" i="14"/>
  <c r="T287" i="14"/>
  <c r="T309" i="14"/>
  <c r="S325" i="14"/>
  <c r="T325" i="14"/>
  <c r="T331" i="14"/>
  <c r="T302" i="14"/>
  <c r="T127" i="14"/>
  <c r="T324" i="14"/>
  <c r="S157" i="14"/>
  <c r="T157" i="14"/>
  <c r="E80" i="34"/>
  <c r="E81" i="34"/>
  <c r="E82" i="34"/>
  <c r="E80" i="27"/>
  <c r="E81" i="27"/>
  <c r="E82" i="27"/>
  <c r="E81" i="23"/>
  <c r="E82" i="23"/>
  <c r="E80" i="23"/>
  <c r="F80" i="27"/>
  <c r="F81" i="27"/>
  <c r="F82" i="27"/>
  <c r="G80" i="11"/>
  <c r="G81" i="11"/>
  <c r="G82" i="11"/>
  <c r="AO26" i="27"/>
  <c r="AQ23" i="27"/>
  <c r="AQ24" i="27"/>
  <c r="AA48" i="34"/>
  <c r="AH48" i="34"/>
  <c r="Z72" i="34"/>
  <c r="AI48" i="34"/>
  <c r="Z76" i="34"/>
  <c r="U34" i="34"/>
  <c r="V34" i="34"/>
  <c r="V28" i="34"/>
  <c r="U28" i="34"/>
  <c r="V37" i="11"/>
  <c r="U37" i="11"/>
  <c r="X76" i="8"/>
  <c r="X72" i="8"/>
  <c r="T367" i="14"/>
  <c r="T323" i="14"/>
  <c r="AP13" i="11"/>
  <c r="AR5" i="11"/>
  <c r="Z76" i="20"/>
  <c r="AH76" i="20" s="1"/>
  <c r="H37" i="20"/>
  <c r="U37" i="20" s="1"/>
  <c r="T270" i="14"/>
  <c r="T117" i="14"/>
  <c r="T384" i="14"/>
  <c r="T411" i="14"/>
  <c r="T244" i="14"/>
  <c r="T146" i="14"/>
  <c r="AH4" i="8"/>
  <c r="R21" i="2"/>
  <c r="V21" i="32"/>
  <c r="G80" i="20"/>
  <c r="G81" i="20"/>
  <c r="G82" i="20"/>
  <c r="G80" i="29"/>
  <c r="G81" i="29"/>
  <c r="G82" i="29"/>
  <c r="AI76" i="23"/>
  <c r="T250" i="14"/>
  <c r="T271" i="14"/>
  <c r="T301" i="14"/>
  <c r="T220" i="14"/>
  <c r="T229" i="14"/>
  <c r="T234" i="14"/>
  <c r="R37" i="5"/>
  <c r="H38" i="5"/>
  <c r="S37" i="5"/>
  <c r="AQ6" i="9"/>
  <c r="AQ8" i="9"/>
  <c r="AA68" i="18"/>
  <c r="AH68" i="18"/>
  <c r="AI68" i="18"/>
  <c r="AQ23" i="18"/>
  <c r="AO26" i="18"/>
  <c r="AQ24" i="18"/>
  <c r="S110" i="14"/>
  <c r="T110" i="14"/>
  <c r="T149" i="14"/>
  <c r="S149" i="14"/>
  <c r="AA72" i="18"/>
  <c r="T404" i="14"/>
  <c r="R37" i="7"/>
  <c r="S37" i="7"/>
  <c r="T378" i="14"/>
  <c r="U37" i="10"/>
  <c r="V37" i="10"/>
  <c r="V36" i="34"/>
  <c r="C81" i="24"/>
  <c r="E83" i="24" s="1"/>
  <c r="C80" i="24"/>
  <c r="C80" i="23"/>
  <c r="C81" i="23"/>
  <c r="E83" i="23" s="1"/>
  <c r="C80" i="18"/>
  <c r="C81" i="18"/>
  <c r="U35" i="29"/>
  <c r="H36" i="29"/>
  <c r="V35" i="29"/>
  <c r="T190" i="14"/>
  <c r="T184" i="14"/>
  <c r="T385" i="14"/>
  <c r="S311" i="14"/>
  <c r="T311" i="14"/>
  <c r="D82" i="8"/>
  <c r="F86" i="8" s="1"/>
  <c r="D80" i="8"/>
  <c r="D81" i="8"/>
  <c r="F83" i="8" s="1"/>
  <c r="S119" i="14"/>
  <c r="T119" i="14"/>
  <c r="T242" i="14"/>
  <c r="T280" i="14"/>
  <c r="AI72" i="29"/>
  <c r="T216" i="14"/>
  <c r="T143" i="14"/>
  <c r="AI72" i="18"/>
  <c r="AA72" i="10"/>
  <c r="AA76" i="10"/>
  <c r="U37" i="12"/>
  <c r="V37" i="12"/>
  <c r="H78" i="24"/>
  <c r="V20" i="24"/>
  <c r="U20" i="24"/>
  <c r="U32" i="24"/>
  <c r="V32" i="24"/>
  <c r="D81" i="24"/>
  <c r="D82" i="24"/>
  <c r="D80" i="24"/>
  <c r="D82" i="12"/>
  <c r="D80" i="12"/>
  <c r="D81" i="12"/>
  <c r="F83" i="12" s="1"/>
  <c r="G82" i="9"/>
  <c r="G80" i="9"/>
  <c r="G81" i="9"/>
  <c r="D80" i="20"/>
  <c r="D81" i="20"/>
  <c r="F83" i="20" s="1"/>
  <c r="D82" i="20"/>
  <c r="F86" i="20" s="1"/>
  <c r="T365" i="14"/>
  <c r="S165" i="14"/>
  <c r="T165" i="14"/>
  <c r="AI72" i="11"/>
  <c r="T106" i="14"/>
  <c r="T387" i="14"/>
  <c r="T406" i="14"/>
  <c r="T156" i="14"/>
  <c r="T346" i="14"/>
  <c r="R37" i="2"/>
  <c r="H38" i="2"/>
  <c r="S37" i="2"/>
  <c r="S340" i="14"/>
  <c r="T340" i="14"/>
  <c r="T253" i="14"/>
  <c r="T179" i="14"/>
  <c r="T123" i="14"/>
  <c r="T124" i="14"/>
  <c r="T322" i="14"/>
  <c r="S158" i="14"/>
  <c r="T158" i="14"/>
  <c r="F82" i="11"/>
  <c r="F80" i="11"/>
  <c r="F81" i="11"/>
  <c r="E81" i="24"/>
  <c r="E80" i="24"/>
  <c r="E82" i="24"/>
  <c r="G86" i="24" s="1"/>
  <c r="E82" i="18"/>
  <c r="G86" i="18" s="1"/>
  <c r="E80" i="18"/>
  <c r="E81" i="18"/>
  <c r="G83" i="18" s="1"/>
  <c r="E81" i="31"/>
  <c r="G83" i="31" s="1"/>
  <c r="E80" i="31"/>
  <c r="E82" i="31"/>
  <c r="F82" i="31"/>
  <c r="H86" i="31" s="1"/>
  <c r="F80" i="31"/>
  <c r="F81" i="31"/>
  <c r="H83" i="31" s="1"/>
  <c r="F80" i="34"/>
  <c r="F81" i="34"/>
  <c r="F82" i="34"/>
  <c r="H86" i="34" s="1"/>
  <c r="F82" i="23"/>
  <c r="H86" i="23" s="1"/>
  <c r="F80" i="23"/>
  <c r="F81" i="23"/>
  <c r="H83" i="23" s="1"/>
  <c r="U21" i="37"/>
  <c r="V21" i="37"/>
  <c r="V37" i="20"/>
  <c r="U26" i="34"/>
  <c r="V26" i="34"/>
  <c r="U30" i="34"/>
  <c r="V30" i="34"/>
  <c r="U29" i="34"/>
  <c r="V29" i="34"/>
  <c r="V24" i="34"/>
  <c r="U24" i="34"/>
  <c r="AA72" i="20"/>
  <c r="AA76" i="20"/>
  <c r="T366" i="14"/>
  <c r="T260" i="14"/>
  <c r="T341" i="14"/>
  <c r="T185" i="14"/>
  <c r="T199" i="14"/>
  <c r="S113" i="14"/>
  <c r="T113" i="14"/>
  <c r="T372" i="14"/>
  <c r="T129" i="14"/>
  <c r="T245" i="14"/>
  <c r="T187" i="14"/>
  <c r="T145" i="14"/>
  <c r="D80" i="10"/>
  <c r="D82" i="10"/>
  <c r="F86" i="10" s="1"/>
  <c r="D81" i="10"/>
  <c r="F83" i="10" s="1"/>
  <c r="G80" i="27"/>
  <c r="G81" i="27"/>
  <c r="G82" i="27"/>
  <c r="G81" i="12"/>
  <c r="G82" i="12"/>
  <c r="G80" i="12"/>
  <c r="T418" i="14"/>
  <c r="T163" i="14"/>
  <c r="T122" i="14"/>
  <c r="T383" i="14"/>
  <c r="AN9" i="8"/>
  <c r="AN8" i="8"/>
  <c r="AO4" i="11"/>
  <c r="AK13" i="11"/>
  <c r="V38" i="40"/>
  <c r="V38" i="39"/>
  <c r="F86" i="12" l="1"/>
  <c r="G86" i="20"/>
  <c r="AI13" i="8"/>
  <c r="AM4" i="8"/>
  <c r="V26" i="27"/>
  <c r="U26" i="27"/>
  <c r="U24" i="27"/>
  <c r="V24" i="27"/>
  <c r="H83" i="34"/>
  <c r="H86" i="11"/>
  <c r="F86" i="24"/>
  <c r="G86" i="27"/>
  <c r="U31" i="27"/>
  <c r="V31" i="27"/>
  <c r="H37" i="27"/>
  <c r="AA50" i="27"/>
  <c r="AH50" i="27"/>
  <c r="Z72" i="27"/>
  <c r="Z76" i="27"/>
  <c r="AI50" i="27"/>
  <c r="G86" i="8"/>
  <c r="H36" i="27"/>
  <c r="U35" i="27"/>
  <c r="V35" i="27"/>
  <c r="U33" i="27"/>
  <c r="V33" i="27"/>
  <c r="V20" i="27"/>
  <c r="H78" i="27"/>
  <c r="U20" i="27"/>
  <c r="U34" i="27"/>
  <c r="V34" i="27"/>
  <c r="F86" i="34"/>
  <c r="U30" i="27"/>
  <c r="V30" i="27"/>
  <c r="U25" i="27"/>
  <c r="V25" i="27"/>
  <c r="H86" i="10"/>
  <c r="V32" i="27"/>
  <c r="U32" i="27"/>
  <c r="U29" i="27"/>
  <c r="V29" i="27"/>
  <c r="U28" i="27"/>
  <c r="V28" i="27"/>
  <c r="G83" i="24"/>
  <c r="U27" i="27"/>
  <c r="H77" i="27"/>
  <c r="H76" i="27" s="1"/>
  <c r="V27" i="27"/>
  <c r="AQ6" i="18"/>
  <c r="AQ8" i="18"/>
  <c r="AO4" i="10"/>
  <c r="AK13" i="10"/>
  <c r="H86" i="24"/>
  <c r="H86" i="20"/>
  <c r="G86" i="12"/>
  <c r="E83" i="8"/>
  <c r="AA72" i="12"/>
  <c r="F86" i="11"/>
  <c r="E83" i="10"/>
  <c r="G83" i="34"/>
  <c r="AQ8" i="11"/>
  <c r="AQ9" i="11"/>
  <c r="F83" i="18"/>
  <c r="G86" i="31"/>
  <c r="F83" i="24"/>
  <c r="R38" i="5"/>
  <c r="S38" i="5"/>
  <c r="AH72" i="34"/>
  <c r="AI72" i="34"/>
  <c r="G83" i="27"/>
  <c r="G83" i="11"/>
  <c r="AQ9" i="10"/>
  <c r="AQ10" i="10"/>
  <c r="AQ6" i="12"/>
  <c r="AQ8" i="12"/>
  <c r="AQ6" i="29"/>
  <c r="AQ8" i="29"/>
  <c r="AQ6" i="24"/>
  <c r="AQ8" i="24"/>
  <c r="H83" i="9"/>
  <c r="H86" i="12"/>
  <c r="F86" i="27"/>
  <c r="AQ5" i="9"/>
  <c r="G86" i="9"/>
  <c r="H86" i="8"/>
  <c r="AI76" i="20"/>
  <c r="H83" i="24"/>
  <c r="H83" i="20"/>
  <c r="F86" i="29"/>
  <c r="F86" i="23"/>
  <c r="F86" i="31"/>
  <c r="AA72" i="24"/>
  <c r="AA76" i="24"/>
  <c r="F83" i="11"/>
  <c r="G83" i="10"/>
  <c r="U36" i="29"/>
  <c r="V36" i="29"/>
  <c r="AH72" i="12"/>
  <c r="AI72" i="12"/>
  <c r="V38" i="32"/>
  <c r="H83" i="11"/>
  <c r="E83" i="18"/>
  <c r="AL4" i="8"/>
  <c r="AL13" i="8" s="1"/>
  <c r="AH13" i="8"/>
  <c r="H86" i="27"/>
  <c r="G86" i="23"/>
  <c r="AQ6" i="31"/>
  <c r="AQ8" i="31"/>
  <c r="AQ6" i="27"/>
  <c r="AQ8" i="27"/>
  <c r="U36" i="24"/>
  <c r="V36" i="24"/>
  <c r="AH76" i="12"/>
  <c r="AI76" i="12"/>
  <c r="H86" i="18"/>
  <c r="H83" i="12"/>
  <c r="H83" i="29"/>
  <c r="G86" i="29"/>
  <c r="G83" i="9"/>
  <c r="H83" i="8"/>
  <c r="G83" i="12"/>
  <c r="F83" i="23"/>
  <c r="AH72" i="24"/>
  <c r="AI72" i="24"/>
  <c r="E83" i="12"/>
  <c r="G86" i="10"/>
  <c r="G86" i="11"/>
  <c r="AQ6" i="20"/>
  <c r="AQ8" i="20"/>
  <c r="AQ5" i="11"/>
  <c r="AO13" i="11"/>
  <c r="R38" i="2"/>
  <c r="S38" i="2"/>
  <c r="AH76" i="34"/>
  <c r="AI76" i="34"/>
  <c r="AA72" i="34"/>
  <c r="AA76" i="34"/>
  <c r="G83" i="23"/>
  <c r="G86" i="34"/>
  <c r="F83" i="34"/>
  <c r="AO10" i="9"/>
  <c r="AK13" i="9"/>
  <c r="AQ8" i="34"/>
  <c r="AQ6" i="34"/>
  <c r="AQ6" i="23"/>
  <c r="AQ8" i="23"/>
  <c r="H86" i="9"/>
  <c r="H83" i="18"/>
  <c r="AN5" i="8"/>
  <c r="F86" i="18"/>
  <c r="F83" i="27"/>
  <c r="E83" i="20"/>
  <c r="E83" i="34"/>
  <c r="U37" i="34"/>
  <c r="V37" i="34"/>
  <c r="F83" i="29"/>
  <c r="F83" i="31"/>
  <c r="U37" i="27" l="1"/>
  <c r="V37" i="27"/>
  <c r="AA72" i="27"/>
  <c r="AA76" i="27"/>
  <c r="H83" i="27"/>
  <c r="U36" i="27"/>
  <c r="V36" i="27"/>
  <c r="AM13" i="8"/>
  <c r="AO5" i="8"/>
  <c r="AH76" i="27"/>
  <c r="AI76" i="27"/>
  <c r="AH72" i="27"/>
  <c r="AI72" i="27"/>
  <c r="AO13" i="9"/>
  <c r="AQ10" i="9"/>
  <c r="AQ11" i="9"/>
  <c r="AO13" i="10"/>
  <c r="AQ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</authors>
  <commentList>
    <comment ref="R4" authorId="0" shapeId="0" xr:uid="{00000000-0006-0000-1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
世帯数の数字</t>
        </r>
      </text>
    </comment>
    <comment ref="S4" authorId="0" shapeId="0" xr:uid="{00000000-0006-0000-1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F5" authorId="0" shapeId="0" xr:uid="{00000000-0006-0000-1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退職者医療状況世帯数「世帯数」の数字</t>
        </r>
      </text>
    </comment>
    <comment ref="G5" authorId="0" shapeId="0" xr:uid="{00000000-0006-0000-1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　単独世帯数」</t>
        </r>
      </text>
    </comment>
    <comment ref="J5" authorId="0" shapeId="0" xr:uid="{00000000-0006-0000-1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毎月ITより受信する帳票のA021が、若人今月分
</t>
        </r>
      </text>
    </comment>
    <comment ref="K5" authorId="0" shapeId="0" xr:uid="{00000000-0006-0000-1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毎月ITより受信する帳票のA021が、老人今月分</t>
        </r>
      </text>
    </comment>
    <comment ref="M5" authorId="0" shapeId="0" xr:uid="{00000000-0006-0000-1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国保連合会よりもらう
退職被保険者等　一般状況　の用紙の
退職被保険者　数
</t>
        </r>
      </text>
    </comment>
    <comment ref="N5" authorId="0" shapeId="0" xr:uid="{00000000-0006-0000-1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国保連合会よりもらう
退職被保険者等　一般状況　の用紙の
被扶養者数の数
</t>
        </r>
      </text>
    </comment>
    <comment ref="O5" authorId="0" shapeId="0" xr:uid="{00000000-0006-0000-1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被保険者数移動連絡表の「介護保険２号被保険者」表中の介護分被保険者数の数値
</t>
        </r>
      </text>
    </comment>
    <comment ref="Q5" authorId="0" shapeId="0" xr:uid="{00000000-0006-0000-1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国民健康保険　被保険者移動連絡表の「介護分　退職数」の数値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A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A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A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A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A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A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A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A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A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A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A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B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B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B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B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B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B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B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B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B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B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B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C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C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C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C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C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C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C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C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C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C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C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C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D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D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D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D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D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D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D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D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D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D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D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D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E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E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E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E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E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E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E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E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E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E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E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E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1F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F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F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F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F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F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F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F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F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F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F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F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1F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2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2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2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2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2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2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2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2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2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2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20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20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20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2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2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2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2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21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2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2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2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21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21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21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21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21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  <author>Windows ユーザー</author>
  </authors>
  <commentList>
    <comment ref="R4" authorId="0" shapeId="0" xr:uid="{00000000-0006-0000-2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2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22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22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22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22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22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22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22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22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22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22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B7" authorId="2" shapeId="0" xr:uid="{00000000-0006-0000-2200-00000D000000}">
      <text>
        <r>
          <rPr>
            <sz val="12"/>
            <color indexed="81"/>
            <rFont val="ＭＳ Ｐゴシック"/>
            <family val="3"/>
            <charset val="128"/>
          </rPr>
          <t>前年度3月のみ値で貼り付け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Administrator</author>
  </authors>
  <commentList>
    <comment ref="R4" authorId="0" shapeId="0" xr:uid="{00000000-0006-0000-1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F5" authorId="0" shapeId="0" xr:uid="{00000000-0006-0000-1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退職者医療状況世帯数「世帯数」の数字</t>
        </r>
      </text>
    </comment>
    <comment ref="G5" authorId="0" shapeId="0" xr:uid="{00000000-0006-0000-1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　単独世帯数」</t>
        </r>
      </text>
    </comment>
    <comment ref="H5" authorId="1" shapeId="0" xr:uid="{00000000-0006-0000-12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月報Ａ表に使う資料
Ａ103の数字が入ってるか確認　
</t>
        </r>
      </text>
    </comment>
    <comment ref="J5" authorId="0" shapeId="0" xr:uid="{00000000-0006-0000-1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毎月ITより受信する帳票のＡ013（被保険者数総数の本月末現）-ｋ○-Ｌ○
</t>
        </r>
      </text>
    </comment>
    <comment ref="K5" authorId="0" shapeId="0" xr:uid="{00000000-0006-0000-1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毎月ITより受信する帳票のA100が、老人今月分</t>
        </r>
      </text>
    </comment>
    <comment ref="M5" authorId="0" shapeId="0" xr:uid="{00000000-0006-0000-1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ＩＴよりもらうデーター
Ｅ012
退職被保険者等数の　
退職被保険者の本月末現在
</t>
        </r>
      </text>
    </comment>
    <comment ref="N5" authorId="0" shapeId="0" xr:uid="{00000000-0006-0000-1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国保連合会よりもらう
退職被保険者等　一般状況　の用紙の
被扶養者数の数
</t>
        </r>
      </text>
    </comment>
    <comment ref="O5" authorId="0" shapeId="0" xr:uid="{00000000-0006-0000-1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被保険者数移動連絡表の「介護保険２号被保険者」表中の介護分被保険者数の数値
</t>
        </r>
      </text>
    </comment>
    <comment ref="Q5" authorId="0" shapeId="0" xr:uid="{00000000-0006-0000-1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C9" authorId="1" shapeId="0" xr:uid="{00000000-0006-0000-1200-00000C000000}">
      <text>
        <r>
          <rPr>
            <sz val="10"/>
            <color indexed="81"/>
            <rFont val="ＭＳ Ｐゴシック"/>
            <family val="3"/>
            <charset val="128"/>
          </rPr>
          <t>H25.11.28修正
（修正前43,437転記ミス？）</t>
        </r>
      </text>
    </comment>
    <comment ref="J11" authorId="0" shapeId="0" xr:uid="{00000000-0006-0000-1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Ａ013（被保険者数総数の本月末現）-ｋ10
-Ｌ10
</t>
        </r>
      </text>
    </comment>
    <comment ref="Q14" authorId="1" shapeId="0" xr:uid="{00000000-0006-0000-1200-00000E000000}">
      <text>
        <r>
          <rPr>
            <sz val="10"/>
            <color indexed="81"/>
            <rFont val="ＭＳ Ｐゴシック"/>
            <family val="3"/>
            <charset val="128"/>
          </rPr>
          <t>H24.9.7修正
※4,596（退職全体の数字が入っていた）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Administrator</author>
  </authors>
  <commentList>
    <comment ref="R4" authorId="0" shapeId="0" xr:uid="{00000000-0006-0000-1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F5" authorId="0" shapeId="0" xr:uid="{00000000-0006-0000-1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退職者医療状況世帯数「世帯数」の数字</t>
        </r>
      </text>
    </comment>
    <comment ref="G5" authorId="0" shapeId="0" xr:uid="{00000000-0006-0000-1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　単独世帯数」</t>
        </r>
      </text>
    </comment>
    <comment ref="H5" authorId="1" shapeId="0" xr:uid="{00000000-0006-0000-13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月報Ａ表に使う資料
Ａ103の数字が入ってるか確認　
</t>
        </r>
      </text>
    </comment>
    <comment ref="J5" authorId="0" shapeId="0" xr:uid="{00000000-0006-0000-1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毎月ITより受信する帳票のＡ013（被保険者数総数の本月末現）-ｋ○-Ｌ○
</t>
        </r>
      </text>
    </comment>
    <comment ref="K5" authorId="0" shapeId="0" xr:uid="{00000000-0006-0000-1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毎月ITより受信する帳票のA100が、老人今月分</t>
        </r>
      </text>
    </comment>
    <comment ref="M5" authorId="0" shapeId="0" xr:uid="{00000000-0006-0000-1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ＩＴよりもらうデーター
Ｅ012
退職被保険者等数の　
退職被保険者の本月末現在
</t>
        </r>
      </text>
    </comment>
    <comment ref="N5" authorId="0" shapeId="0" xr:uid="{00000000-0006-0000-1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国保連合会よりもらう
退職被保険者等　一般状況　の用紙の
被扶養者数の数
</t>
        </r>
      </text>
    </comment>
    <comment ref="O5" authorId="0" shapeId="0" xr:uid="{00000000-0006-0000-1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被保険者数移動連絡表の「介護保険２号被保険者」表中の介護分被保険者数の数値
</t>
        </r>
      </text>
    </comment>
    <comment ref="Q5" authorId="0" shapeId="0" xr:uid="{00000000-0006-0000-13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M8" authorId="1" shapeId="0" xr:uid="{00000000-0006-0000-1300-00000C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8" authorId="1" shapeId="0" xr:uid="{00000000-0006-0000-1300-00000D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C9" authorId="1" shapeId="0" xr:uid="{00000000-0006-0000-1300-00000E000000}">
      <text>
        <r>
          <rPr>
            <sz val="10"/>
            <color indexed="81"/>
            <rFont val="ＭＳ Ｐゴシック"/>
            <family val="3"/>
            <charset val="128"/>
          </rPr>
          <t>H25.11.28修正
（修正前43,437転記ミス？）</t>
        </r>
      </text>
    </comment>
    <comment ref="M9" authorId="1" shapeId="0" xr:uid="{00000000-0006-0000-1300-00000F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9" authorId="1" shapeId="0" xr:uid="{00000000-0006-0000-1300-000010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0" authorId="1" shapeId="0" xr:uid="{00000000-0006-0000-1300-000011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0" authorId="1" shapeId="0" xr:uid="{00000000-0006-0000-1300-000012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J11" authorId="0" shapeId="0" xr:uid="{00000000-0006-0000-1300-00001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Ａ013（被保険者数総数の本月末現）-ｋ10
-Ｌ10
</t>
        </r>
      </text>
    </comment>
    <comment ref="M11" authorId="1" shapeId="0" xr:uid="{00000000-0006-0000-1300-000014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1" authorId="1" shapeId="0" xr:uid="{00000000-0006-0000-1300-000015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2" authorId="1" shapeId="0" xr:uid="{00000000-0006-0000-1300-000016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2" authorId="1" shapeId="0" xr:uid="{00000000-0006-0000-1300-000017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3" authorId="1" shapeId="0" xr:uid="{00000000-0006-0000-1300-000018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3" authorId="1" shapeId="0" xr:uid="{00000000-0006-0000-1300-000019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4" authorId="1" shapeId="0" xr:uid="{00000000-0006-0000-1300-00001A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4" authorId="1" shapeId="0" xr:uid="{00000000-0006-0000-1300-00001B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Q14" authorId="1" shapeId="0" xr:uid="{00000000-0006-0000-1300-00001C000000}">
      <text>
        <r>
          <rPr>
            <sz val="10"/>
            <color indexed="81"/>
            <rFont val="ＭＳ Ｐゴシック"/>
            <family val="3"/>
            <charset val="128"/>
          </rPr>
          <t>H24.9.7修正
※4,596（退職全体の数字が入っていた）</t>
        </r>
      </text>
    </comment>
    <comment ref="M15" authorId="1" shapeId="0" xr:uid="{00000000-0006-0000-1300-00001D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5" authorId="1" shapeId="0" xr:uid="{00000000-0006-0000-1300-00001E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6" authorId="1" shapeId="0" xr:uid="{00000000-0006-0000-1300-00001F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6" authorId="1" shapeId="0" xr:uid="{00000000-0006-0000-1300-000020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7" authorId="1" shapeId="0" xr:uid="{00000000-0006-0000-1300-000021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7" authorId="1" shapeId="0" xr:uid="{00000000-0006-0000-1300-000022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8" authorId="1" shapeId="0" xr:uid="{00000000-0006-0000-1300-000023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8" authorId="1" shapeId="0" xr:uid="{00000000-0006-0000-1300-000024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M19" authorId="1" shapeId="0" xr:uid="{00000000-0006-0000-1300-000025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N19" authorId="1" shapeId="0" xr:uid="{00000000-0006-0000-1300-000026000000}">
      <text>
        <r>
          <rPr>
            <sz val="10"/>
            <color indexed="81"/>
            <rFont val="ＭＳ Ｐゴシック"/>
            <family val="3"/>
            <charset val="128"/>
          </rPr>
          <t>H25.12.4修正
（月報報告値に復元）</t>
        </r>
      </text>
    </comment>
    <comment ref="H36" authorId="1" shapeId="0" xr:uid="{00000000-0006-0000-1300-000027000000}">
      <text>
        <r>
          <rPr>
            <sz val="10"/>
            <color indexed="81"/>
            <rFont val="ＭＳ Ｐゴシック"/>
            <family val="3"/>
            <charset val="128"/>
          </rPr>
          <t>年報：77,124人</t>
        </r>
      </text>
    </comment>
    <comment ref="I36" authorId="1" shapeId="0" xr:uid="{00000000-0006-0000-1300-000028000000}">
      <text>
        <r>
          <rPr>
            <sz val="10"/>
            <color indexed="81"/>
            <rFont val="ＭＳ Ｐゴシック"/>
            <family val="3"/>
            <charset val="128"/>
          </rPr>
          <t>年報：70,847人</t>
        </r>
      </text>
    </comment>
    <comment ref="J36" authorId="1" shapeId="0" xr:uid="{00000000-0006-0000-1300-000029000000}">
      <text>
        <r>
          <rPr>
            <sz val="10"/>
            <color indexed="81"/>
            <rFont val="ＭＳ Ｐゴシック"/>
            <family val="3"/>
            <charset val="128"/>
          </rPr>
          <t>年報より計算：44,866人</t>
        </r>
      </text>
    </comment>
    <comment ref="K36" authorId="1" shapeId="0" xr:uid="{00000000-0006-0000-1300-00002A000000}">
      <text>
        <r>
          <rPr>
            <sz val="10"/>
            <color indexed="81"/>
            <rFont val="ＭＳ Ｐゴシック"/>
            <family val="3"/>
            <charset val="128"/>
          </rPr>
          <t>年報：25,981人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Administrator</author>
  </authors>
  <commentList>
    <comment ref="R4" authorId="0" shapeId="0" xr:uid="{00000000-0006-0000-1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F5" authorId="0" shapeId="0" xr:uid="{00000000-0006-0000-1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退職者医療状況世帯数「世帯数」の数字</t>
        </r>
      </text>
    </comment>
    <comment ref="G5" authorId="0" shapeId="0" xr:uid="{00000000-0006-0000-1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毎月ITより出る「国民健康保険　異動件数表」の左下　退職者医療状況世帯数「世帯数　単独世帯数」</t>
        </r>
      </text>
    </comment>
    <comment ref="H5" authorId="1" shapeId="0" xr:uid="{00000000-0006-0000-14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月報Ａ表に使う資料
Ａ103の数字が入ってるか確認　
</t>
        </r>
      </text>
    </comment>
    <comment ref="J5" authorId="0" shapeId="0" xr:uid="{00000000-0006-0000-1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毎月ITより受信する帳票のＡ013（被保険者数総数の本月末現）-ｋ○-Ｌ○
</t>
        </r>
      </text>
    </comment>
    <comment ref="K5" authorId="0" shapeId="0" xr:uid="{00000000-0006-0000-1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毎月ITより受信する帳票のA100が、老人今月分</t>
        </r>
      </text>
    </comment>
    <comment ref="M5" authorId="0" shapeId="0" xr:uid="{00000000-0006-0000-1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ＩＴよりもらうデーター
Ｅ012
退職被保険者等数の　
退職被保険者の本月末現在
</t>
        </r>
      </text>
    </comment>
    <comment ref="N5" authorId="0" shapeId="0" xr:uid="{00000000-0006-0000-1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国保連合会よりもらう
退職被保険者等　一般状況　の用紙の
被扶養者数の数
</t>
        </r>
      </text>
    </comment>
    <comment ref="O5" authorId="0" shapeId="0" xr:uid="{00000000-0006-0000-1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被保険者数移動連絡表の「介護保険２号被保険者」表中の介護分被保険者数の数値
</t>
        </r>
      </text>
    </comment>
    <comment ref="Q5" authorId="0" shapeId="0" xr:uid="{00000000-0006-0000-1400-00000B000000}">
      <text>
        <r>
          <rPr>
            <sz val="9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  <comment ref="J11" authorId="0" shapeId="0" xr:uid="{00000000-0006-0000-1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Ａ013（被保険者数総数の本月末現）-ｋ10
-Ｌ10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</authors>
  <commentList>
    <comment ref="R4" authorId="0" shapeId="0" xr:uid="{00000000-0006-0000-1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5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5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5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5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5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5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5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5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5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500-00000C000000}">
      <text>
        <r>
          <rPr>
            <sz val="9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</authors>
  <commentList>
    <comment ref="R4" authorId="0" shapeId="0" xr:uid="{00000000-0006-0000-1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6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6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6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6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6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6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6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6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6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600-00000C000000}">
      <text>
        <r>
          <rPr>
            <sz val="9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</authors>
  <commentList>
    <comment ref="R4" authorId="0" shapeId="0" xr:uid="{00000000-0006-0000-1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7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7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7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7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7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7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7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7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7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7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</authors>
  <commentList>
    <comment ref="R4" authorId="0" shapeId="0" xr:uid="{00000000-0006-0000-1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8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8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8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8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8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8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8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8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8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8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FMV-USER</author>
    <author>010074</author>
  </authors>
  <commentList>
    <comment ref="R4" authorId="0" shapeId="0" xr:uid="{00000000-0006-0000-1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ＩＴの統計より（ホームページ）
世帯数の数字
月末の数字がないため次月初めの数字を使う</t>
        </r>
      </text>
    </comment>
    <comment ref="S4" authorId="0" shapeId="0" xr:uid="{00000000-0006-0000-1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ＩＴの人口統計
総数の数字</t>
        </r>
      </text>
    </comment>
    <comment ref="C5" authorId="1" shapeId="0" xr:uid="{00000000-0006-0000-19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「ＧＥＰＰＯ」データＡ００９
</t>
        </r>
      </text>
    </comment>
    <comment ref="F5" authorId="0" shapeId="0" xr:uid="{00000000-0006-0000-19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「GEPPO」データのE008</t>
        </r>
      </text>
    </comment>
    <comment ref="G5" authorId="0" shapeId="0" xr:uid="{00000000-0006-0000-19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「GEPPO」データのE004</t>
        </r>
      </text>
    </comment>
    <comment ref="I5" authorId="1" shapeId="0" xr:uid="{00000000-0006-0000-19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「GEPPO」データのA025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5" authorId="0" shapeId="0" xr:uid="{00000000-0006-0000-19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I-K</t>
        </r>
      </text>
    </comment>
    <comment ref="K5" authorId="0" shapeId="0" xr:uid="{00000000-0006-0000-19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「GEPPO」データA100</t>
        </r>
      </text>
    </comment>
    <comment ref="M5" authorId="0" shapeId="0" xr:uid="{00000000-0006-0000-19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「GEPPO」データＥ012
</t>
        </r>
      </text>
    </comment>
    <comment ref="N5" authorId="0" shapeId="0" xr:uid="{00000000-0006-0000-19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「ＧＥＰＰＯ」データＥ０１６</t>
        </r>
      </text>
    </comment>
    <comment ref="O5" authorId="0" shapeId="0" xr:uid="{00000000-0006-0000-19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「ＧＥＰＰＯ」データＡ０７８
</t>
        </r>
      </text>
    </comment>
    <comment ref="Q5" authorId="0" shapeId="0" xr:uid="{00000000-0006-0000-1900-00000C000000}">
      <text>
        <r>
          <rPr>
            <sz val="12"/>
            <color indexed="62"/>
            <rFont val="ＭＳ Ｐゴシック"/>
            <family val="3"/>
            <charset val="128"/>
          </rPr>
          <t xml:space="preserve">年齢階級別被保険者数調べの2号被保険者〔退職〕の被保険者計を記載
</t>
        </r>
      </text>
    </comment>
  </commentList>
</comments>
</file>

<file path=xl/sharedStrings.xml><?xml version="1.0" encoding="utf-8"?>
<sst xmlns="http://schemas.openxmlformats.org/spreadsheetml/2006/main" count="6871" uniqueCount="2862">
  <si>
    <t>平成4年度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</si>
  <si>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</si>
  <si>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</si>
  <si>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</si>
  <si>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</si>
  <si>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</si>
  <si>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</si>
  <si>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</si>
  <si>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</si>
  <si>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</si>
  <si>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</si>
  <si>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</si>
  <si>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</si>
  <si>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</si>
  <si>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</si>
  <si>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</si>
  <si>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</si>
  <si>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</si>
  <si>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</si>
  <si>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</si>
  <si>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</si>
  <si>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</si>
  <si>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</si>
  <si>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</si>
  <si>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</si>
  <si>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</si>
  <si>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</si>
  <si>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</si>
  <si>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</si>
  <si>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</si>
  <si>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</si>
  <si>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</si>
  <si>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</si>
  <si>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</si>
  <si>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</si>
  <si>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</si>
  <si>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</si>
  <si>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</si>
  <si>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</si>
  <si>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</si>
  <si>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</si>
  <si>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</si>
  <si>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</si>
  <si>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</si>
  <si>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</si>
  <si>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</si>
  <si>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</si>
  <si>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</si>
  <si>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</si>
  <si>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</si>
  <si>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</si>
  <si>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</si>
  <si>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</si>
  <si>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</si>
  <si>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</si>
  <si>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</si>
  <si>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</si>
  <si>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</si>
  <si>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</si>
  <si>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</si>
  <si>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</si>
  <si>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</si>
  <si>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</si>
  <si>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</si>
  <si>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</si>
  <si>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</si>
  <si>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</si>
  <si>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</si>
  <si>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</si>
  <si>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　</t>
  </si>
  <si>
    <t>平成5年度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</si>
  <si>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</si>
  <si>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</si>
  <si>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</si>
  <si>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</si>
  <si>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</si>
  <si>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</si>
  <si>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</si>
  <si>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</si>
  <si>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</si>
  <si>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</si>
  <si>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</si>
  <si>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</si>
  <si>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</si>
  <si>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</si>
  <si>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</si>
  <si>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</si>
  <si>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</si>
  <si>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</si>
  <si>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</si>
  <si>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</si>
  <si>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</si>
  <si>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</si>
  <si>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</si>
  <si>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</si>
  <si>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</si>
  <si>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</si>
  <si>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</si>
  <si>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</si>
  <si>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</si>
  <si>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</si>
  <si>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</si>
  <si>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</si>
  <si>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</si>
  <si>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</si>
  <si>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</si>
  <si>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</si>
  <si>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</si>
  <si>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</si>
  <si>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</si>
  <si>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</si>
  <si>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</si>
  <si>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</si>
  <si>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</si>
  <si>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</si>
  <si>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</si>
  <si>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</si>
  <si>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</si>
  <si>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</si>
  <si>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</si>
  <si>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</si>
  <si>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</si>
  <si>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</si>
  <si>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</si>
  <si>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</si>
  <si>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</si>
  <si>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</si>
  <si>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</si>
  <si>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</si>
  <si>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</si>
  <si>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</si>
  <si>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</si>
  <si>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</si>
  <si>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</si>
  <si>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</si>
  <si>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</si>
  <si>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</si>
  <si>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</si>
  <si>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</si>
  <si>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平成6年度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</si>
  <si>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</si>
  <si>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</si>
  <si>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</si>
  <si>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</si>
  <si>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</si>
  <si>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</si>
  <si>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</si>
  <si>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</si>
  <si>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</si>
  <si>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</si>
  <si>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</si>
  <si>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</si>
  <si>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</si>
  <si>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</si>
  <si>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</si>
  <si>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</si>
  <si>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</si>
  <si>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</si>
  <si>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</si>
  <si>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</si>
  <si>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</si>
  <si>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</si>
  <si>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</si>
  <si>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</si>
  <si>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</si>
  <si>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</si>
  <si>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</si>
  <si>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</si>
  <si>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</si>
  <si>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</si>
  <si>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</si>
  <si>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</si>
  <si>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</si>
  <si>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</si>
  <si>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</si>
  <si>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</si>
  <si>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</si>
  <si>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</si>
  <si>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</si>
  <si>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</si>
  <si>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</si>
  <si>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</si>
  <si>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</si>
  <si>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</si>
  <si>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</si>
  <si>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</si>
  <si>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</si>
  <si>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</si>
  <si>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</si>
  <si>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</si>
  <si>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</si>
  <si>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</si>
  <si>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</si>
  <si>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</si>
  <si>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</si>
  <si>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</si>
  <si>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</si>
  <si>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</si>
  <si>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</si>
  <si>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</si>
  <si>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</si>
  <si>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</si>
  <si>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</si>
  <si>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</si>
  <si>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</si>
  <si>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</si>
  <si>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</si>
  <si>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</si>
  <si>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平成7年度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</si>
  <si>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</si>
  <si>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</si>
  <si>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</si>
  <si>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</si>
  <si>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</si>
  <si>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</si>
  <si>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</si>
  <si>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</si>
  <si>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</si>
  <si>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</si>
  <si>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</si>
  <si>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</si>
  <si>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</si>
  <si>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</si>
  <si>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</si>
  <si>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</si>
  <si>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</si>
  <si>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</si>
  <si>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</si>
  <si>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</si>
  <si>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</si>
  <si>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</si>
  <si>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</si>
  <si>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</si>
  <si>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</si>
  <si>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</si>
  <si>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</si>
  <si>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</si>
  <si>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</si>
  <si>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</si>
  <si>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</si>
  <si>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</si>
  <si>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</si>
  <si>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</si>
  <si>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</si>
  <si>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</si>
  <si>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</si>
  <si>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</si>
  <si>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</si>
  <si>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</si>
  <si>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</si>
  <si>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</si>
  <si>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</si>
  <si>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</si>
  <si>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</si>
  <si>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</si>
  <si>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</si>
  <si>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</si>
  <si>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</si>
  <si>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</si>
  <si>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</si>
  <si>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</si>
  <si>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</si>
  <si>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</si>
  <si>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</si>
  <si>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</si>
  <si>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</si>
  <si>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</si>
  <si>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</si>
  <si>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</si>
  <si>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</si>
  <si>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</si>
  <si>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</si>
  <si>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</si>
  <si>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</si>
  <si>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</si>
  <si>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 xml:space="preserve"> </t>
  </si>
  <si>
    <t xml:space="preserve"> </t>
  </si>
  <si>
    <t xml:space="preserve"> </t>
  </si>
  <si>
    <t xml:space="preserve"> </t>
  </si>
  <si>
    <t>　</t>
  </si>
  <si>
    <t>1月～12月</t>
  </si>
  <si>
    <t>　</t>
  </si>
  <si>
    <t>平均</t>
  </si>
  <si>
    <t xml:space="preserve"> </t>
  </si>
  <si>
    <t>平成８年度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</si>
  <si>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</si>
  <si>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</si>
  <si>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</si>
  <si>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</si>
  <si>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</si>
  <si>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</si>
  <si>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</si>
  <si>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</si>
  <si>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</si>
  <si>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</si>
  <si>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</si>
  <si>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①</t>
  </si>
  <si>
    <t>全体　②</t>
  </si>
  <si>
    <t>若人</t>
  </si>
  <si>
    <t>老人</t>
  </si>
  <si>
    <t>退職　　③</t>
  </si>
  <si>
    <t xml:space="preserve"> </t>
  </si>
  <si>
    <t>④</t>
  </si>
  <si>
    <t>⑤</t>
  </si>
  <si>
    <t>①／④</t>
  </si>
  <si>
    <t>②／⑤</t>
  </si>
  <si>
    <t>③／②</t>
  </si>
  <si>
    <t xml:space="preserve"> </t>
  </si>
  <si>
    <t xml:space="preserve">  </t>
  </si>
  <si>
    <t>４月</t>
  </si>
  <si>
    <t xml:space="preserve"> </t>
  </si>
  <si>
    <t>５月</t>
  </si>
  <si>
    <t xml:space="preserve"> </t>
  </si>
  <si>
    <t xml:space="preserve"> </t>
  </si>
  <si>
    <t xml:space="preserve"> </t>
  </si>
  <si>
    <t xml:space="preserve"> </t>
  </si>
  <si>
    <t xml:space="preserve"> </t>
  </si>
  <si>
    <t>６月</t>
  </si>
  <si>
    <t xml:space="preserve"> </t>
  </si>
  <si>
    <t xml:space="preserve"> </t>
  </si>
  <si>
    <t xml:space="preserve"> </t>
  </si>
  <si>
    <t xml:space="preserve"> </t>
  </si>
  <si>
    <t>７月</t>
  </si>
  <si>
    <t xml:space="preserve"> </t>
  </si>
  <si>
    <t xml:space="preserve"> </t>
  </si>
  <si>
    <t xml:space="preserve"> </t>
  </si>
  <si>
    <t xml:space="preserve"> </t>
  </si>
  <si>
    <t>８月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</si>
  <si>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</si>
  <si>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</si>
  <si>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</si>
  <si>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</si>
  <si>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</si>
  <si>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</si>
  <si>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</si>
  <si>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</si>
  <si>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</si>
  <si>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</si>
  <si>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</si>
  <si>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</si>
  <si>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</si>
  <si>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１０月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</si>
  <si>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</si>
  <si>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</si>
  <si>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</si>
  <si>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</si>
  <si>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</si>
  <si>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</si>
  <si>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</si>
  <si>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</si>
  <si>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</si>
  <si>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</si>
  <si>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</si>
  <si>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</si>
  <si>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</si>
  <si>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１２月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</si>
  <si>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</si>
  <si>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</si>
  <si>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</si>
  <si>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</si>
  <si>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</si>
  <si>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</si>
  <si>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１月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</si>
  <si>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</si>
  <si>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</si>
  <si>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</si>
  <si>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</si>
  <si>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</si>
  <si>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</si>
  <si>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</si>
  <si>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２月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</si>
  <si>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</si>
  <si>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</si>
  <si>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</si>
  <si>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</si>
  <si>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</si>
  <si>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</si>
  <si>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３月</t>
  </si>
  <si>
    <t xml:space="preserve"> </t>
  </si>
  <si>
    <t xml:space="preserve"> 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</si>
  <si>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</si>
  <si>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</si>
  <si>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</si>
  <si>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</si>
  <si>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</si>
  <si>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</si>
  <si>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</si>
  <si>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</si>
  <si>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</si>
  <si>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</si>
  <si>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</si>
  <si>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</si>
  <si>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</si>
  <si>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</si>
  <si>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</si>
  <si>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</si>
  <si>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</si>
  <si>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</si>
  <si>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</si>
  <si>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</si>
  <si>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</si>
  <si>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</si>
  <si>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</si>
  <si>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平均</t>
  </si>
  <si>
    <t>Ｈ８年１月～３月　</t>
  </si>
  <si>
    <t>平成8年度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</si>
  <si>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</si>
  <si>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</si>
  <si>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</si>
  <si>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</si>
  <si>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</si>
  <si>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</si>
  <si>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</si>
  <si>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</si>
  <si>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</si>
  <si>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</si>
  <si>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</si>
  <si>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</si>
  <si>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</si>
  <si>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</si>
  <si>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</si>
  <si>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</si>
  <si>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</si>
  <si>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</si>
  <si>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</si>
  <si>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</si>
  <si>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</si>
  <si>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</si>
  <si>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</si>
  <si>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</si>
  <si>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</si>
  <si>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</si>
  <si>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</si>
  <si>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</si>
  <si>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</si>
  <si>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</si>
  <si>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</si>
  <si>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</si>
  <si>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</si>
  <si>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</si>
  <si>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</si>
  <si>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</si>
  <si>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</si>
  <si>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</si>
  <si>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</si>
  <si>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</si>
  <si>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</si>
  <si>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</si>
  <si>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</si>
  <si>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</si>
  <si>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</si>
  <si>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</si>
  <si>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</si>
  <si>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</si>
  <si>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</si>
  <si>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</si>
  <si>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</si>
  <si>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</si>
  <si>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</si>
  <si>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 xml:space="preserve"> 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</si>
  <si>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</si>
  <si>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</si>
  <si>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</si>
  <si>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</si>
  <si>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</si>
  <si>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</si>
  <si>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</si>
  <si>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</si>
  <si>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</si>
  <si>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</si>
  <si>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</si>
  <si>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</si>
  <si>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</si>
  <si>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</si>
  <si>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</si>
  <si>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</si>
  <si>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平成５年</t>
  </si>
  <si>
    <t>平成６年</t>
  </si>
  <si>
    <t>平成７年</t>
  </si>
  <si>
    <t>平成８年</t>
  </si>
  <si>
    <t>平成９年</t>
  </si>
  <si>
    <t>　３～８</t>
  </si>
  <si>
    <t>半年伸び</t>
  </si>
  <si>
    <t xml:space="preserve"> </t>
  </si>
  <si>
    <t>平成８年度</t>
  </si>
  <si>
    <t>世帯被保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</si>
  <si>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</si>
  <si>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</si>
  <si>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</si>
  <si>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</si>
  <si>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</si>
  <si>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</si>
  <si>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</si>
  <si>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</si>
  <si>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</si>
  <si>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</si>
  <si>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</si>
  <si>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</si>
  <si>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</si>
  <si>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</si>
  <si>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</si>
  <si>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</si>
  <si>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</si>
  <si>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</si>
  <si>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</si>
  <si>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</si>
  <si>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</si>
  <si>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</si>
  <si>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</si>
  <si>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</si>
  <si>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 </t>
  </si>
  <si>
    <t>４月</t>
  </si>
  <si>
    <t xml:space="preserve"> </t>
  </si>
  <si>
    <t>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</si>
  <si>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</si>
  <si>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</si>
  <si>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</si>
  <si>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</si>
  <si>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</si>
  <si>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</si>
  <si>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６月</t>
  </si>
  <si>
    <t xml:space="preserve"> </t>
  </si>
  <si>
    <t xml:space="preserve"> </t>
  </si>
  <si>
    <t xml:space="preserve"> </t>
  </si>
  <si>
    <t xml:space="preserve"> </t>
  </si>
  <si>
    <t>７月</t>
  </si>
  <si>
    <t xml:space="preserve"> </t>
  </si>
  <si>
    <t xml:space="preserve"> </t>
  </si>
  <si>
    <t xml:space="preserve"> </t>
  </si>
  <si>
    <t xml:space="preserve"> </t>
  </si>
  <si>
    <t>８月</t>
  </si>
  <si>
    <t xml:space="preserve"> </t>
  </si>
  <si>
    <t xml:space="preserve"> </t>
  </si>
  <si>
    <t xml:space="preserve"> </t>
  </si>
  <si>
    <t xml:space="preserve"> 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</si>
  <si>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</si>
  <si>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</si>
  <si>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</si>
  <si>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</si>
  <si>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</si>
  <si>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</si>
  <si>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１０月</t>
  </si>
  <si>
    <t xml:space="preserve"> </t>
  </si>
  <si>
    <t xml:space="preserve"> </t>
  </si>
  <si>
    <t xml:space="preserve"> </t>
  </si>
  <si>
    <t xml:space="preserve"> </t>
  </si>
  <si>
    <t>１１月</t>
  </si>
  <si>
    <t xml:space="preserve"> </t>
  </si>
  <si>
    <t xml:space="preserve"> </t>
  </si>
  <si>
    <t xml:space="preserve"> </t>
  </si>
  <si>
    <t xml:space="preserve"> </t>
  </si>
  <si>
    <t>１２月</t>
  </si>
  <si>
    <t xml:space="preserve"> </t>
  </si>
  <si>
    <t xml:space="preserve"> </t>
  </si>
  <si>
    <t xml:space="preserve"> </t>
  </si>
  <si>
    <t xml:space="preserve"> </t>
  </si>
  <si>
    <t>１月</t>
  </si>
  <si>
    <t xml:space="preserve"> </t>
  </si>
  <si>
    <t xml:space="preserve"> </t>
  </si>
  <si>
    <t xml:space="preserve"> </t>
  </si>
  <si>
    <t xml:space="preserve"> </t>
  </si>
  <si>
    <t xml:space="preserve"> 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</si>
  <si>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</si>
  <si>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</si>
  <si>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</si>
  <si>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</si>
  <si>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</si>
  <si>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</si>
  <si>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</si>
  <si>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</si>
  <si>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</si>
  <si>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</si>
  <si>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</si>
  <si>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</si>
  <si>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</si>
  <si>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</si>
  <si>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</si>
  <si>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</si>
  <si>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</si>
  <si>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</si>
  <si>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</si>
  <si>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</si>
  <si>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</si>
  <si>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</si>
  <si>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</si>
  <si>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</si>
  <si>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</si>
  <si>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</si>
  <si>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</si>
  <si>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</si>
  <si>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平均</t>
  </si>
  <si>
    <t>H8,1</t>
  </si>
  <si>
    <t>　</t>
  </si>
  <si>
    <t>∫</t>
  </si>
  <si>
    <t>合計</t>
  </si>
  <si>
    <t>H8,12</t>
  </si>
  <si>
    <t>　</t>
  </si>
  <si>
    <t>平均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</si>
  <si>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</si>
  <si>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</si>
  <si>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</si>
  <si>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</si>
  <si>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</si>
  <si>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</si>
  <si>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</si>
  <si>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</si>
  <si>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Ｈ９年１月～３月　</t>
  </si>
  <si>
    <t>平成９年度</t>
  </si>
  <si>
    <t>被保険者等</t>
  </si>
  <si>
    <t>一般状況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</si>
  <si>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</si>
  <si>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</si>
  <si>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</si>
  <si>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</si>
  <si>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</si>
  <si>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</si>
  <si>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</si>
  <si>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</si>
  <si>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</si>
  <si>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</si>
  <si>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</si>
  <si>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</si>
  <si>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</si>
  <si>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</si>
  <si>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</si>
  <si>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</si>
  <si>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</si>
  <si>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</si>
  <si>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</si>
  <si>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</si>
  <si>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</si>
  <si>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</si>
  <si>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</si>
  <si>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</si>
  <si>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</si>
  <si>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</si>
  <si>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</si>
  <si>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</si>
  <si>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</si>
  <si>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</si>
  <si>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</si>
  <si>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</si>
  <si>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</si>
  <si>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</si>
  <si>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</si>
  <si>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</si>
  <si>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</si>
  <si>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</si>
  <si>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</si>
  <si>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</si>
  <si>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</si>
  <si>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</si>
  <si>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</si>
  <si>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</si>
  <si>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</si>
  <si>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</si>
  <si>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</si>
  <si>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</si>
  <si>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</si>
  <si>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</si>
  <si>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平均</t>
  </si>
  <si>
    <t xml:space="preserve"> 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</si>
  <si>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</si>
  <si>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</si>
  <si>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</si>
  <si>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</si>
  <si>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</si>
  <si>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</si>
  <si>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</si>
  <si>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</si>
  <si>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</si>
  <si>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</si>
  <si>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</si>
  <si>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</si>
  <si>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</si>
  <si>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</si>
  <si>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</si>
  <si>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</si>
  <si>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平成６年</t>
  </si>
  <si>
    <t>平成７年</t>
  </si>
  <si>
    <t>平成８年</t>
  </si>
  <si>
    <t>平成９年</t>
  </si>
  <si>
    <t>平成10年</t>
  </si>
  <si>
    <t>　３～８</t>
  </si>
  <si>
    <t>半年伸び</t>
  </si>
  <si>
    <t xml:space="preserve"> </t>
  </si>
  <si>
    <t>平成９年度</t>
  </si>
  <si>
    <t xml:space="preserve"> </t>
  </si>
  <si>
    <t>世帯被保 WK4</t>
  </si>
  <si>
    <t>年間</t>
  </si>
  <si>
    <t xml:space="preserve"> 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</si>
  <si>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</si>
  <si>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</si>
  <si>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</si>
  <si>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</si>
  <si>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</si>
  <si>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</si>
  <si>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</si>
  <si>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</si>
  <si>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</si>
  <si>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</si>
  <si>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</si>
  <si>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</si>
  <si>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</si>
  <si>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</si>
  <si>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</si>
  <si>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</si>
  <si>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</si>
  <si>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</si>
  <si>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</si>
  <si>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</si>
  <si>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</si>
  <si>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</si>
  <si>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</si>
  <si>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</si>
  <si>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 xml:space="preserve">  </t>
  </si>
  <si>
    <t>４月</t>
  </si>
  <si>
    <t xml:space="preserve"> </t>
  </si>
  <si>
    <t>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</si>
  <si>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</si>
  <si>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</si>
  <si>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</si>
  <si>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</si>
  <si>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</si>
  <si>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</si>
  <si>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６月</t>
  </si>
  <si>
    <t xml:space="preserve"> </t>
  </si>
  <si>
    <t xml:space="preserve"> </t>
  </si>
  <si>
    <t xml:space="preserve"> </t>
  </si>
  <si>
    <t xml:space="preserve"> </t>
  </si>
  <si>
    <t>７月</t>
  </si>
  <si>
    <t xml:space="preserve"> </t>
  </si>
  <si>
    <t xml:space="preserve"> </t>
  </si>
  <si>
    <t xml:space="preserve"> </t>
  </si>
  <si>
    <t xml:space="preserve"> </t>
  </si>
  <si>
    <t>８月</t>
  </si>
  <si>
    <t xml:space="preserve"> </t>
  </si>
  <si>
    <t xml:space="preserve"> </t>
  </si>
  <si>
    <t xml:space="preserve"> </t>
  </si>
  <si>
    <t xml:space="preserve"> 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</si>
  <si>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</si>
  <si>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</si>
  <si>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</si>
  <si>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</si>
  <si>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</si>
  <si>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</si>
  <si>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１０月</t>
  </si>
  <si>
    <t xml:space="preserve"> </t>
  </si>
  <si>
    <t xml:space="preserve"> </t>
  </si>
  <si>
    <t xml:space="preserve"> </t>
  </si>
  <si>
    <t xml:space="preserve"> 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</si>
  <si>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</si>
  <si>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</si>
  <si>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</si>
  <si>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</si>
  <si>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</si>
  <si>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</si>
  <si>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１２月</t>
  </si>
  <si>
    <t xml:space="preserve"> </t>
  </si>
  <si>
    <t xml:space="preserve"> </t>
  </si>
  <si>
    <t xml:space="preserve"> </t>
  </si>
  <si>
    <t xml:space="preserve"> </t>
  </si>
  <si>
    <t xml:space="preserve"> </t>
  </si>
  <si>
    <t>１月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</si>
  <si>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</si>
  <si>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</si>
  <si>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</si>
  <si>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</si>
  <si>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</si>
  <si>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</si>
  <si>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</si>
  <si>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</si>
  <si>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</si>
  <si>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</si>
  <si>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</si>
  <si>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</si>
  <si>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</si>
  <si>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</si>
  <si>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</si>
  <si>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</si>
  <si>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</si>
  <si>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</si>
  <si>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</si>
  <si>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</si>
  <si>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</si>
  <si>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</si>
  <si>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</si>
  <si>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</si>
  <si>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</si>
  <si>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</si>
  <si>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</si>
  <si>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</si>
  <si>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</si>
  <si>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</si>
  <si>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</si>
  <si>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</si>
  <si>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</si>
  <si>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</si>
  <si>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平均</t>
  </si>
  <si>
    <t>H9,1</t>
  </si>
  <si>
    <t>　</t>
  </si>
  <si>
    <t>∫</t>
  </si>
  <si>
    <t>合計</t>
  </si>
  <si>
    <t>H9,12</t>
  </si>
  <si>
    <t>　</t>
  </si>
  <si>
    <t>平均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</si>
  <si>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</si>
  <si>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</si>
  <si>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</si>
  <si>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</si>
  <si>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</si>
  <si>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</si>
  <si>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</si>
  <si>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</si>
  <si>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Ｈ10年１月～３月　</t>
  </si>
  <si>
    <t>青</t>
  </si>
  <si>
    <t>い</t>
  </si>
  <si>
    <t>平成10年度</t>
  </si>
  <si>
    <t>被保険者等</t>
  </si>
  <si>
    <t>一般状況</t>
  </si>
  <si>
    <t>数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</si>
  <si>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</si>
  <si>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</si>
  <si>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</si>
  <si>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</si>
  <si>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</si>
  <si>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</si>
  <si>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</si>
  <si>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</si>
  <si>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</si>
  <si>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</si>
  <si>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</si>
  <si>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</si>
  <si>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</si>
  <si>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</si>
  <si>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</si>
  <si>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</si>
  <si>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</si>
  <si>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</si>
  <si>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</si>
  <si>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</si>
  <si>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</si>
  <si>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</si>
  <si>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</si>
  <si>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</si>
  <si>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</si>
  <si>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</si>
  <si>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だ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</si>
  <si>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</si>
  <si>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</si>
  <si>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</si>
  <si>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</si>
  <si>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</si>
  <si>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</si>
  <si>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</si>
  <si>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</si>
  <si>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</si>
  <si>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</si>
  <si>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</si>
  <si>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</si>
  <si>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け</t>
  </si>
  <si>
    <t>４月</t>
  </si>
  <si>
    <t>入</t>
  </si>
  <si>
    <t>５月</t>
  </si>
  <si>
    <t>力</t>
  </si>
  <si>
    <t>６月</t>
  </si>
  <si>
    <t>す</t>
  </si>
  <si>
    <t>７月</t>
  </si>
  <si>
    <t>る</t>
  </si>
  <si>
    <t>８月</t>
  </si>
  <si>
    <t xml:space="preserve"> </t>
  </si>
  <si>
    <t>９月</t>
  </si>
  <si>
    <t xml:space="preserve"> </t>
  </si>
  <si>
    <t>１０月</t>
  </si>
  <si>
    <t xml:space="preserve"> </t>
  </si>
  <si>
    <t>１１月</t>
  </si>
  <si>
    <t xml:space="preserve"> </t>
  </si>
  <si>
    <t>１２月</t>
  </si>
  <si>
    <t>１月</t>
  </si>
  <si>
    <t>２月</t>
  </si>
  <si>
    <t>３月</t>
  </si>
  <si>
    <t>合計</t>
  </si>
  <si>
    <t>平均</t>
  </si>
  <si>
    <t xml:space="preserve"> </t>
  </si>
  <si>
    <t>4月</t>
  </si>
  <si>
    <t>4月～5月</t>
  </si>
  <si>
    <t>4月～6月</t>
  </si>
  <si>
    <t>4月～7月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</si>
  <si>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</si>
  <si>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</si>
  <si>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</si>
  <si>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</si>
  <si>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</si>
  <si>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</si>
  <si>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</si>
  <si>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</si>
  <si>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</si>
  <si>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</si>
  <si>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　</t>
  </si>
  <si>
    <t>平均</t>
  </si>
  <si>
    <t>　</t>
  </si>
  <si>
    <t>老人３月～２月</t>
  </si>
  <si>
    <t>平成６年</t>
  </si>
  <si>
    <t>平成７年</t>
  </si>
  <si>
    <t>平成８年</t>
  </si>
  <si>
    <t>平成９年</t>
  </si>
  <si>
    <t>平成10年</t>
  </si>
  <si>
    <t>平成11年度</t>
  </si>
  <si>
    <t>　３～８</t>
  </si>
  <si>
    <t>半年伸び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</si>
  <si>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</si>
  <si>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</si>
  <si>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</si>
  <si>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</si>
  <si>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</si>
  <si>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</si>
  <si>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</si>
  <si>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</si>
  <si>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</si>
  <si>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</si>
  <si>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</si>
  <si>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</si>
  <si>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</si>
  <si>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</si>
  <si>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</si>
  <si>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</si>
  <si>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</si>
  <si>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</si>
  <si>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</si>
  <si>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</si>
  <si>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</si>
  <si>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</si>
  <si>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</si>
  <si>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</si>
  <si>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</si>
  <si>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</si>
  <si>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</si>
  <si>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</si>
  <si>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 xml:space="preserve">  </t>
  </si>
  <si>
    <t>４月</t>
  </si>
  <si>
    <t>見込</t>
  </si>
  <si>
    <t>見込</t>
  </si>
  <si>
    <t xml:space="preserve"> </t>
  </si>
  <si>
    <t>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</si>
  <si>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</si>
  <si>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</si>
  <si>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</si>
  <si>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</si>
  <si>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</si>
  <si>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</si>
  <si>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６月</t>
  </si>
  <si>
    <t xml:space="preserve"> </t>
  </si>
  <si>
    <t xml:space="preserve"> </t>
  </si>
  <si>
    <t xml:space="preserve"> </t>
  </si>
  <si>
    <t xml:space="preserve"> </t>
  </si>
  <si>
    <t>７月</t>
  </si>
  <si>
    <t xml:space="preserve"> </t>
  </si>
  <si>
    <t xml:space="preserve"> </t>
  </si>
  <si>
    <t xml:space="preserve"> </t>
  </si>
  <si>
    <t xml:space="preserve"> </t>
  </si>
  <si>
    <t>８月</t>
  </si>
  <si>
    <t xml:space="preserve"> </t>
  </si>
  <si>
    <t xml:space="preserve"> </t>
  </si>
  <si>
    <t xml:space="preserve"> </t>
  </si>
  <si>
    <t xml:space="preserve"> 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</si>
  <si>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</si>
  <si>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</si>
  <si>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</si>
  <si>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</si>
  <si>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</si>
  <si>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</si>
  <si>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１０月</t>
  </si>
  <si>
    <t xml:space="preserve"> </t>
  </si>
  <si>
    <t xml:space="preserve"> </t>
  </si>
  <si>
    <t xml:space="preserve"> </t>
  </si>
  <si>
    <t xml:space="preserve"> 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</si>
  <si>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</si>
  <si>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</si>
  <si>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</si>
  <si>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</si>
  <si>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</si>
  <si>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</si>
  <si>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１２月</t>
  </si>
  <si>
    <t xml:space="preserve"> </t>
  </si>
  <si>
    <t xml:space="preserve"> </t>
  </si>
  <si>
    <t xml:space="preserve"> </t>
  </si>
  <si>
    <t xml:space="preserve"> </t>
  </si>
  <si>
    <t xml:space="preserve"> </t>
  </si>
  <si>
    <t>１月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</si>
  <si>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</si>
  <si>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</si>
  <si>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</si>
  <si>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</si>
  <si>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</si>
  <si>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</si>
  <si>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</si>
  <si>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</si>
  <si>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</si>
  <si>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</si>
  <si>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</si>
  <si>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</si>
  <si>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</si>
  <si>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</si>
  <si>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</si>
  <si>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</si>
  <si>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</si>
  <si>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</si>
  <si>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</si>
  <si>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</si>
  <si>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</si>
  <si>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</si>
  <si>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</si>
  <si>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</si>
  <si>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</si>
  <si>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</si>
  <si>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</si>
  <si>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</si>
  <si>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</si>
  <si>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</si>
  <si>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</si>
  <si>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</si>
  <si>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</si>
  <si>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</si>
  <si>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平均</t>
  </si>
  <si>
    <t>H10,1</t>
  </si>
  <si>
    <t>　</t>
  </si>
  <si>
    <t>∫</t>
  </si>
  <si>
    <t>合計</t>
  </si>
  <si>
    <t>H10,12</t>
  </si>
  <si>
    <t>　</t>
  </si>
  <si>
    <t>平均</t>
  </si>
  <si>
    <t>Ｈ11年１月～３月　</t>
  </si>
  <si>
    <t>国保加入者の割合（年平均）</t>
  </si>
  <si>
    <t>青</t>
  </si>
  <si>
    <t>い</t>
  </si>
  <si>
    <t>平成11年度</t>
  </si>
  <si>
    <t>被保険者等</t>
  </si>
  <si>
    <t>一般状況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</si>
  <si>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</si>
  <si>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</si>
  <si>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</si>
  <si>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</si>
  <si>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</si>
  <si>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</si>
  <si>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</si>
  <si>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</si>
  <si>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数</t>
  </si>
  <si>
    <t>月末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</si>
  <si>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</si>
  <si>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</si>
  <si>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</si>
  <si>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</si>
  <si>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</si>
  <si>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</si>
  <si>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</si>
  <si>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平成５年度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</si>
  <si>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</si>
  <si>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</si>
  <si>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</si>
  <si>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</si>
  <si>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</si>
  <si>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</si>
  <si>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</si>
  <si>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</si>
  <si>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</si>
  <si>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</si>
  <si>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</si>
  <si>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</si>
  <si>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</si>
  <si>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</si>
  <si>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</si>
  <si>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</si>
  <si>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</si>
  <si>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</si>
  <si>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平成６年度</t>
  </si>
  <si>
    <t>だ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</si>
  <si>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</si>
  <si>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</si>
  <si>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</si>
  <si>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</si>
  <si>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</si>
  <si>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</si>
  <si>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</si>
  <si>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</si>
  <si>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</si>
  <si>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</si>
  <si>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</si>
  <si>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</si>
  <si>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平成７年度</t>
  </si>
  <si>
    <t>け</t>
  </si>
  <si>
    <t>４月</t>
  </si>
  <si>
    <t>平成８年度</t>
  </si>
  <si>
    <t>入</t>
  </si>
  <si>
    <t>５月</t>
  </si>
  <si>
    <t>平成９年度</t>
  </si>
  <si>
    <t>力</t>
  </si>
  <si>
    <t>６月</t>
  </si>
  <si>
    <t>平成10年度</t>
  </si>
  <si>
    <t>す</t>
  </si>
  <si>
    <t>７月</t>
  </si>
  <si>
    <t>平成11年度</t>
  </si>
  <si>
    <t>る</t>
  </si>
  <si>
    <t>８月</t>
  </si>
  <si>
    <t>※平成11年度は10月末までの7カ月平均｡</t>
  </si>
  <si>
    <t xml:space="preserve"> </t>
  </si>
  <si>
    <t>９月</t>
  </si>
  <si>
    <t>5～10の伸び</t>
  </si>
  <si>
    <t xml:space="preserve"> </t>
  </si>
  <si>
    <t>１０月</t>
  </si>
  <si>
    <t xml:space="preserve"> </t>
  </si>
  <si>
    <t>１１月</t>
  </si>
  <si>
    <t>国保加入者の割合（3.31）</t>
  </si>
  <si>
    <t xml:space="preserve"> </t>
  </si>
  <si>
    <t>１２月</t>
  </si>
  <si>
    <t>１月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</si>
  <si>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</si>
  <si>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</si>
  <si>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</si>
  <si>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</si>
  <si>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</si>
  <si>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</si>
  <si>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</si>
  <si>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</si>
  <si>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２月</t>
  </si>
  <si>
    <t>平成５年度</t>
  </si>
  <si>
    <t>３月</t>
  </si>
  <si>
    <t>平成６年度</t>
  </si>
  <si>
    <t>合計</t>
  </si>
  <si>
    <t>平成７年度</t>
  </si>
  <si>
    <t>平均</t>
  </si>
  <si>
    <t>平成８年度</t>
  </si>
  <si>
    <t>平成９年度</t>
  </si>
  <si>
    <t>4月</t>
  </si>
  <si>
    <t>平成10年度</t>
  </si>
  <si>
    <t>4月～5月</t>
  </si>
  <si>
    <t>平成11年度</t>
  </si>
  <si>
    <t>4月～6月</t>
  </si>
  <si>
    <t>※平成11年度は10月末の数字｡</t>
  </si>
  <si>
    <t>4月～7月</t>
  </si>
  <si>
    <t>5～10の伸び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</si>
  <si>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</si>
  <si>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</si>
  <si>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</si>
  <si>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</si>
  <si>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</si>
  <si>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</si>
  <si>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</si>
  <si>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</si>
  <si>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</si>
  <si>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</si>
  <si>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</si>
  <si>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</si>
  <si>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介護2号該当被保険者　見込</t>
  </si>
  <si>
    <t>平成７年</t>
  </si>
  <si>
    <t>平成８年</t>
  </si>
  <si>
    <t>平成９年</t>
  </si>
  <si>
    <t>平成10年</t>
  </si>
  <si>
    <t>平成11年度</t>
  </si>
  <si>
    <t>平成12年度</t>
  </si>
  <si>
    <t>平成8年度</t>
  </si>
  <si>
    <t>平成9年度</t>
  </si>
  <si>
    <t>平成10年度</t>
  </si>
  <si>
    <t>平成11年度</t>
  </si>
  <si>
    <t>平成12年度</t>
  </si>
  <si>
    <t>9月末</t>
  </si>
  <si>
    <t>半期伸</t>
  </si>
  <si>
    <t>　３～８</t>
  </si>
  <si>
    <t>半年伸び</t>
  </si>
  <si>
    <t>3月/9月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</si>
  <si>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</si>
  <si>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</si>
  <si>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</si>
  <si>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</si>
  <si>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</si>
  <si>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</si>
  <si>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</si>
  <si>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</si>
  <si>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</si>
  <si>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</si>
  <si>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</si>
  <si>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</si>
  <si>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</si>
  <si>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</si>
  <si>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</si>
  <si>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</si>
  <si>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3月末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</si>
  <si>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</si>
  <si>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</si>
  <si>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</si>
  <si>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</si>
  <si>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</si>
  <si>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</si>
  <si>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</si>
  <si>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</si>
  <si>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</si>
  <si>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</si>
  <si>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</si>
  <si>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</si>
  <si>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>年度伸のみ</t>
  </si>
  <si>
    <t xml:space="preserve">  </t>
  </si>
  <si>
    <t>４月</t>
  </si>
  <si>
    <t>見込</t>
  </si>
  <si>
    <t>見込</t>
  </si>
  <si>
    <t xml:space="preserve"> </t>
  </si>
  <si>
    <t>５月</t>
  </si>
  <si>
    <t>以下ちょっとわからない全市世帯数・全市人口</t>
  </si>
  <si>
    <t>平成8年度</t>
  </si>
  <si>
    <t>平成9年度</t>
  </si>
  <si>
    <t>平成10年度</t>
  </si>
  <si>
    <t>平成11年度</t>
  </si>
  <si>
    <t>平成12年度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</si>
  <si>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</si>
  <si>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</si>
  <si>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</si>
  <si>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</si>
  <si>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</si>
  <si>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</si>
  <si>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人口</t>
  </si>
  <si>
    <t>平成６年</t>
  </si>
  <si>
    <t>平成７年</t>
  </si>
  <si>
    <t>平成８年</t>
  </si>
  <si>
    <t>平成９年</t>
  </si>
  <si>
    <t>平成10年</t>
  </si>
  <si>
    <t>平成11年度</t>
  </si>
  <si>
    <t>9月末</t>
  </si>
  <si>
    <t>６月</t>
  </si>
  <si>
    <t xml:space="preserve"> </t>
  </si>
  <si>
    <t xml:space="preserve"> </t>
  </si>
  <si>
    <t xml:space="preserve"> </t>
  </si>
  <si>
    <t xml:space="preserve"> </t>
  </si>
  <si>
    <t>　４～８</t>
  </si>
  <si>
    <t>７月</t>
  </si>
  <si>
    <t>５カ月伸び</t>
  </si>
  <si>
    <t>3月末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</si>
  <si>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</si>
  <si>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</si>
  <si>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</si>
  <si>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</si>
  <si>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</si>
  <si>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</si>
  <si>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８月</t>
  </si>
  <si>
    <t>年間／５月</t>
  </si>
  <si>
    <t>H8,9</t>
  </si>
  <si>
    <t>H9,3</t>
  </si>
  <si>
    <t>H9,9</t>
  </si>
  <si>
    <t>H10,3</t>
  </si>
  <si>
    <t>H10,9</t>
  </si>
  <si>
    <t>H11,3</t>
  </si>
  <si>
    <t>H11,9</t>
  </si>
  <si>
    <t xml:space="preserve"> </t>
  </si>
  <si>
    <t xml:space="preserve"> </t>
  </si>
  <si>
    <t xml:space="preserve"> </t>
  </si>
  <si>
    <t xml:space="preserve"> </t>
  </si>
  <si>
    <t>年度伸び</t>
  </si>
  <si>
    <t>2号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</si>
  <si>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</si>
  <si>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</si>
  <si>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</si>
  <si>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</si>
  <si>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</si>
  <si>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</si>
  <si>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若人</t>
  </si>
  <si>
    <t>１０月</t>
  </si>
  <si>
    <t xml:space="preserve"> </t>
  </si>
  <si>
    <t xml:space="preserve"> </t>
  </si>
  <si>
    <t xml:space="preserve"> </t>
  </si>
  <si>
    <t xml:space="preserve"> </t>
  </si>
  <si>
    <t>世帯数</t>
  </si>
  <si>
    <t>平成６年</t>
  </si>
  <si>
    <t>平成７年</t>
  </si>
  <si>
    <t>平成８年</t>
  </si>
  <si>
    <t>平成９年</t>
  </si>
  <si>
    <t>平成10年</t>
  </si>
  <si>
    <t>平成11年度</t>
  </si>
  <si>
    <t>全被保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</si>
  <si>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</si>
  <si>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</si>
  <si>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</si>
  <si>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</si>
  <si>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</si>
  <si>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</si>
  <si>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　４～８</t>
  </si>
  <si>
    <t>１２月</t>
  </si>
  <si>
    <t>５カ月伸び</t>
  </si>
  <si>
    <t xml:space="preserve"> 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</si>
  <si>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</si>
  <si>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</si>
  <si>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</si>
  <si>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</si>
  <si>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</si>
  <si>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</si>
  <si>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１月</t>
  </si>
  <si>
    <t>年間／５月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</si>
  <si>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</si>
  <si>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</si>
  <si>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</si>
  <si>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</si>
  <si>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</si>
  <si>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</si>
  <si>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年度伸び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</si>
  <si>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</si>
  <si>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</si>
  <si>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</si>
  <si>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</si>
  <si>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</si>
  <si>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</si>
  <si>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</si>
  <si>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</si>
  <si>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</si>
  <si>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</si>
  <si>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</si>
  <si>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</si>
  <si>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</si>
  <si>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</si>
  <si>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</si>
  <si>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</si>
  <si>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</si>
  <si>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</si>
  <si>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</si>
  <si>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</si>
  <si>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</si>
  <si>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</si>
  <si>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</si>
  <si>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</si>
  <si>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</si>
  <si>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</si>
  <si>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</si>
  <si>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</si>
  <si>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平成６年</t>
  </si>
  <si>
    <t>平成７年</t>
  </si>
  <si>
    <t>平成８年</t>
  </si>
  <si>
    <t>平成９年</t>
  </si>
  <si>
    <t>平成10年</t>
  </si>
  <si>
    <t>平成11年度</t>
  </si>
  <si>
    <t>平成12年度</t>
  </si>
  <si>
    <t>平均</t>
  </si>
  <si>
    <t>前年３月分</t>
  </si>
  <si>
    <t>H11,1</t>
  </si>
  <si>
    <t>　</t>
  </si>
  <si>
    <t>３～８月</t>
  </si>
  <si>
    <t>∫</t>
  </si>
  <si>
    <t>合計</t>
  </si>
  <si>
    <t>４～８月</t>
  </si>
  <si>
    <t>H11,12</t>
  </si>
  <si>
    <t>　</t>
  </si>
  <si>
    <t>年間</t>
  </si>
  <si>
    <t>平均</t>
  </si>
  <si>
    <t>　４／２</t>
  </si>
  <si>
    <t>　４／３</t>
  </si>
  <si>
    <t>前年比</t>
  </si>
  <si>
    <t xml:space="preserve"> </t>
  </si>
  <si>
    <t>厚生省</t>
  </si>
  <si>
    <t>Ｈ12年１月～３月　</t>
  </si>
  <si>
    <t>国保加入者の割合（年平均）</t>
  </si>
  <si>
    <t>青</t>
  </si>
  <si>
    <t>い</t>
  </si>
  <si>
    <t>平成12年度</t>
  </si>
  <si>
    <t>被保険者等一般状況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</si>
  <si>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</si>
  <si>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</si>
  <si>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</si>
  <si>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</si>
  <si>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</si>
  <si>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</si>
  <si>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</si>
  <si>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</si>
  <si>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数</t>
  </si>
  <si>
    <t>月末</t>
  </si>
  <si>
    <t>世    帯    数</t>
  </si>
  <si>
    <t>被    保    険    者    数</t>
  </si>
  <si>
    <t>２　号　被　保　数</t>
  </si>
  <si>
    <t>全市世帯数</t>
  </si>
  <si>
    <t>全市人口</t>
  </si>
  <si>
    <t>世帯加入率</t>
  </si>
  <si>
    <t>被保加入率</t>
  </si>
  <si>
    <t>退職割合</t>
  </si>
  <si>
    <t>平成５年度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</si>
  <si>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</si>
  <si>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</si>
  <si>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</si>
  <si>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</si>
  <si>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</si>
  <si>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</si>
  <si>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</si>
  <si>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</si>
  <si>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</si>
  <si>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</si>
  <si>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</si>
  <si>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</si>
  <si>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</si>
  <si>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被保険者数</t>
  </si>
  <si>
    <t>一般</t>
  </si>
  <si>
    <t>退職</t>
  </si>
  <si>
    <t>Ｈ</t>
  </si>
  <si>
    <t>Ｉ</t>
  </si>
  <si>
    <t>世帯数／Ｈ</t>
  </si>
  <si>
    <t>被保険者数／Ｉ</t>
  </si>
  <si>
    <t>退職／被保数</t>
  </si>
  <si>
    <t>平成６年度</t>
  </si>
  <si>
    <t>だ</t>
  </si>
  <si>
    <t>Ａ+Ｂ+Ｃ</t>
  </si>
  <si>
    <t>Ａ＋Ｂ</t>
  </si>
  <si>
    <t>Ａ</t>
  </si>
  <si>
    <t>Ｂ</t>
  </si>
  <si>
    <t>Ｃ</t>
  </si>
  <si>
    <t>Ａ+Ｂ+Ｃ+Ｄ</t>
  </si>
  <si>
    <t>Ａ＋Ｂ</t>
  </si>
  <si>
    <t>Ａ</t>
  </si>
  <si>
    <t>Ｂ</t>
  </si>
  <si>
    <t>Ｃ＋Ｄ</t>
  </si>
  <si>
    <t>Ｃ</t>
  </si>
  <si>
    <t>Ｄ</t>
  </si>
  <si>
    <t>Ａ＋Ｂ</t>
  </si>
  <si>
    <t>Ａ</t>
  </si>
  <si>
    <t>Ｂ</t>
  </si>
  <si>
    <t>平成７年度</t>
  </si>
  <si>
    <t>け</t>
  </si>
  <si>
    <t>４月</t>
  </si>
  <si>
    <t>平成８年度</t>
  </si>
  <si>
    <t>入</t>
  </si>
  <si>
    <t>５月</t>
  </si>
  <si>
    <t>平成９年度</t>
  </si>
  <si>
    <t>力</t>
  </si>
  <si>
    <t>６月</t>
  </si>
  <si>
    <t>平成10年度</t>
  </si>
  <si>
    <t>す</t>
  </si>
  <si>
    <t>７月</t>
  </si>
  <si>
    <t>平成11年度</t>
  </si>
  <si>
    <t>る</t>
  </si>
  <si>
    <t>８月</t>
  </si>
  <si>
    <t>※平成11年度は10月末までの7カ月平均｡</t>
  </si>
  <si>
    <t xml:space="preserve"> </t>
  </si>
  <si>
    <t>９月</t>
  </si>
  <si>
    <t>5～10の伸び</t>
  </si>
  <si>
    <t xml:space="preserve"> </t>
  </si>
  <si>
    <t>１０月</t>
  </si>
  <si>
    <t xml:space="preserve"> </t>
  </si>
  <si>
    <t>１１月</t>
  </si>
  <si>
    <t>国保加入者の割合（3.31）</t>
  </si>
  <si>
    <t xml:space="preserve"> </t>
  </si>
  <si>
    <t>１２月</t>
  </si>
  <si>
    <t>１月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</si>
  <si>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</si>
  <si>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</si>
  <si>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</si>
  <si>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</si>
  <si>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</si>
  <si>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</si>
  <si>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</si>
  <si>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</si>
  <si>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２月</t>
  </si>
  <si>
    <t>平成５年度</t>
  </si>
  <si>
    <t>３月</t>
  </si>
  <si>
    <t>平成６年度</t>
  </si>
  <si>
    <t>合計</t>
  </si>
  <si>
    <t>平成７年度</t>
  </si>
  <si>
    <t>平均</t>
  </si>
  <si>
    <t>平成８年度</t>
  </si>
  <si>
    <t>平成９年度</t>
  </si>
  <si>
    <t>4月</t>
  </si>
  <si>
    <t>平成10年度</t>
  </si>
  <si>
    <t>4月～5月</t>
  </si>
  <si>
    <t>平成11年度</t>
  </si>
  <si>
    <t>4月～6月</t>
  </si>
  <si>
    <t>※平成11年度は10月末の数字｡</t>
  </si>
  <si>
    <t>4月～7月</t>
  </si>
  <si>
    <t>5～10の伸び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</si>
  <si>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</si>
  <si>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</si>
  <si>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</si>
  <si>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</si>
  <si>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</si>
  <si>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</si>
  <si>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</si>
  <si>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</si>
  <si>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</si>
  <si>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</si>
  <si>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</si>
  <si>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</si>
  <si>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介護2号該当被保険者　見込</t>
  </si>
  <si>
    <t>平成８年</t>
  </si>
  <si>
    <t>平成９年</t>
  </si>
  <si>
    <t>平成10年</t>
  </si>
  <si>
    <t>平成11年</t>
  </si>
  <si>
    <t>平成12年</t>
  </si>
  <si>
    <t>平成13年</t>
  </si>
  <si>
    <t>平成8年度</t>
  </si>
  <si>
    <t>平成9年度</t>
  </si>
  <si>
    <t>平成10年度</t>
  </si>
  <si>
    <t>平成11年度</t>
  </si>
  <si>
    <t>平成12年度</t>
  </si>
  <si>
    <t>9月末</t>
  </si>
  <si>
    <t>半期伸</t>
  </si>
  <si>
    <t>　３～８</t>
  </si>
  <si>
    <t>半年伸び</t>
  </si>
  <si>
    <t>3月/9月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</si>
  <si>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</si>
  <si>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</si>
  <si>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</si>
  <si>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</si>
  <si>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</si>
  <si>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</si>
  <si>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</si>
  <si>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</si>
  <si>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</si>
  <si>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</si>
  <si>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</si>
  <si>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</si>
  <si>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</si>
  <si>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</si>
  <si>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</si>
  <si>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</si>
  <si>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3月末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</si>
  <si>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</si>
  <si>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</si>
  <si>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</si>
  <si>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</si>
  <si>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</si>
  <si>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</si>
  <si>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</si>
  <si>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</si>
  <si>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</si>
  <si>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</si>
  <si>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</si>
  <si>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</si>
  <si>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>年度伸のみ</t>
  </si>
  <si>
    <t xml:space="preserve">  </t>
  </si>
  <si>
    <t>４月</t>
  </si>
  <si>
    <t>見込</t>
  </si>
  <si>
    <t>見込</t>
  </si>
  <si>
    <t xml:space="preserve"> </t>
  </si>
  <si>
    <t>５月</t>
  </si>
  <si>
    <t>以下ちょっとわからない全市世帯数・全市人口</t>
  </si>
  <si>
    <t>平成8年度</t>
  </si>
  <si>
    <t>平成9年度</t>
  </si>
  <si>
    <t>平成10年度</t>
  </si>
  <si>
    <t>平成11年度</t>
  </si>
  <si>
    <t>平成12年度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</si>
  <si>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</si>
  <si>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</si>
  <si>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</si>
  <si>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</si>
  <si>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</si>
  <si>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</si>
  <si>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人口</t>
  </si>
  <si>
    <t>平成６年</t>
  </si>
  <si>
    <t>平成７年</t>
  </si>
  <si>
    <t>平成８年</t>
  </si>
  <si>
    <t>平成９年</t>
  </si>
  <si>
    <t>平成10年</t>
  </si>
  <si>
    <t>平成11年度</t>
  </si>
  <si>
    <t>9月末</t>
  </si>
  <si>
    <t>６月</t>
  </si>
  <si>
    <t xml:space="preserve"> </t>
  </si>
  <si>
    <t xml:space="preserve"> </t>
  </si>
  <si>
    <t xml:space="preserve"> </t>
  </si>
  <si>
    <t xml:space="preserve"> </t>
  </si>
  <si>
    <t>　４～８</t>
  </si>
  <si>
    <t>７月</t>
  </si>
  <si>
    <t>５カ月伸び</t>
  </si>
  <si>
    <t>3月末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</si>
  <si>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</si>
  <si>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</si>
  <si>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</si>
  <si>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</si>
  <si>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</si>
  <si>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</si>
  <si>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８月</t>
  </si>
  <si>
    <t>年間／５月</t>
  </si>
  <si>
    <t>H8,9</t>
  </si>
  <si>
    <t>H9,3</t>
  </si>
  <si>
    <t>H9,9</t>
  </si>
  <si>
    <t>H10,3</t>
  </si>
  <si>
    <t>H10,9</t>
  </si>
  <si>
    <t>H11,3</t>
  </si>
  <si>
    <t>H11,9</t>
  </si>
  <si>
    <t xml:space="preserve"> </t>
  </si>
  <si>
    <t xml:space="preserve"> </t>
  </si>
  <si>
    <t xml:space="preserve"> </t>
  </si>
  <si>
    <t xml:space="preserve"> </t>
  </si>
  <si>
    <t>年度伸び</t>
  </si>
  <si>
    <t>2号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</si>
  <si>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</si>
  <si>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</si>
  <si>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</si>
  <si>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</si>
  <si>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</si>
  <si>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</si>
  <si>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若人</t>
  </si>
  <si>
    <t>１０月</t>
  </si>
  <si>
    <t xml:space="preserve"> </t>
  </si>
  <si>
    <t xml:space="preserve"> </t>
  </si>
  <si>
    <t xml:space="preserve"> </t>
  </si>
  <si>
    <t xml:space="preserve"> </t>
  </si>
  <si>
    <t>世帯数</t>
  </si>
  <si>
    <t>平成６年</t>
  </si>
  <si>
    <t>平成７年</t>
  </si>
  <si>
    <t>平成８年</t>
  </si>
  <si>
    <t>平成９年</t>
  </si>
  <si>
    <t>平成10年</t>
  </si>
  <si>
    <t>平成11年度</t>
  </si>
  <si>
    <t>全被保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</si>
  <si>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</si>
  <si>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</si>
  <si>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</si>
  <si>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</si>
  <si>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</si>
  <si>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</si>
  <si>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　４～８</t>
  </si>
  <si>
    <t>１２月</t>
  </si>
  <si>
    <t>５カ月伸び</t>
  </si>
  <si>
    <t xml:space="preserve"> 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</si>
  <si>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</si>
  <si>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</si>
  <si>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</si>
  <si>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</si>
  <si>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</si>
  <si>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</si>
  <si>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１月</t>
  </si>
  <si>
    <t>年間／５月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</si>
  <si>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</si>
  <si>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</si>
  <si>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</si>
  <si>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</si>
  <si>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</si>
  <si>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</si>
  <si>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年度伸び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</si>
  <si>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</si>
  <si>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</si>
  <si>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</si>
  <si>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</si>
  <si>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</si>
  <si>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</si>
  <si>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</si>
  <si>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</si>
  <si>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</si>
  <si>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</si>
  <si>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</si>
  <si>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</si>
  <si>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</si>
  <si>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</si>
  <si>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</si>
  <si>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</si>
  <si>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</si>
  <si>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</si>
  <si>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</si>
  <si>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</si>
  <si>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</si>
  <si>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</si>
  <si>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</si>
  <si>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</si>
  <si>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</si>
  <si>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</si>
  <si>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</si>
  <si>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</si>
  <si>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平成６年</t>
  </si>
  <si>
    <t>平成７年</t>
  </si>
  <si>
    <t>平成８年</t>
  </si>
  <si>
    <t>平成９年</t>
  </si>
  <si>
    <t>平成10年</t>
  </si>
  <si>
    <t>平成11年度</t>
  </si>
  <si>
    <t>平成12年度</t>
  </si>
  <si>
    <t>平均</t>
  </si>
  <si>
    <t>前年３月分</t>
  </si>
  <si>
    <t>H11,1</t>
  </si>
  <si>
    <t>　</t>
  </si>
  <si>
    <t>３～８月</t>
  </si>
  <si>
    <t>∫</t>
  </si>
  <si>
    <t>合計</t>
  </si>
  <si>
    <t>４～８月</t>
  </si>
  <si>
    <t>H11,12</t>
  </si>
  <si>
    <t>　</t>
  </si>
  <si>
    <t>年間</t>
  </si>
  <si>
    <t>平均</t>
  </si>
  <si>
    <t>　４／２</t>
  </si>
  <si>
    <t>　４／３</t>
  </si>
  <si>
    <t>前年比</t>
  </si>
  <si>
    <t xml:space="preserve"> </t>
  </si>
  <si>
    <t>厚生省</t>
  </si>
  <si>
    <t>Ｈ13年１月～３月　</t>
  </si>
  <si>
    <t>国保加入者の割合（年平均）</t>
  </si>
  <si>
    <t>青</t>
  </si>
  <si>
    <t>い</t>
  </si>
  <si>
    <t>平成13年度</t>
  </si>
  <si>
    <t>被保険者等一般状況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</si>
  <si>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</si>
  <si>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</si>
  <si>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</si>
  <si>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</si>
  <si>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</si>
  <si>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</si>
  <si>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</si>
  <si>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</si>
  <si>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数</t>
  </si>
  <si>
    <t>月末</t>
  </si>
  <si>
    <t>世    帯    数</t>
  </si>
  <si>
    <t>被    保    険    者    数</t>
  </si>
  <si>
    <t>２　号　被　保　数</t>
  </si>
  <si>
    <t>全市世帯数</t>
  </si>
  <si>
    <t>全市人口</t>
  </si>
  <si>
    <t>世帯加入率</t>
  </si>
  <si>
    <t>被保加入率</t>
  </si>
  <si>
    <t>退職割合</t>
  </si>
  <si>
    <t>平成５年度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</si>
  <si>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</si>
  <si>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</si>
  <si>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</si>
  <si>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</si>
  <si>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</si>
  <si>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</si>
  <si>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</si>
  <si>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</si>
  <si>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</si>
  <si>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</si>
  <si>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</si>
  <si>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</si>
  <si>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</si>
  <si>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被保険者数</t>
  </si>
  <si>
    <t>一般</t>
  </si>
  <si>
    <t>退職</t>
  </si>
  <si>
    <t>Ｈ</t>
  </si>
  <si>
    <t>Ｉ</t>
  </si>
  <si>
    <t>世帯数／Ｈ</t>
  </si>
  <si>
    <t>被保険者数／Ｉ</t>
  </si>
  <si>
    <t>退職／被保数</t>
  </si>
  <si>
    <t>平成６年度</t>
  </si>
  <si>
    <t>だ</t>
  </si>
  <si>
    <t>Ａ+Ｂ+Ｃ</t>
  </si>
  <si>
    <t>Ａ＋Ｂ</t>
  </si>
  <si>
    <t>Ａ</t>
  </si>
  <si>
    <t>Ｂ</t>
  </si>
  <si>
    <t>Ｃ</t>
  </si>
  <si>
    <t>Ａ+Ｂ+Ｃ+Ｄ</t>
  </si>
  <si>
    <t>Ａ＋Ｂ</t>
  </si>
  <si>
    <t>Ａ</t>
  </si>
  <si>
    <t>Ｂ</t>
  </si>
  <si>
    <t>Ｃ＋Ｄ</t>
  </si>
  <si>
    <t>Ｃ</t>
  </si>
  <si>
    <t>Ｄ</t>
  </si>
  <si>
    <t>Ａ＋Ｂ</t>
  </si>
  <si>
    <t>Ａ</t>
  </si>
  <si>
    <t>Ｂ</t>
  </si>
  <si>
    <t>平成７年度</t>
  </si>
  <si>
    <t>け</t>
  </si>
  <si>
    <t>４月</t>
  </si>
  <si>
    <t>平成８年度</t>
  </si>
  <si>
    <t>入</t>
  </si>
  <si>
    <t>５月</t>
  </si>
  <si>
    <t>平成９年度</t>
  </si>
  <si>
    <t>力</t>
  </si>
  <si>
    <t>６月</t>
  </si>
  <si>
    <t>平成10年度</t>
  </si>
  <si>
    <t>す</t>
  </si>
  <si>
    <t>７月</t>
  </si>
  <si>
    <t>平成11年度</t>
  </si>
  <si>
    <t>る</t>
  </si>
  <si>
    <t>８月</t>
  </si>
  <si>
    <t>※平成11年度は10月末までの7カ月平均｡</t>
  </si>
  <si>
    <t xml:space="preserve"> </t>
  </si>
  <si>
    <t>９月</t>
  </si>
  <si>
    <t>5～10の伸び</t>
  </si>
  <si>
    <t xml:space="preserve"> </t>
  </si>
  <si>
    <t>１０月</t>
  </si>
  <si>
    <t xml:space="preserve"> </t>
  </si>
  <si>
    <t>１１月</t>
  </si>
  <si>
    <t>国保加入者の割合（3.31）</t>
  </si>
  <si>
    <t xml:space="preserve"> </t>
  </si>
  <si>
    <t>１２月</t>
  </si>
  <si>
    <t>１月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</si>
  <si>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</si>
  <si>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</si>
  <si>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</si>
  <si>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</si>
  <si>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</si>
  <si>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</si>
  <si>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</si>
  <si>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</si>
  <si>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２月</t>
  </si>
  <si>
    <t>平成５年度</t>
  </si>
  <si>
    <t>３月</t>
  </si>
  <si>
    <t>平成６年度</t>
  </si>
  <si>
    <t>合計</t>
  </si>
  <si>
    <t>平成７年度</t>
  </si>
  <si>
    <t>平均</t>
  </si>
  <si>
    <t>平成８年度</t>
  </si>
  <si>
    <t>平成９年度</t>
  </si>
  <si>
    <t>4月</t>
  </si>
  <si>
    <t>平成10年度</t>
  </si>
  <si>
    <t>4月～5月</t>
  </si>
  <si>
    <t>平成11年度</t>
  </si>
  <si>
    <t>4月～6月</t>
  </si>
  <si>
    <t>※平成11年度は10月末の数字｡</t>
  </si>
  <si>
    <t>4月～7月</t>
  </si>
  <si>
    <t>5～10の伸び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</si>
  <si>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</si>
  <si>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</si>
  <si>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</si>
  <si>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</si>
  <si>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</si>
  <si>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</si>
  <si>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</si>
  <si>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</si>
  <si>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</si>
  <si>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</si>
  <si>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</si>
  <si>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</si>
  <si>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介護2号該当被保険者　見込</t>
  </si>
  <si>
    <t>平成８年</t>
  </si>
  <si>
    <t>平成９年</t>
  </si>
  <si>
    <t>平成10年</t>
  </si>
  <si>
    <t>平成11年</t>
  </si>
  <si>
    <t>平成12年</t>
  </si>
  <si>
    <t>平成13年</t>
  </si>
  <si>
    <t>平成8年度</t>
  </si>
  <si>
    <t>平成9年度</t>
  </si>
  <si>
    <t>平成10年度</t>
  </si>
  <si>
    <t>平成11年度</t>
  </si>
  <si>
    <t>平成12年度</t>
  </si>
  <si>
    <t>9月末</t>
  </si>
  <si>
    <t>半期伸</t>
  </si>
  <si>
    <t>　３～８</t>
  </si>
  <si>
    <t>半年伸び</t>
  </si>
  <si>
    <t>3月/9月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</si>
  <si>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</si>
  <si>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</si>
  <si>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</si>
  <si>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</si>
  <si>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</si>
  <si>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</si>
  <si>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</si>
  <si>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</si>
  <si>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</si>
  <si>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</si>
  <si>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</si>
  <si>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</si>
  <si>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</si>
  <si>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</si>
  <si>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</si>
  <si>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</si>
  <si>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3月末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</si>
  <si>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</si>
  <si>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</si>
  <si>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</si>
  <si>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</si>
  <si>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</si>
  <si>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</si>
  <si>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</si>
  <si>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</si>
  <si>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</si>
  <si>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</si>
  <si>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</si>
  <si>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</si>
  <si>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>年度伸のみ</t>
  </si>
  <si>
    <t xml:space="preserve">  </t>
  </si>
  <si>
    <t>４月</t>
  </si>
  <si>
    <t>見込</t>
  </si>
  <si>
    <t>見込</t>
  </si>
  <si>
    <t xml:space="preserve"> </t>
  </si>
  <si>
    <t>５月</t>
  </si>
  <si>
    <t>以下ちょっとわからない全市世帯数・全市人口</t>
  </si>
  <si>
    <t>平成8年度</t>
  </si>
  <si>
    <t>平成9年度</t>
  </si>
  <si>
    <t>平成10年度</t>
  </si>
  <si>
    <t>平成11年度</t>
  </si>
  <si>
    <t>平成12年度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</si>
  <si>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</si>
  <si>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</si>
  <si>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</si>
  <si>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</si>
  <si>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</si>
  <si>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</si>
  <si>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人口</t>
  </si>
  <si>
    <t>平成６年</t>
  </si>
  <si>
    <t>平成７年</t>
  </si>
  <si>
    <t>平成８年</t>
  </si>
  <si>
    <t>平成９年</t>
  </si>
  <si>
    <t>平成10年</t>
  </si>
  <si>
    <t>平成11年度</t>
  </si>
  <si>
    <t>9月末</t>
  </si>
  <si>
    <t>６月</t>
  </si>
  <si>
    <t xml:space="preserve"> </t>
  </si>
  <si>
    <t xml:space="preserve"> </t>
  </si>
  <si>
    <t xml:space="preserve"> </t>
  </si>
  <si>
    <t xml:space="preserve"> </t>
  </si>
  <si>
    <t>　４～８</t>
  </si>
  <si>
    <t>７月</t>
  </si>
  <si>
    <t>５カ月伸び</t>
  </si>
  <si>
    <t>3月末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</si>
  <si>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</si>
  <si>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</si>
  <si>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</si>
  <si>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</si>
  <si>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</si>
  <si>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</si>
  <si>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８月</t>
  </si>
  <si>
    <t>年間／５月</t>
  </si>
  <si>
    <t>H8,9</t>
  </si>
  <si>
    <t>H9,3</t>
  </si>
  <si>
    <t>H9,9</t>
  </si>
  <si>
    <t>H10,3</t>
  </si>
  <si>
    <t>H10,9</t>
  </si>
  <si>
    <t>H11,3</t>
  </si>
  <si>
    <t>H11,9</t>
  </si>
  <si>
    <t xml:space="preserve"> </t>
  </si>
  <si>
    <t xml:space="preserve"> </t>
  </si>
  <si>
    <t xml:space="preserve"> </t>
  </si>
  <si>
    <t xml:space="preserve"> </t>
  </si>
  <si>
    <t>年度伸び</t>
  </si>
  <si>
    <t>2号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</si>
  <si>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</si>
  <si>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</si>
  <si>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</si>
  <si>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</si>
  <si>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</si>
  <si>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</si>
  <si>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若人</t>
  </si>
  <si>
    <t>１０月</t>
  </si>
  <si>
    <t xml:space="preserve"> </t>
  </si>
  <si>
    <t xml:space="preserve"> </t>
  </si>
  <si>
    <t xml:space="preserve"> </t>
  </si>
  <si>
    <t xml:space="preserve"> </t>
  </si>
  <si>
    <t>世帯数</t>
  </si>
  <si>
    <t>平成６年</t>
  </si>
  <si>
    <t>平成７年</t>
  </si>
  <si>
    <t>平成８年</t>
  </si>
  <si>
    <t>平成９年</t>
  </si>
  <si>
    <t>平成10年</t>
  </si>
  <si>
    <t>平成11年度</t>
  </si>
  <si>
    <t>全被保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</si>
  <si>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</si>
  <si>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</si>
  <si>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</si>
  <si>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</si>
  <si>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</si>
  <si>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</si>
  <si>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　４～８</t>
  </si>
  <si>
    <t>１２月</t>
  </si>
  <si>
    <t>５カ月伸び</t>
  </si>
  <si>
    <t xml:space="preserve"> 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</si>
  <si>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</si>
  <si>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</si>
  <si>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</si>
  <si>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</si>
  <si>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</si>
  <si>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</si>
  <si>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１月</t>
  </si>
  <si>
    <t>年間／５月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</si>
  <si>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</si>
  <si>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</si>
  <si>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</si>
  <si>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</si>
  <si>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</si>
  <si>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</si>
  <si>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年度伸び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</si>
  <si>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</si>
  <si>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</si>
  <si>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</si>
  <si>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</si>
  <si>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</si>
  <si>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</si>
  <si>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</si>
  <si>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</si>
  <si>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</si>
  <si>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</si>
  <si>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</si>
  <si>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</si>
  <si>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</si>
  <si>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</si>
  <si>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</si>
  <si>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</si>
  <si>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</si>
  <si>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</si>
  <si>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</si>
  <si>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</si>
  <si>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</si>
  <si>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</si>
  <si>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</si>
  <si>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</si>
  <si>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</si>
  <si>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</si>
  <si>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</si>
  <si>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</si>
  <si>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平成６年</t>
  </si>
  <si>
    <t>平成７年</t>
  </si>
  <si>
    <t>平成８年</t>
  </si>
  <si>
    <t>平成９年</t>
  </si>
  <si>
    <t>平成10年</t>
  </si>
  <si>
    <t>平成11年度</t>
  </si>
  <si>
    <t>平成12年度</t>
  </si>
  <si>
    <t>平均</t>
  </si>
  <si>
    <t>前年３月分</t>
  </si>
  <si>
    <t>H11,1</t>
  </si>
  <si>
    <t>　</t>
  </si>
  <si>
    <t>３～８月</t>
  </si>
  <si>
    <t>∫</t>
  </si>
  <si>
    <t>合計</t>
  </si>
  <si>
    <t>４～８月</t>
  </si>
  <si>
    <t>H11,12</t>
  </si>
  <si>
    <t>　</t>
  </si>
  <si>
    <t>年間</t>
  </si>
  <si>
    <t>平均</t>
  </si>
  <si>
    <t>　４／２</t>
  </si>
  <si>
    <t>　４／３</t>
  </si>
  <si>
    <t>前年比</t>
  </si>
  <si>
    <t xml:space="preserve"> </t>
  </si>
  <si>
    <t>厚生省</t>
  </si>
  <si>
    <t>Ｈ14年１月～３月　</t>
  </si>
  <si>
    <t>国保加入者の割合（年平均）</t>
  </si>
  <si>
    <t>青</t>
  </si>
  <si>
    <t>い</t>
  </si>
  <si>
    <t>平成14年度</t>
  </si>
  <si>
    <t>被保険者等一般状況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</si>
  <si>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</si>
  <si>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</si>
  <si>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</si>
  <si>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</si>
  <si>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</si>
  <si>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</si>
  <si>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</si>
  <si>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</si>
  <si>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数</t>
  </si>
  <si>
    <t>月末</t>
  </si>
  <si>
    <t>世    帯    数</t>
  </si>
  <si>
    <t>被    保    険    者    数</t>
  </si>
  <si>
    <t>２　号　被　保　数</t>
  </si>
  <si>
    <t>全市世帯数</t>
  </si>
  <si>
    <t>全市人口</t>
  </si>
  <si>
    <t>世帯加入率</t>
  </si>
  <si>
    <t>被保加入率</t>
  </si>
  <si>
    <t>退職割合</t>
  </si>
  <si>
    <t>平成５年度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</si>
  <si>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</si>
  <si>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</si>
  <si>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</si>
  <si>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</si>
  <si>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</si>
  <si>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</si>
  <si>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</si>
  <si>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</si>
  <si>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</si>
  <si>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</si>
  <si>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</si>
  <si>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</si>
  <si>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</si>
  <si>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被保険者数</t>
  </si>
  <si>
    <t>一般</t>
  </si>
  <si>
    <t>退職</t>
  </si>
  <si>
    <t>Ｈ</t>
  </si>
  <si>
    <t>Ｉ</t>
  </si>
  <si>
    <t>世帯数／Ｈ</t>
  </si>
  <si>
    <t>被保険者数／Ｉ</t>
  </si>
  <si>
    <t>退職／被保数</t>
  </si>
  <si>
    <t>平成６年度</t>
  </si>
  <si>
    <t>だ</t>
  </si>
  <si>
    <t>Ａ+Ｂ+Ｃ</t>
  </si>
  <si>
    <t>Ａ＋Ｂ</t>
  </si>
  <si>
    <t>Ａ</t>
  </si>
  <si>
    <t>Ｂ</t>
  </si>
  <si>
    <t>Ｃ</t>
  </si>
  <si>
    <t>Ａ+Ｂ+Ｃ+Ｄ</t>
  </si>
  <si>
    <t>Ａ＋Ｂ</t>
  </si>
  <si>
    <t>Ａ</t>
  </si>
  <si>
    <t>Ｂ</t>
  </si>
  <si>
    <t>Ｃ＋Ｄ</t>
  </si>
  <si>
    <t>Ｃ</t>
  </si>
  <si>
    <t>Ｄ</t>
  </si>
  <si>
    <t>Ａ＋Ｂ</t>
  </si>
  <si>
    <t>Ａ</t>
  </si>
  <si>
    <t>Ｂ</t>
  </si>
  <si>
    <t>平成７年度</t>
  </si>
  <si>
    <t>け</t>
  </si>
  <si>
    <t>４月</t>
  </si>
  <si>
    <t>平成８年度</t>
  </si>
  <si>
    <t>入</t>
  </si>
  <si>
    <t>５月</t>
  </si>
  <si>
    <t>平成９年度</t>
  </si>
  <si>
    <t>力</t>
  </si>
  <si>
    <t>６月</t>
  </si>
  <si>
    <t>平成10年度</t>
  </si>
  <si>
    <t>す</t>
  </si>
  <si>
    <t>７月</t>
  </si>
  <si>
    <t>平成11年度</t>
  </si>
  <si>
    <t>る</t>
  </si>
  <si>
    <t>８月</t>
  </si>
  <si>
    <t>※平成11年度は10月末までの7カ月平均｡</t>
  </si>
  <si>
    <t xml:space="preserve"> </t>
  </si>
  <si>
    <t>９月</t>
  </si>
  <si>
    <t>5～10の伸び</t>
  </si>
  <si>
    <t xml:space="preserve"> </t>
  </si>
  <si>
    <t>１０月</t>
  </si>
  <si>
    <t xml:space="preserve"> </t>
  </si>
  <si>
    <t>１１月</t>
  </si>
  <si>
    <t>国保加入者の割合（3.31）</t>
  </si>
  <si>
    <t xml:space="preserve"> </t>
  </si>
  <si>
    <t>１２月</t>
  </si>
  <si>
    <t>１月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</si>
  <si>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</si>
  <si>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</si>
  <si>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</si>
  <si>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</si>
  <si>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</si>
  <si>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</si>
  <si>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</si>
  <si>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</si>
  <si>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２月</t>
  </si>
  <si>
    <t>平成５年度</t>
  </si>
  <si>
    <t>３月</t>
  </si>
  <si>
    <t>平成６年度</t>
  </si>
  <si>
    <t>合計</t>
  </si>
  <si>
    <t>平成７年度</t>
  </si>
  <si>
    <t>平均</t>
  </si>
  <si>
    <t>平成８年度</t>
  </si>
  <si>
    <t>平成９年度</t>
  </si>
  <si>
    <t>4月</t>
  </si>
  <si>
    <t>平成10年度</t>
  </si>
  <si>
    <t>4月～5月</t>
  </si>
  <si>
    <t>平成11年度</t>
  </si>
  <si>
    <t>4月～6月</t>
  </si>
  <si>
    <t>※平成11年度は10月末の数字｡</t>
  </si>
  <si>
    <t>4月～7月</t>
  </si>
  <si>
    <t>5～10の伸び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</si>
  <si>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</si>
  <si>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</si>
  <si>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</si>
  <si>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</si>
  <si>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</si>
  <si>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</si>
  <si>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</si>
  <si>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</si>
  <si>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</si>
  <si>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</si>
  <si>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</si>
  <si>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</si>
  <si>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介護2号該当被保険者　見込</t>
  </si>
  <si>
    <t>平成10年</t>
  </si>
  <si>
    <t>平成11年</t>
  </si>
  <si>
    <t>平成12年</t>
  </si>
  <si>
    <t>平成13年</t>
  </si>
  <si>
    <t>平成8年度</t>
  </si>
  <si>
    <t>平成9年度</t>
  </si>
  <si>
    <t>平成10年度</t>
  </si>
  <si>
    <t>平成11年度</t>
  </si>
  <si>
    <t>平成12年度</t>
  </si>
  <si>
    <t>9月末</t>
  </si>
  <si>
    <t>半期伸</t>
  </si>
  <si>
    <t>　３～８</t>
  </si>
  <si>
    <t>半年伸び</t>
  </si>
  <si>
    <t>3月/9月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</si>
  <si>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</si>
  <si>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</si>
  <si>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</si>
  <si>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</si>
  <si>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</si>
  <si>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</si>
  <si>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</si>
  <si>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</si>
  <si>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</si>
  <si>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</si>
  <si>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</si>
  <si>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</si>
  <si>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</si>
  <si>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</si>
  <si>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</si>
  <si>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</si>
  <si>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3月末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</si>
  <si>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</si>
  <si>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</si>
  <si>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</si>
  <si>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</si>
  <si>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</si>
  <si>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</si>
  <si>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</si>
  <si>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</si>
  <si>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</si>
  <si>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</si>
  <si>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</si>
  <si>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</si>
  <si>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>年度伸のみ</t>
  </si>
  <si>
    <t xml:space="preserve">  </t>
  </si>
  <si>
    <t>４月</t>
  </si>
  <si>
    <t>見込</t>
  </si>
  <si>
    <t>見込</t>
  </si>
  <si>
    <t xml:space="preserve"> </t>
  </si>
  <si>
    <t>５月</t>
  </si>
  <si>
    <t>以下ちょっとわからない全市世帯数・全市人口</t>
  </si>
  <si>
    <t>平成8年度</t>
  </si>
  <si>
    <t>平成9年度</t>
  </si>
  <si>
    <t>平成10年度</t>
  </si>
  <si>
    <t>平成11年度</t>
  </si>
  <si>
    <t>平成12年度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</si>
  <si>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</si>
  <si>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</si>
  <si>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</si>
  <si>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</si>
  <si>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</si>
  <si>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</si>
  <si>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人口</t>
  </si>
  <si>
    <t>平成６年</t>
  </si>
  <si>
    <t>平成７年</t>
  </si>
  <si>
    <t>平成８年</t>
  </si>
  <si>
    <t>平成９年</t>
  </si>
  <si>
    <t>平成10年</t>
  </si>
  <si>
    <t>平成11年度</t>
  </si>
  <si>
    <t>9月末</t>
  </si>
  <si>
    <t>６月</t>
  </si>
  <si>
    <t xml:space="preserve"> </t>
  </si>
  <si>
    <t xml:space="preserve"> </t>
  </si>
  <si>
    <t xml:space="preserve"> </t>
  </si>
  <si>
    <t xml:space="preserve"> </t>
  </si>
  <si>
    <t>　４～８</t>
  </si>
  <si>
    <t>７月</t>
  </si>
  <si>
    <t>５カ月伸び</t>
  </si>
  <si>
    <t>3月末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</si>
  <si>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</si>
  <si>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</si>
  <si>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</si>
  <si>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</si>
  <si>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</si>
  <si>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</si>
  <si>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８月</t>
  </si>
  <si>
    <t>年間／５月</t>
  </si>
  <si>
    <t>H8,9</t>
  </si>
  <si>
    <t>H9,3</t>
  </si>
  <si>
    <t>H9,9</t>
  </si>
  <si>
    <t>H10,3</t>
  </si>
  <si>
    <t>H10,9</t>
  </si>
  <si>
    <t>H11,3</t>
  </si>
  <si>
    <t>H11,9</t>
  </si>
  <si>
    <t xml:space="preserve"> </t>
  </si>
  <si>
    <t xml:space="preserve"> </t>
  </si>
  <si>
    <t xml:space="preserve"> </t>
  </si>
  <si>
    <t xml:space="preserve"> </t>
  </si>
  <si>
    <t>年度伸び</t>
  </si>
  <si>
    <t>2号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</si>
  <si>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</si>
  <si>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</si>
  <si>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</si>
  <si>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</si>
  <si>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</si>
  <si>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</si>
  <si>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若人</t>
  </si>
  <si>
    <t>１０月</t>
  </si>
  <si>
    <t xml:space="preserve"> </t>
  </si>
  <si>
    <t xml:space="preserve"> </t>
  </si>
  <si>
    <t xml:space="preserve"> </t>
  </si>
  <si>
    <t xml:space="preserve"> </t>
  </si>
  <si>
    <t>世帯数</t>
  </si>
  <si>
    <t>平成６年</t>
  </si>
  <si>
    <t>平成７年</t>
  </si>
  <si>
    <t>平成８年</t>
  </si>
  <si>
    <t>平成９年</t>
  </si>
  <si>
    <t>平成10年</t>
  </si>
  <si>
    <t>平成11年度</t>
  </si>
  <si>
    <t>全被保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</si>
  <si>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</si>
  <si>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</si>
  <si>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</si>
  <si>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</si>
  <si>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</si>
  <si>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</si>
  <si>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　４～８</t>
  </si>
  <si>
    <t>１２月</t>
  </si>
  <si>
    <t>５カ月伸び</t>
  </si>
  <si>
    <t xml:space="preserve"> 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</si>
  <si>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</si>
  <si>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</si>
  <si>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</si>
  <si>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</si>
  <si>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</si>
  <si>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</si>
  <si>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１月</t>
  </si>
  <si>
    <t>年間／５月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</si>
  <si>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</si>
  <si>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</si>
  <si>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</si>
  <si>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</si>
  <si>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</si>
  <si>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</si>
  <si>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年度伸び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</si>
  <si>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</si>
  <si>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</si>
  <si>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</si>
  <si>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</si>
  <si>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</si>
  <si>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</si>
  <si>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</si>
  <si>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</si>
  <si>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</si>
  <si>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</si>
  <si>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</si>
  <si>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</si>
  <si>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</si>
  <si>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</si>
  <si>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</si>
  <si>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</si>
  <si>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</si>
  <si>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</si>
  <si>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</si>
  <si>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</si>
  <si>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</si>
  <si>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</si>
  <si>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</si>
  <si>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</si>
  <si>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</si>
  <si>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</si>
  <si>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</si>
  <si>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</si>
  <si>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平成６年</t>
  </si>
  <si>
    <t>平成７年</t>
  </si>
  <si>
    <t>平成８年</t>
  </si>
  <si>
    <t>平成９年</t>
  </si>
  <si>
    <t>平成10年</t>
  </si>
  <si>
    <t>平成11年度</t>
  </si>
  <si>
    <t>平成12年度</t>
  </si>
  <si>
    <t>平均</t>
  </si>
  <si>
    <t>前年３月分</t>
  </si>
  <si>
    <t>H11,1</t>
  </si>
  <si>
    <t>　</t>
  </si>
  <si>
    <t>３～８月</t>
  </si>
  <si>
    <t>∫</t>
  </si>
  <si>
    <t>合計</t>
  </si>
  <si>
    <t>４～８月</t>
  </si>
  <si>
    <t>H11,12</t>
  </si>
  <si>
    <t>　</t>
  </si>
  <si>
    <t>年間</t>
  </si>
  <si>
    <t>平均</t>
  </si>
  <si>
    <t>　４／２</t>
  </si>
  <si>
    <t>　４／３</t>
  </si>
  <si>
    <t>前年比</t>
  </si>
  <si>
    <t xml:space="preserve"> </t>
  </si>
  <si>
    <t>厚生省</t>
  </si>
  <si>
    <t>国保加入者の割合（年平均）</t>
  </si>
  <si>
    <t>青</t>
  </si>
  <si>
    <t>い</t>
  </si>
  <si>
    <t>平成15年度</t>
  </si>
  <si>
    <t>被保険者等一般状況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</si>
  <si>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</si>
  <si>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</si>
  <si>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</si>
  <si>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</si>
  <si>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</si>
  <si>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</si>
  <si>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</si>
  <si>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</si>
  <si>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数</t>
  </si>
  <si>
    <t>月末</t>
  </si>
  <si>
    <t>世    帯    数</t>
  </si>
  <si>
    <t>被    保    険    者    数</t>
  </si>
  <si>
    <t>２　号　被　保　数</t>
  </si>
  <si>
    <t>全市世帯数</t>
  </si>
  <si>
    <t>全市人口</t>
  </si>
  <si>
    <t>世帯加入率</t>
  </si>
  <si>
    <t>被保加入率</t>
  </si>
  <si>
    <t>退職割合</t>
  </si>
  <si>
    <t>平成５年度</t>
  </si>
  <si>
    <t>字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</si>
  <si>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</si>
  <si>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</si>
  <si>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</si>
  <si>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</si>
  <si>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</si>
  <si>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</si>
  <si>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</si>
  <si>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</si>
  <si>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</si>
  <si>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</si>
  <si>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</si>
  <si>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</si>
  <si>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被保険者数</t>
  </si>
  <si>
    <t>一般</t>
  </si>
  <si>
    <t>退職</t>
  </si>
  <si>
    <t>Ｈ</t>
  </si>
  <si>
    <t>Ｉ</t>
  </si>
  <si>
    <t>世帯数／Ｈ</t>
  </si>
  <si>
    <t>被保険者数／Ｉ</t>
  </si>
  <si>
    <t>退職／被保数</t>
  </si>
  <si>
    <t>平成６年度</t>
  </si>
  <si>
    <t>だ</t>
  </si>
  <si>
    <t>Ａ+Ｂ+Ｃ</t>
  </si>
  <si>
    <t>Ａ＋Ｂ</t>
  </si>
  <si>
    <t>Ａ</t>
  </si>
  <si>
    <t>Ｂ</t>
  </si>
  <si>
    <t>Ｃ</t>
  </si>
  <si>
    <t>Ａ+Ｂ+Ｃ+Ｄ</t>
  </si>
  <si>
    <t>Ａ＋Ｂ</t>
  </si>
  <si>
    <t>Ａ</t>
  </si>
  <si>
    <t>Ｂ</t>
  </si>
  <si>
    <t>Ｃ＋Ｄ</t>
  </si>
  <si>
    <t>Ｃ</t>
  </si>
  <si>
    <t>Ｄ</t>
  </si>
  <si>
    <t>Ａ＋Ｂ</t>
  </si>
  <si>
    <t>Ａ</t>
  </si>
  <si>
    <t>Ｂ</t>
  </si>
  <si>
    <t>平成７年度</t>
  </si>
  <si>
    <t>け</t>
  </si>
  <si>
    <t>４月</t>
  </si>
  <si>
    <t>平成８年度</t>
  </si>
  <si>
    <t>入</t>
  </si>
  <si>
    <t>５月</t>
  </si>
  <si>
    <t>平成９年度</t>
  </si>
  <si>
    <t>力</t>
  </si>
  <si>
    <t>６月</t>
  </si>
  <si>
    <t>平成10年度</t>
  </si>
  <si>
    <t>す</t>
  </si>
  <si>
    <t>７月</t>
  </si>
  <si>
    <t>平成11年度</t>
  </si>
  <si>
    <t>る</t>
  </si>
  <si>
    <t>８月</t>
  </si>
  <si>
    <t>※平成11年度は10月末までの7カ月平均｡</t>
  </si>
  <si>
    <t xml:space="preserve"> </t>
  </si>
  <si>
    <t>９月</t>
  </si>
  <si>
    <t>5～10の伸び</t>
  </si>
  <si>
    <t xml:space="preserve"> </t>
  </si>
  <si>
    <t>１０月</t>
  </si>
  <si>
    <t xml:space="preserve"> </t>
  </si>
  <si>
    <t>１１月</t>
  </si>
  <si>
    <t>国保加入者の割合（3.31）</t>
  </si>
  <si>
    <t xml:space="preserve"> </t>
  </si>
  <si>
    <t>１２月</t>
  </si>
  <si>
    <t>１月</t>
  </si>
  <si>
    <t>被保数①</t>
  </si>
  <si>
    <t>世帯数②</t>
  </si>
  <si>
    <t>全市人口③</t>
  </si>
  <si>
    <t>全市世帯数④</t>
  </si>
  <si>
    <t>①／③</t>
  </si>
  <si>
    <t>②／④</t>
  </si>
  <si>
    <t>被保加入率伸</t>
  </si>
  <si>
    <t>世帯加入率伸</t>
  </si>
  <si>
    <t>２月</t>
  </si>
  <si>
    <t>平成５年度</t>
  </si>
  <si>
    <t>３月</t>
  </si>
  <si>
    <t>平成６年度</t>
  </si>
  <si>
    <t>合計</t>
  </si>
  <si>
    <t>平成７年度</t>
  </si>
  <si>
    <t>平均</t>
  </si>
  <si>
    <t>平成８年度</t>
  </si>
  <si>
    <t>平成９年度</t>
  </si>
  <si>
    <t>4月</t>
  </si>
  <si>
    <t>平成10年度</t>
  </si>
  <si>
    <t>4月～5月</t>
  </si>
  <si>
    <t>平成11年度</t>
  </si>
  <si>
    <t>4月～6月</t>
  </si>
  <si>
    <t>※平成11年度は10月末の数字｡</t>
  </si>
  <si>
    <t>4月～7月</t>
  </si>
  <si>
    <t>5～10の伸び</t>
  </si>
  <si>
    <t>4月～8月</t>
  </si>
  <si>
    <t>4月～9月</t>
  </si>
  <si>
    <t>4月～10月</t>
  </si>
  <si>
    <t>4月～11月</t>
  </si>
  <si>
    <t>4月～12月</t>
  </si>
  <si>
    <t>4月～1月</t>
  </si>
  <si>
    <t>4月～2月</t>
  </si>
  <si>
    <t>4月～3月</t>
  </si>
  <si>
    <t>3月～2月</t>
  </si>
  <si>
    <t>1月～12月</t>
  </si>
  <si>
    <t>平均</t>
  </si>
  <si>
    <t>老人３月～２月</t>
  </si>
  <si>
    <t>介護2号該当被保険者　見込</t>
  </si>
  <si>
    <t>平成10年</t>
  </si>
  <si>
    <t>平成11年</t>
  </si>
  <si>
    <t>平成12年</t>
  </si>
  <si>
    <t>平成13年</t>
  </si>
  <si>
    <t>平成8年度</t>
  </si>
  <si>
    <t>平成9年度</t>
  </si>
  <si>
    <t>平成10年度</t>
  </si>
  <si>
    <t>平成11年度</t>
  </si>
  <si>
    <t>平成12年度</t>
  </si>
  <si>
    <t>9月末</t>
  </si>
  <si>
    <t>半期伸</t>
  </si>
  <si>
    <t>　３～８</t>
  </si>
  <si>
    <t>半年伸び</t>
  </si>
  <si>
    <t>3月/9月</t>
  </si>
  <si>
    <t xml:space="preserve"> </t>
  </si>
  <si>
    <t xml:space="preserve"> </t>
  </si>
  <si>
    <t>世帯被保 WK4</t>
  </si>
  <si>
    <t>年間</t>
  </si>
  <si>
    <t>世帯数</t>
  </si>
  <si>
    <t>被</t>
  </si>
  <si>
    <t>保</t>
  </si>
  <si>
    <t>険</t>
  </si>
  <si>
    <t>者</t>
  </si>
  <si>
    <t>数</t>
  </si>
  <si>
    <t>全市世帯数</t>
  </si>
  <si>
    <t>全市人口</t>
  </si>
  <si>
    <t>世帯加入率</t>
  </si>
  <si>
    <t>被保加入率</t>
  </si>
  <si>
    <t>退職割合</t>
  </si>
  <si>
    <t>年間／半年</t>
  </si>
  <si>
    <t>3月末</t>
  </si>
  <si>
    <t>①</t>
  </si>
  <si>
    <t>全体　②</t>
  </si>
  <si>
    <t>若人</t>
  </si>
  <si>
    <t>老人</t>
  </si>
  <si>
    <t xml:space="preserve">       退  職 　　③</t>
  </si>
  <si>
    <t>④</t>
  </si>
  <si>
    <t>⑤</t>
  </si>
  <si>
    <t>①／④</t>
  </si>
  <si>
    <t>②／⑤</t>
  </si>
  <si>
    <t>③／②</t>
  </si>
  <si>
    <t>年度伸び</t>
  </si>
  <si>
    <t xml:space="preserve"> </t>
  </si>
  <si>
    <t>年度伸のみ</t>
  </si>
  <si>
    <t xml:space="preserve">  </t>
  </si>
  <si>
    <t>４月</t>
  </si>
  <si>
    <t>見込</t>
  </si>
  <si>
    <t>見込</t>
  </si>
  <si>
    <t xml:space="preserve"> </t>
  </si>
  <si>
    <t>５月</t>
  </si>
  <si>
    <t>以下ちょっとわからない全市世帯数・全市人口</t>
  </si>
  <si>
    <t>平成8年度</t>
  </si>
  <si>
    <t>平成9年度</t>
  </si>
  <si>
    <t>平成10年度</t>
  </si>
  <si>
    <t>平成11年度</t>
  </si>
  <si>
    <t>平成12年度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</si>
  <si>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</si>
  <si>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</si>
  <si>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</si>
  <si>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</si>
  <si>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</si>
  <si>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</si>
  <si>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人口</t>
  </si>
  <si>
    <t>平成６年</t>
  </si>
  <si>
    <t>平成７年</t>
  </si>
  <si>
    <t>平成８年</t>
  </si>
  <si>
    <t>平成９年</t>
  </si>
  <si>
    <t>平成10年</t>
  </si>
  <si>
    <t>平成11年度</t>
  </si>
  <si>
    <t>9月末</t>
  </si>
  <si>
    <t>６月</t>
  </si>
  <si>
    <t xml:space="preserve"> </t>
  </si>
  <si>
    <t xml:space="preserve"> </t>
  </si>
  <si>
    <t xml:space="preserve"> </t>
  </si>
  <si>
    <t xml:space="preserve"> </t>
  </si>
  <si>
    <t>　４～８</t>
  </si>
  <si>
    <t>７月</t>
  </si>
  <si>
    <t>５カ月伸び</t>
  </si>
  <si>
    <t>3月末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</si>
  <si>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</si>
  <si>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</si>
  <si>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</si>
  <si>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</si>
  <si>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</si>
  <si>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</si>
  <si>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８月</t>
  </si>
  <si>
    <t>年間／５月</t>
  </si>
  <si>
    <t>H8,9</t>
  </si>
  <si>
    <t>H9,3</t>
  </si>
  <si>
    <t>H9,9</t>
  </si>
  <si>
    <t>H10,3</t>
  </si>
  <si>
    <t>H10,9</t>
  </si>
  <si>
    <t>H11,3</t>
  </si>
  <si>
    <t>H11,9</t>
  </si>
  <si>
    <t xml:space="preserve"> </t>
  </si>
  <si>
    <t xml:space="preserve"> </t>
  </si>
  <si>
    <t xml:space="preserve"> </t>
  </si>
  <si>
    <t xml:space="preserve"> </t>
  </si>
  <si>
    <t>年度伸び</t>
  </si>
  <si>
    <t>2号</t>
  </si>
  <si>
    <t>９月</t>
  </si>
  <si>
    <t xml:space="preserve"> </t>
  </si>
  <si>
    <t xml:space="preserve"> </t>
  </si>
  <si>
    <t xml:space="preserve"> </t>
  </si>
  <si>
    <t xml:space="preserve"> </t>
  </si>
  <si>
    <t xml:space="preserve"> </t>
  </si>
  <si>
    <t>若人</t>
  </si>
  <si>
    <t>１０月</t>
  </si>
  <si>
    <t xml:space="preserve"> </t>
  </si>
  <si>
    <t xml:space="preserve"> </t>
  </si>
  <si>
    <t xml:space="preserve"> </t>
  </si>
  <si>
    <t xml:space="preserve"> </t>
  </si>
  <si>
    <t>世帯数</t>
  </si>
  <si>
    <t>平成６年</t>
  </si>
  <si>
    <t>平成７年</t>
  </si>
  <si>
    <t>平成８年</t>
  </si>
  <si>
    <t>平成９年</t>
  </si>
  <si>
    <t>平成10年</t>
  </si>
  <si>
    <t>平成11年度</t>
  </si>
  <si>
    <t>全被保</t>
  </si>
  <si>
    <t>１１月</t>
  </si>
  <si>
    <t xml:space="preserve"> </t>
  </si>
  <si>
    <t xml:space="preserve"> </t>
  </si>
  <si>
    <t xml:space="preserve"> </t>
  </si>
  <si>
    <t xml:space="preserve"> </t>
  </si>
  <si>
    <t xml:space="preserve"> </t>
  </si>
  <si>
    <t>　４～８</t>
  </si>
  <si>
    <t>１２月</t>
  </si>
  <si>
    <t>５カ月伸び</t>
  </si>
  <si>
    <t xml:space="preserve"> </t>
  </si>
  <si>
    <t xml:space="preserve"> </t>
  </si>
  <si>
    <t xml:space="preserve"> </t>
  </si>
  <si>
    <t xml:space="preserve"> </t>
  </si>
  <si>
    <t xml:space="preserve"> </t>
  </si>
  <si>
    <t>年間</t>
  </si>
  <si>
    <t xml:space="preserve"> </t>
  </si>
  <si>
    <t>１月</t>
  </si>
  <si>
    <t>年間／５月</t>
  </si>
  <si>
    <t xml:space="preserve"> </t>
  </si>
  <si>
    <t xml:space="preserve"> </t>
  </si>
  <si>
    <t xml:space="preserve"> </t>
  </si>
  <si>
    <t xml:space="preserve"> </t>
  </si>
  <si>
    <t xml:space="preserve"> </t>
  </si>
  <si>
    <t xml:space="preserve"> </t>
  </si>
  <si>
    <t>年度伸び</t>
  </si>
  <si>
    <t>２月</t>
  </si>
  <si>
    <t xml:space="preserve"> </t>
  </si>
  <si>
    <t xml:space="preserve"> </t>
  </si>
  <si>
    <t xml:space="preserve"> </t>
  </si>
  <si>
    <t xml:space="preserve"> </t>
  </si>
  <si>
    <t>３月</t>
  </si>
  <si>
    <t>　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</si>
  <si>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</si>
  <si>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</si>
  <si>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</si>
  <si>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</si>
  <si>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</si>
  <si>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</si>
  <si>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</si>
  <si>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</si>
  <si>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</si>
  <si>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</si>
  <si>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合計</t>
  </si>
  <si>
    <t>　</t>
  </si>
  <si>
    <t>　</t>
  </si>
  <si>
    <t>　</t>
  </si>
  <si>
    <t>　</t>
  </si>
  <si>
    <t>　</t>
  </si>
  <si>
    <t>　</t>
  </si>
  <si>
    <t>　</t>
  </si>
  <si>
    <t xml:space="preserve"> </t>
  </si>
  <si>
    <t xml:space="preserve"> </t>
  </si>
  <si>
    <t xml:space="preserve"> </t>
  </si>
  <si>
    <t>平成６年</t>
  </si>
  <si>
    <t>平成７年</t>
  </si>
  <si>
    <t>平成８年</t>
  </si>
  <si>
    <t>平成９年</t>
  </si>
  <si>
    <t>平成10年</t>
  </si>
  <si>
    <t>平成11年度</t>
  </si>
  <si>
    <t>平成12年度</t>
  </si>
  <si>
    <t>平均</t>
  </si>
  <si>
    <t>前年３月分</t>
  </si>
  <si>
    <t>H11,1</t>
  </si>
  <si>
    <t>　</t>
  </si>
  <si>
    <t>３～８月</t>
  </si>
  <si>
    <t>∫</t>
  </si>
  <si>
    <t>合計</t>
  </si>
  <si>
    <t>４～８月</t>
  </si>
  <si>
    <t>H11,12</t>
  </si>
  <si>
    <t>　</t>
  </si>
  <si>
    <t>年間</t>
  </si>
  <si>
    <t>平均</t>
  </si>
  <si>
    <t>　４／２</t>
  </si>
  <si>
    <t>　４／３</t>
  </si>
  <si>
    <t>前年比</t>
  </si>
  <si>
    <t xml:space="preserve"> </t>
  </si>
  <si>
    <t>厚生省</t>
  </si>
  <si>
    <t>介護2号該当被保険者数見込</t>
  </si>
  <si>
    <t>全被保</t>
  </si>
  <si>
    <t>若人</t>
  </si>
  <si>
    <t>全被保伸率</t>
  </si>
  <si>
    <t>若人伸率</t>
  </si>
  <si>
    <t>厚生省</t>
  </si>
  <si>
    <t>2号一般</t>
  </si>
  <si>
    <t>2号退職</t>
  </si>
  <si>
    <t>退職割合</t>
  </si>
  <si>
    <t>2号</t>
  </si>
  <si>
    <t>2号</t>
  </si>
  <si>
    <t>2号</t>
  </si>
  <si>
    <t>平成8年度</t>
  </si>
  <si>
    <t>9月末</t>
  </si>
  <si>
    <t>40～64歳</t>
  </si>
  <si>
    <t>39～63歳</t>
  </si>
  <si>
    <t>3月末</t>
  </si>
  <si>
    <t>平成8年度</t>
  </si>
  <si>
    <t>9月末</t>
  </si>
  <si>
    <t>平均</t>
  </si>
  <si>
    <t>3月末</t>
  </si>
  <si>
    <t>平成9年度</t>
  </si>
  <si>
    <t>9月末</t>
  </si>
  <si>
    <t>平成9年度</t>
  </si>
  <si>
    <t>9月末</t>
  </si>
  <si>
    <t>3月末</t>
  </si>
  <si>
    <t>3月末</t>
  </si>
  <si>
    <t>平均</t>
  </si>
  <si>
    <t>平成10年度</t>
  </si>
  <si>
    <t>9月末</t>
  </si>
  <si>
    <t>平成10年度</t>
  </si>
  <si>
    <t>9月末</t>
  </si>
  <si>
    <t>3月末</t>
  </si>
  <si>
    <t>3月末</t>
  </si>
  <si>
    <t>平均</t>
  </si>
  <si>
    <t>平成11年度</t>
  </si>
  <si>
    <t>9月末</t>
  </si>
  <si>
    <t>3月末</t>
  </si>
  <si>
    <t>平成11年度</t>
  </si>
  <si>
    <t>9月末</t>
  </si>
  <si>
    <t>3月末</t>
  </si>
  <si>
    <t>平成12年度</t>
  </si>
  <si>
    <t>9月末</t>
  </si>
  <si>
    <t>平均</t>
  </si>
  <si>
    <t>3月末</t>
  </si>
  <si>
    <t>平成12年度</t>
  </si>
  <si>
    <t>9月末</t>
  </si>
  <si>
    <t>3月末</t>
  </si>
  <si>
    <t>平均</t>
  </si>
  <si>
    <t>平成13年度</t>
  </si>
  <si>
    <t>9月末</t>
  </si>
  <si>
    <t>3月末</t>
  </si>
  <si>
    <t>平均</t>
  </si>
  <si>
    <t>平成14年度</t>
  </si>
  <si>
    <t>9月末</t>
  </si>
  <si>
    <t>3月末</t>
  </si>
  <si>
    <t>平均</t>
  </si>
  <si>
    <t>計</t>
  </si>
  <si>
    <t>2号該当被保見込数</t>
  </si>
  <si>
    <t>平成11年度当時の旧厚生省見込</t>
  </si>
  <si>
    <t>一人当り負担見込額</t>
  </si>
  <si>
    <t>37,960円／12月×１／2=1,565円</t>
  </si>
  <si>
    <t>介護納付金見込額</t>
  </si>
  <si>
    <t>○財源内訳</t>
  </si>
  <si>
    <t>保険料</t>
  </si>
  <si>
    <t>軽減分（基盤安定）</t>
  </si>
  <si>
    <t>療給負担金</t>
  </si>
  <si>
    <t>※退職は基盤安</t>
  </si>
  <si>
    <t>調整交付金</t>
  </si>
  <si>
    <t>定繰り入れなし。</t>
  </si>
  <si>
    <t>その他繰越金</t>
  </si>
  <si>
    <t>療養給付費交付金</t>
  </si>
  <si>
    <t>保険料</t>
  </si>
  <si>
    <t>軽減分（繰越金）</t>
  </si>
  <si>
    <t>療給負担金</t>
  </si>
  <si>
    <t>調整交付金</t>
  </si>
  <si>
    <t>世    帯    数</t>
  </si>
  <si>
    <t>被    保    険    者    数</t>
  </si>
  <si>
    <t>全市世帯数</t>
  </si>
  <si>
    <t>全市人口</t>
  </si>
  <si>
    <t>世帯加入率</t>
  </si>
  <si>
    <t>被保加入率</t>
  </si>
  <si>
    <t>退職割合</t>
  </si>
  <si>
    <t>世帯数</t>
  </si>
  <si>
    <t>一般世帯</t>
  </si>
  <si>
    <t>一般世帯</t>
  </si>
  <si>
    <t>混合世帯</t>
  </si>
  <si>
    <t>退職単独</t>
  </si>
  <si>
    <t>被保険者数</t>
  </si>
  <si>
    <t>一般</t>
  </si>
  <si>
    <t>若人</t>
  </si>
  <si>
    <t>老人</t>
  </si>
  <si>
    <t>退職</t>
  </si>
  <si>
    <t>退職本人</t>
  </si>
  <si>
    <t>退職扶養</t>
  </si>
  <si>
    <t>Ｈ</t>
  </si>
  <si>
    <t>Ｉ</t>
  </si>
  <si>
    <t>世帯数／Ｈ</t>
  </si>
  <si>
    <t>被保険者数／Ｉ</t>
  </si>
  <si>
    <t>退職／被保数</t>
  </si>
  <si>
    <t>Ａ＋Ｂ＋Ｃ</t>
  </si>
  <si>
    <t>Ａ＋Ｂ</t>
  </si>
  <si>
    <t>Ａ</t>
  </si>
  <si>
    <t>Ｂ</t>
  </si>
  <si>
    <t>Ｃ</t>
  </si>
  <si>
    <t>Ａ＋Ｂ＋Ｃ＋Ｄ</t>
  </si>
  <si>
    <t>Ａ＋Ｂ</t>
  </si>
  <si>
    <t>Ａ</t>
  </si>
  <si>
    <t>Ｂ</t>
  </si>
  <si>
    <t>Ｃ＋Ｄ</t>
  </si>
  <si>
    <t>Ｃ</t>
  </si>
  <si>
    <t>Ｄ</t>
  </si>
  <si>
    <t>H4,4</t>
  </si>
  <si>
    <t>H5,4</t>
  </si>
  <si>
    <t>H6,4</t>
  </si>
  <si>
    <t>H7,4</t>
  </si>
  <si>
    <t>H8,4</t>
  </si>
  <si>
    <t>H9,4</t>
  </si>
  <si>
    <t>H10,4</t>
  </si>
  <si>
    <t>H11,4</t>
  </si>
  <si>
    <t>6月</t>
  </si>
  <si>
    <t>H4,9まで</t>
  </si>
  <si>
    <t>H5,4</t>
  </si>
  <si>
    <t>H6,4</t>
  </si>
  <si>
    <t>H7,4</t>
  </si>
  <si>
    <t>H8,4</t>
  </si>
  <si>
    <t>H9,4</t>
  </si>
  <si>
    <t>H10,4</t>
  </si>
  <si>
    <t>H11,4</t>
  </si>
  <si>
    <t>12月</t>
  </si>
  <si>
    <t>H5,3まで</t>
  </si>
  <si>
    <t>H5,4</t>
  </si>
  <si>
    <t>H6,4</t>
  </si>
  <si>
    <t>H7,4</t>
  </si>
  <si>
    <t>H8,4</t>
  </si>
  <si>
    <t>H9,4</t>
  </si>
  <si>
    <t>H10,4</t>
  </si>
  <si>
    <t>H11,4</t>
  </si>
  <si>
    <t>24月</t>
  </si>
  <si>
    <t>H6,3まで</t>
  </si>
  <si>
    <t>H6,4</t>
  </si>
  <si>
    <t>H7,4</t>
  </si>
  <si>
    <t>H7,4</t>
  </si>
  <si>
    <t>H9,4</t>
  </si>
  <si>
    <t>H10,4</t>
  </si>
  <si>
    <t>H11,4</t>
  </si>
  <si>
    <t>36月</t>
  </si>
  <si>
    <t>H7,3まで</t>
  </si>
  <si>
    <t>H7,4</t>
  </si>
  <si>
    <t>H8,4</t>
  </si>
  <si>
    <t>H9,4</t>
  </si>
  <si>
    <t>H10,4</t>
  </si>
  <si>
    <t>H11,4</t>
  </si>
  <si>
    <t>Ｈ15年１月～３月　</t>
    <phoneticPr fontId="22"/>
  </si>
  <si>
    <t>平成16年度</t>
    <phoneticPr fontId="22"/>
  </si>
  <si>
    <t>Ｈ16年１月～３月　</t>
    <phoneticPr fontId="22"/>
  </si>
  <si>
    <t>Ｈ17年１月～３月　</t>
    <phoneticPr fontId="22"/>
  </si>
  <si>
    <t>平成17年度</t>
    <phoneticPr fontId="22"/>
  </si>
  <si>
    <t xml:space="preserve"> </t>
    <phoneticPr fontId="22"/>
  </si>
  <si>
    <t>平成19年度</t>
    <phoneticPr fontId="22"/>
  </si>
  <si>
    <t>Ｈ19年１月～３月　</t>
    <phoneticPr fontId="22"/>
  </si>
  <si>
    <t>老人</t>
    <phoneticPr fontId="22"/>
  </si>
  <si>
    <t>老人(前期高齢）</t>
    <rPh sb="3" eb="5">
      <t>ゼンキ</t>
    </rPh>
    <rPh sb="5" eb="7">
      <t>コウレイ</t>
    </rPh>
    <phoneticPr fontId="22"/>
  </si>
  <si>
    <t>Ｈ22年１月～３月　</t>
    <phoneticPr fontId="22"/>
  </si>
  <si>
    <t>平成22年度</t>
    <phoneticPr fontId="22"/>
  </si>
  <si>
    <t xml:space="preserve"> </t>
    <phoneticPr fontId="22"/>
  </si>
  <si>
    <t>Ｈ21年１月～３月　</t>
    <phoneticPr fontId="22"/>
  </si>
  <si>
    <t>平成21年度</t>
    <phoneticPr fontId="22"/>
  </si>
  <si>
    <t>Ｈ20年１月～３月　</t>
    <phoneticPr fontId="22"/>
  </si>
  <si>
    <t>平成20年度</t>
    <phoneticPr fontId="22"/>
  </si>
  <si>
    <t>Ｈ18年１月～３月　</t>
    <phoneticPr fontId="22"/>
  </si>
  <si>
    <t>平成18年度</t>
    <phoneticPr fontId="22"/>
  </si>
  <si>
    <t xml:space="preserve"> </t>
    <phoneticPr fontId="22"/>
  </si>
  <si>
    <t>Ｈ23年１月～３月　</t>
    <phoneticPr fontId="22"/>
  </si>
  <si>
    <t>平成23年度</t>
    <phoneticPr fontId="22"/>
  </si>
  <si>
    <t>平成22年度</t>
  </si>
  <si>
    <t>Ｈ24年１月～３月　</t>
    <phoneticPr fontId="22"/>
  </si>
  <si>
    <t>被保険者等一般状況</t>
    <phoneticPr fontId="22"/>
  </si>
  <si>
    <t>平成24年度</t>
    <phoneticPr fontId="22"/>
  </si>
  <si>
    <t>Ｈ25年１月～３月　</t>
    <phoneticPr fontId="22"/>
  </si>
  <si>
    <t>←前年度3月のみ値で貼り付け</t>
    <rPh sb="1" eb="4">
      <t>ゼンネンド</t>
    </rPh>
    <rPh sb="5" eb="6">
      <t>ガツ</t>
    </rPh>
    <rPh sb="8" eb="9">
      <t>アタイ</t>
    </rPh>
    <rPh sb="10" eb="11">
      <t>ハ</t>
    </rPh>
    <rPh sb="12" eb="13">
      <t>ツ</t>
    </rPh>
    <phoneticPr fontId="22"/>
  </si>
  <si>
    <t>平成25年度</t>
    <phoneticPr fontId="22"/>
  </si>
  <si>
    <t>一般～64歳</t>
    <rPh sb="0" eb="2">
      <t>イッパン</t>
    </rPh>
    <rPh sb="5" eb="6">
      <t>サイ</t>
    </rPh>
    <phoneticPr fontId="22"/>
  </si>
  <si>
    <t>一般うち
前期高齢</t>
    <rPh sb="0" eb="2">
      <t>イッパン</t>
    </rPh>
    <rPh sb="5" eb="7">
      <t>ゼンキ</t>
    </rPh>
    <rPh sb="7" eb="9">
      <t>コウレイ</t>
    </rPh>
    <phoneticPr fontId="22"/>
  </si>
  <si>
    <t>Ｈ20年１月～３月　</t>
    <phoneticPr fontId="22"/>
  </si>
  <si>
    <t>平成20年度</t>
    <phoneticPr fontId="22"/>
  </si>
  <si>
    <t>被保険者等一般状況</t>
    <phoneticPr fontId="22"/>
  </si>
  <si>
    <t>平成26年度</t>
    <phoneticPr fontId="22"/>
  </si>
  <si>
    <t>Ｈ26年１月～３月　</t>
    <phoneticPr fontId="22"/>
  </si>
  <si>
    <t>Ｈ27年１月～３月　</t>
  </si>
  <si>
    <t>平成27年度</t>
  </si>
  <si>
    <t>Ｈ28年１月～３月　</t>
    <phoneticPr fontId="22"/>
  </si>
  <si>
    <t>平成28年度</t>
    <phoneticPr fontId="22"/>
  </si>
  <si>
    <t>Ｈ29年１月～３月　</t>
    <phoneticPr fontId="22"/>
  </si>
  <si>
    <t>平成29年度</t>
    <phoneticPr fontId="22"/>
  </si>
  <si>
    <t>Ｈ30年１月～３月　</t>
    <phoneticPr fontId="22"/>
  </si>
  <si>
    <t>平成30年度</t>
    <phoneticPr fontId="22"/>
  </si>
  <si>
    <t>Ｈ31年１月～３月　</t>
    <phoneticPr fontId="22"/>
  </si>
  <si>
    <t>平成31年度</t>
    <phoneticPr fontId="22"/>
  </si>
  <si>
    <t>Ｒ２年１月～３月　</t>
    <phoneticPr fontId="22"/>
  </si>
  <si>
    <t>令和2年度</t>
    <rPh sb="3" eb="5">
      <t>ネンド</t>
    </rPh>
    <phoneticPr fontId="22"/>
  </si>
  <si>
    <t>令和3年度</t>
    <rPh sb="3" eb="5">
      <t>ネンド</t>
    </rPh>
    <phoneticPr fontId="22"/>
  </si>
  <si>
    <t>Ｒ３年１月～３月　</t>
    <phoneticPr fontId="22"/>
  </si>
  <si>
    <t>令和４年度</t>
    <rPh sb="3" eb="5">
      <t>ネンド</t>
    </rPh>
    <phoneticPr fontId="22"/>
  </si>
  <si>
    <t>Ｒ４年１月～３月　</t>
    <phoneticPr fontId="22"/>
  </si>
  <si>
    <t>Ｒ５年１月～３月　</t>
    <phoneticPr fontId="22"/>
  </si>
  <si>
    <t>令和５年度</t>
    <rPh sb="3" eb="5">
      <t>ネンド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</si>
</sst>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"/>
    <numFmt numFmtId="177" formatCode="0.0%"/>
  </numFmts>
  <fonts count="45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b/>
      <i/>
      <u/>
      <sz val="12"/>
      <color indexed="14"/>
      <name val="ＭＳ 明朝"/>
      <family val="1"/>
      <charset val="128"/>
    </font>
    <font>
      <sz val="12"/>
      <color indexed="2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62"/>
      <name val="ＭＳ 明朝"/>
      <family val="1"/>
      <charset val="128"/>
    </font>
    <font>
      <sz val="9"/>
      <color indexed="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2"/>
      <name val="ＭＳ 明朝"/>
      <family val="1"/>
      <charset val="128"/>
    </font>
    <font>
      <b/>
      <sz val="12"/>
      <color indexed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2"/>
      <color rgb="FF0000FF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dotted">
        <color indexed="8"/>
      </right>
      <top style="hair">
        <color indexed="8"/>
      </top>
      <bottom/>
      <diagonal/>
    </border>
    <border>
      <left style="dotted">
        <color indexed="8"/>
      </left>
      <right style="hair">
        <color indexed="8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dotted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tted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tted">
        <color indexed="8"/>
      </right>
      <top style="double">
        <color indexed="8"/>
      </top>
      <bottom/>
      <diagonal/>
    </border>
    <border>
      <left style="dotted">
        <color indexed="8"/>
      </left>
      <right style="dotted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tted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 style="dotted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64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0" fontId="2" fillId="0" borderId="11" xfId="0" applyNumberFormat="1" applyFont="1" applyBorder="1"/>
    <xf numFmtId="10" fontId="2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Continuous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10" fontId="2" fillId="0" borderId="21" xfId="0" applyNumberFormat="1" applyFont="1" applyBorder="1"/>
    <xf numFmtId="10" fontId="2" fillId="0" borderId="23" xfId="0" applyNumberFormat="1" applyFont="1" applyBorder="1"/>
    <xf numFmtId="10" fontId="2" fillId="0" borderId="0" xfId="0" applyNumberFormat="1" applyFont="1"/>
    <xf numFmtId="0" fontId="4" fillId="0" borderId="6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9" xfId="0" applyFont="1" applyBorder="1" applyAlignment="1">
      <alignment horizontal="right"/>
    </xf>
    <xf numFmtId="3" fontId="3" fillId="0" borderId="20" xfId="0" applyNumberFormat="1" applyFont="1" applyBorder="1"/>
    <xf numFmtId="3" fontId="4" fillId="0" borderId="21" xfId="0" applyNumberFormat="1" applyFont="1" applyBorder="1"/>
    <xf numFmtId="3" fontId="3" fillId="0" borderId="21" xfId="0" applyNumberFormat="1" applyFont="1" applyBorder="1"/>
    <xf numFmtId="3" fontId="3" fillId="0" borderId="23" xfId="0" applyNumberFormat="1" applyFont="1" applyBorder="1"/>
    <xf numFmtId="3" fontId="4" fillId="0" borderId="20" xfId="0" applyNumberFormat="1" applyFont="1" applyBorder="1"/>
    <xf numFmtId="3" fontId="3" fillId="0" borderId="22" xfId="0" applyNumberFormat="1" applyFont="1" applyBorder="1"/>
    <xf numFmtId="10" fontId="4" fillId="0" borderId="21" xfId="0" applyNumberFormat="1" applyFont="1" applyBorder="1"/>
    <xf numFmtId="10" fontId="4" fillId="0" borderId="22" xfId="0" applyNumberFormat="1" applyFont="1" applyBorder="1"/>
    <xf numFmtId="10" fontId="4" fillId="0" borderId="23" xfId="0" applyNumberFormat="1" applyFont="1" applyBorder="1"/>
    <xf numFmtId="0" fontId="4" fillId="0" borderId="24" xfId="0" applyFont="1" applyBorder="1" applyAlignment="1">
      <alignment horizontal="right"/>
    </xf>
    <xf numFmtId="3" fontId="3" fillId="0" borderId="25" xfId="0" applyNumberFormat="1" applyFont="1" applyBorder="1"/>
    <xf numFmtId="3" fontId="4" fillId="0" borderId="26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/>
    <xf numFmtId="3" fontId="4" fillId="0" borderId="25" xfId="0" applyNumberFormat="1" applyFont="1" applyBorder="1"/>
    <xf numFmtId="3" fontId="3" fillId="0" borderId="28" xfId="0" applyNumberFormat="1" applyFont="1" applyBorder="1"/>
    <xf numFmtId="10" fontId="4" fillId="0" borderId="26" xfId="0" applyNumberFormat="1" applyFont="1" applyBorder="1"/>
    <xf numFmtId="10" fontId="4" fillId="0" borderId="28" xfId="0" applyNumberFormat="1" applyFont="1" applyBorder="1"/>
    <xf numFmtId="10" fontId="4" fillId="0" borderId="27" xfId="0" applyNumberFormat="1" applyFont="1" applyBorder="1"/>
    <xf numFmtId="0" fontId="2" fillId="0" borderId="14" xfId="0" applyFont="1" applyBorder="1" applyAlignment="1">
      <alignment horizontal="centerContinuous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0" fontId="2" fillId="0" borderId="16" xfId="0" applyNumberFormat="1" applyFont="1" applyBorder="1"/>
    <xf numFmtId="10" fontId="2" fillId="0" borderId="18" xfId="0" applyNumberFormat="1" applyFont="1" applyBorder="1"/>
    <xf numFmtId="0" fontId="2" fillId="0" borderId="1" xfId="0" applyFont="1" applyBorder="1" applyAlignment="1">
      <alignment horizontal="centerContinuous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0" fontId="2" fillId="0" borderId="3" xfId="0" applyNumberFormat="1" applyFont="1" applyBorder="1"/>
    <xf numFmtId="10" fontId="2" fillId="0" borderId="5" xfId="0" applyNumberFormat="1" applyFont="1" applyBorder="1"/>
    <xf numFmtId="0" fontId="3" fillId="0" borderId="0" xfId="0" applyFont="1"/>
    <xf numFmtId="10" fontId="2" fillId="0" borderId="1" xfId="0" applyNumberFormat="1" applyFont="1" applyBorder="1"/>
    <xf numFmtId="10" fontId="2" fillId="0" borderId="29" xfId="0" applyNumberFormat="1" applyFont="1" applyBorder="1"/>
    <xf numFmtId="10" fontId="2" fillId="0" borderId="2" xfId="0" applyNumberFormat="1" applyFont="1" applyBorder="1"/>
    <xf numFmtId="3" fontId="4" fillId="0" borderId="22" xfId="0" applyNumberFormat="1" applyFont="1" applyBorder="1"/>
    <xf numFmtId="3" fontId="4" fillId="0" borderId="23" xfId="0" applyNumberFormat="1" applyFont="1" applyBorder="1"/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/>
    <xf numFmtId="3" fontId="4" fillId="0" borderId="28" xfId="0" applyNumberFormat="1" applyFont="1" applyBorder="1"/>
    <xf numFmtId="3" fontId="4" fillId="0" borderId="27" xfId="0" applyNumberFormat="1" applyFont="1" applyBorder="1"/>
    <xf numFmtId="0" fontId="4" fillId="0" borderId="14" xfId="0" applyFont="1" applyBorder="1" applyAlignment="1">
      <alignment horizontal="right"/>
    </xf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10" fontId="4" fillId="0" borderId="16" xfId="0" applyNumberFormat="1" applyFont="1" applyBorder="1"/>
    <xf numFmtId="10" fontId="4" fillId="0" borderId="17" xfId="0" applyNumberFormat="1" applyFont="1" applyBorder="1"/>
    <xf numFmtId="10" fontId="4" fillId="0" borderId="18" xfId="0" applyNumberFormat="1" applyFont="1" applyBorder="1"/>
    <xf numFmtId="0" fontId="2" fillId="0" borderId="0" xfId="0" applyFont="1" applyAlignment="1">
      <alignment horizontal="center"/>
    </xf>
    <xf numFmtId="0" fontId="2" fillId="0" borderId="30" xfId="0" applyFont="1" applyBorder="1"/>
    <xf numFmtId="0" fontId="2" fillId="2" borderId="6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31" xfId="0" applyFont="1" applyFill="1" applyBorder="1"/>
    <xf numFmtId="10" fontId="2" fillId="2" borderId="12" xfId="0" applyNumberFormat="1" applyFont="1" applyFill="1" applyBorder="1"/>
    <xf numFmtId="10" fontId="2" fillId="2" borderId="13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32" xfId="0" applyFont="1" applyFill="1" applyBorder="1"/>
    <xf numFmtId="10" fontId="2" fillId="2" borderId="17" xfId="0" applyNumberFormat="1" applyFont="1" applyFill="1" applyBorder="1"/>
    <xf numFmtId="10" fontId="2" fillId="2" borderId="18" xfId="0" applyNumberFormat="1" applyFont="1" applyFill="1" applyBorder="1"/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3" borderId="0" xfId="0" applyFont="1" applyFill="1"/>
    <xf numFmtId="176" fontId="2" fillId="3" borderId="0" xfId="0" applyNumberFormat="1" applyFont="1" applyFill="1"/>
    <xf numFmtId="176" fontId="4" fillId="3" borderId="0" xfId="0" applyNumberFormat="1" applyFont="1" applyFill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4" fillId="0" borderId="33" xfId="0" applyFont="1" applyBorder="1" applyAlignment="1">
      <alignment horizontal="right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right"/>
    </xf>
    <xf numFmtId="0" fontId="4" fillId="0" borderId="25" xfId="0" applyFont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38" xfId="0" applyFont="1" applyFill="1" applyBorder="1" applyAlignment="1">
      <alignment horizontal="right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8" xfId="0" applyFont="1" applyFill="1" applyBorder="1"/>
    <xf numFmtId="0" fontId="4" fillId="4" borderId="40" xfId="0" applyFont="1" applyFill="1" applyBorder="1" applyAlignment="1">
      <alignment horizontal="right" vertical="center"/>
    </xf>
    <xf numFmtId="0" fontId="4" fillId="4" borderId="37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10" fontId="4" fillId="0" borderId="38" xfId="0" applyNumberFormat="1" applyFont="1" applyBorder="1" applyAlignment="1">
      <alignment horizontal="right" vertical="center"/>
    </xf>
    <xf numFmtId="10" fontId="4" fillId="0" borderId="45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4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10" fontId="4" fillId="0" borderId="26" xfId="0" applyNumberFormat="1" applyFont="1" applyBorder="1" applyAlignment="1">
      <alignment horizontal="right" vertical="center"/>
    </xf>
    <xf numFmtId="10" fontId="4" fillId="0" borderId="28" xfId="0" applyNumberFormat="1" applyFont="1" applyBorder="1" applyAlignment="1">
      <alignment horizontal="right" vertical="center"/>
    </xf>
    <xf numFmtId="10" fontId="4" fillId="0" borderId="27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10" fontId="4" fillId="0" borderId="42" xfId="0" applyNumberFormat="1" applyFont="1" applyBorder="1" applyAlignment="1">
      <alignment horizontal="right" vertical="center"/>
    </xf>
    <xf numFmtId="10" fontId="4" fillId="0" borderId="49" xfId="0" applyNumberFormat="1" applyFont="1" applyBorder="1" applyAlignment="1">
      <alignment horizontal="right" vertical="center"/>
    </xf>
    <xf numFmtId="3" fontId="8" fillId="0" borderId="0" xfId="0" applyNumberFormat="1" applyFont="1"/>
    <xf numFmtId="0" fontId="9" fillId="0" borderId="0" xfId="0" applyFont="1"/>
    <xf numFmtId="0" fontId="2" fillId="5" borderId="0" xfId="0" applyFont="1" applyFill="1"/>
    <xf numFmtId="0" fontId="10" fillId="0" borderId="0" xfId="0" applyFont="1"/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10" fontId="4" fillId="0" borderId="51" xfId="0" applyNumberFormat="1" applyFont="1" applyBorder="1" applyAlignment="1">
      <alignment horizontal="right" vertical="center"/>
    </xf>
    <xf numFmtId="10" fontId="4" fillId="0" borderId="52" xfId="0" applyNumberFormat="1" applyFont="1" applyBorder="1" applyAlignment="1">
      <alignment horizontal="right" vertical="center"/>
    </xf>
    <xf numFmtId="10" fontId="4" fillId="0" borderId="55" xfId="0" applyNumberFormat="1" applyFont="1" applyBorder="1" applyAlignment="1">
      <alignment horizontal="right" vertical="center"/>
    </xf>
    <xf numFmtId="0" fontId="11" fillId="4" borderId="49" xfId="0" applyFont="1" applyFill="1" applyBorder="1" applyAlignment="1">
      <alignment horizontal="right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10" fontId="2" fillId="0" borderId="34" xfId="0" applyNumberFormat="1" applyFont="1" applyBorder="1" applyAlignment="1">
      <alignment horizontal="right" vertical="center"/>
    </xf>
    <xf numFmtId="10" fontId="2" fillId="0" borderId="35" xfId="0" applyNumberFormat="1" applyFont="1" applyBorder="1" applyAlignment="1">
      <alignment horizontal="right" vertical="center"/>
    </xf>
    <xf numFmtId="10" fontId="2" fillId="0" borderId="57" xfId="0" applyNumberFormat="1" applyFont="1" applyBorder="1" applyAlignment="1">
      <alignment horizontal="right" vertical="center"/>
    </xf>
    <xf numFmtId="0" fontId="2" fillId="4" borderId="58" xfId="0" applyFont="1" applyFill="1" applyBorder="1" applyAlignment="1">
      <alignment horizontal="right"/>
    </xf>
    <xf numFmtId="0" fontId="2" fillId="0" borderId="26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10" fontId="2" fillId="0" borderId="26" xfId="0" applyNumberFormat="1" applyFont="1" applyBorder="1" applyAlignment="1">
      <alignment horizontal="right" vertical="center"/>
    </xf>
    <xf numFmtId="10" fontId="2" fillId="0" borderId="28" xfId="0" applyNumberFormat="1" applyFont="1" applyBorder="1" applyAlignment="1">
      <alignment horizontal="right" vertical="center"/>
    </xf>
    <xf numFmtId="10" fontId="2" fillId="0" borderId="27" xfId="0" applyNumberFormat="1" applyFont="1" applyBorder="1" applyAlignment="1">
      <alignment horizontal="right" vertical="center"/>
    </xf>
    <xf numFmtId="0" fontId="11" fillId="4" borderId="58" xfId="0" applyFont="1" applyFill="1" applyBorder="1" applyAlignment="1">
      <alignment horizontal="right"/>
    </xf>
    <xf numFmtId="0" fontId="2" fillId="0" borderId="42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10" fontId="2" fillId="0" borderId="42" xfId="0" applyNumberFormat="1" applyFont="1" applyBorder="1" applyAlignment="1">
      <alignment horizontal="right" vertical="center"/>
    </xf>
    <xf numFmtId="10" fontId="2" fillId="0" borderId="38" xfId="0" applyNumberFormat="1" applyFont="1" applyBorder="1" applyAlignment="1">
      <alignment horizontal="right" vertical="center"/>
    </xf>
    <xf numFmtId="10" fontId="2" fillId="0" borderId="49" xfId="0" applyNumberFormat="1" applyFont="1" applyBorder="1" applyAlignment="1">
      <alignment horizontal="right" vertical="center"/>
    </xf>
    <xf numFmtId="0" fontId="2" fillId="4" borderId="27" xfId="0" applyFont="1" applyFill="1" applyBorder="1" applyAlignment="1">
      <alignment horizontal="right"/>
    </xf>
    <xf numFmtId="0" fontId="2" fillId="0" borderId="5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6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10" fontId="2" fillId="0" borderId="51" xfId="0" applyNumberFormat="1" applyFont="1" applyBorder="1" applyAlignment="1">
      <alignment horizontal="right" vertical="center"/>
    </xf>
    <xf numFmtId="10" fontId="2" fillId="0" borderId="52" xfId="0" applyNumberFormat="1" applyFont="1" applyBorder="1" applyAlignment="1">
      <alignment horizontal="right" vertical="center"/>
    </xf>
    <xf numFmtId="10" fontId="2" fillId="0" borderId="55" xfId="0" applyNumberFormat="1" applyFont="1" applyBorder="1" applyAlignment="1">
      <alignment horizontal="right" vertical="center"/>
    </xf>
    <xf numFmtId="0" fontId="11" fillId="0" borderId="0" xfId="0" applyFont="1"/>
    <xf numFmtId="3" fontId="2" fillId="0" borderId="0" xfId="0" applyNumberFormat="1" applyFont="1"/>
    <xf numFmtId="0" fontId="12" fillId="0" borderId="0" xfId="0" applyFont="1"/>
    <xf numFmtId="0" fontId="13" fillId="0" borderId="0" xfId="0" applyFont="1"/>
    <xf numFmtId="0" fontId="12" fillId="0" borderId="62" xfId="0" applyFont="1" applyBorder="1"/>
    <xf numFmtId="0" fontId="12" fillId="0" borderId="30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36" xfId="0" applyFont="1" applyBorder="1"/>
    <xf numFmtId="0" fontId="12" fillId="0" borderId="66" xfId="0" applyFont="1" applyBorder="1"/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2" fillId="0" borderId="70" xfId="0" applyFont="1" applyBorder="1"/>
    <xf numFmtId="0" fontId="12" fillId="0" borderId="71" xfId="0" applyFont="1" applyBorder="1"/>
    <xf numFmtId="0" fontId="12" fillId="0" borderId="70" xfId="0" applyFont="1" applyBorder="1" applyAlignment="1">
      <alignment horizontal="center"/>
    </xf>
    <xf numFmtId="0" fontId="12" fillId="0" borderId="72" xfId="0" applyFont="1" applyBorder="1"/>
    <xf numFmtId="0" fontId="14" fillId="0" borderId="73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3" fontId="15" fillId="0" borderId="66" xfId="0" applyNumberFormat="1" applyFont="1" applyBorder="1"/>
    <xf numFmtId="3" fontId="15" fillId="0" borderId="67" xfId="0" applyNumberFormat="1" applyFont="1" applyBorder="1"/>
    <xf numFmtId="3" fontId="15" fillId="0" borderId="68" xfId="0" applyNumberFormat="1" applyFont="1" applyBorder="1"/>
    <xf numFmtId="0" fontId="16" fillId="0" borderId="69" xfId="0" applyFont="1" applyBorder="1"/>
    <xf numFmtId="0" fontId="12" fillId="0" borderId="37" xfId="0" applyFont="1" applyBorder="1"/>
    <xf numFmtId="3" fontId="12" fillId="0" borderId="66" xfId="0" applyNumberFormat="1" applyFont="1" applyBorder="1"/>
    <xf numFmtId="3" fontId="15" fillId="0" borderId="69" xfId="0" applyNumberFormat="1" applyFont="1" applyBorder="1"/>
    <xf numFmtId="10" fontId="12" fillId="0" borderId="37" xfId="0" applyNumberFormat="1" applyFont="1" applyBorder="1"/>
    <xf numFmtId="0" fontId="12" fillId="0" borderId="0" xfId="0" applyFont="1" applyAlignment="1">
      <alignment horizontal="center"/>
    </xf>
    <xf numFmtId="3" fontId="16" fillId="0" borderId="69" xfId="0" applyNumberFormat="1" applyFont="1" applyBorder="1"/>
    <xf numFmtId="3" fontId="14" fillId="0" borderId="37" xfId="0" applyNumberFormat="1" applyFont="1" applyBorder="1"/>
    <xf numFmtId="3" fontId="17" fillId="0" borderId="0" xfId="0" applyNumberFormat="1" applyFont="1"/>
    <xf numFmtId="3" fontId="12" fillId="0" borderId="0" xfId="0" applyNumberFormat="1" applyFont="1"/>
    <xf numFmtId="3" fontId="18" fillId="0" borderId="68" xfId="0" applyNumberFormat="1" applyFont="1" applyBorder="1"/>
    <xf numFmtId="0" fontId="19" fillId="0" borderId="69" xfId="0" applyFont="1" applyBorder="1"/>
    <xf numFmtId="0" fontId="12" fillId="0" borderId="69" xfId="0" applyFont="1" applyBorder="1"/>
    <xf numFmtId="0" fontId="12" fillId="0" borderId="76" xfId="0" applyFont="1" applyBorder="1"/>
    <xf numFmtId="0" fontId="12" fillId="0" borderId="77" xfId="0" applyFont="1" applyBorder="1"/>
    <xf numFmtId="0" fontId="16" fillId="0" borderId="76" xfId="0" applyFont="1" applyBorder="1"/>
    <xf numFmtId="0" fontId="16" fillId="0" borderId="78" xfId="0" applyFont="1" applyBorder="1"/>
    <xf numFmtId="3" fontId="19" fillId="0" borderId="79" xfId="0" applyNumberFormat="1" applyFont="1" applyBorder="1"/>
    <xf numFmtId="3" fontId="16" fillId="0" borderId="80" xfId="0" applyNumberFormat="1" applyFont="1" applyBorder="1"/>
    <xf numFmtId="3" fontId="20" fillId="0" borderId="81" xfId="0" applyNumberFormat="1" applyFont="1" applyBorder="1"/>
    <xf numFmtId="3" fontId="14" fillId="0" borderId="76" xfId="0" applyNumberFormat="1" applyFont="1" applyBorder="1"/>
    <xf numFmtId="3" fontId="14" fillId="0" borderId="80" xfId="0" applyNumberFormat="1" applyFont="1" applyBorder="1"/>
    <xf numFmtId="10" fontId="14" fillId="0" borderId="81" xfId="0" applyNumberFormat="1" applyFont="1" applyBorder="1"/>
    <xf numFmtId="3" fontId="19" fillId="0" borderId="0" xfId="0" applyNumberFormat="1" applyFont="1"/>
    <xf numFmtId="3" fontId="19" fillId="0" borderId="69" xfId="0" applyNumberFormat="1" applyFont="1" applyBorder="1"/>
    <xf numFmtId="3" fontId="12" fillId="0" borderId="37" xfId="0" applyNumberFormat="1" applyFont="1" applyBorder="1"/>
    <xf numFmtId="3" fontId="19" fillId="0" borderId="68" xfId="0" applyNumberFormat="1" applyFont="1" applyBorder="1"/>
    <xf numFmtId="0" fontId="19" fillId="0" borderId="66" xfId="0" applyFont="1" applyBorder="1"/>
    <xf numFmtId="0" fontId="19" fillId="0" borderId="67" xfId="0" applyFont="1" applyBorder="1"/>
    <xf numFmtId="0" fontId="19" fillId="0" borderId="68" xfId="0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19" fillId="0" borderId="68" xfId="0" applyNumberFormat="1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6" fillId="0" borderId="66" xfId="0" applyFont="1" applyBorder="1"/>
    <xf numFmtId="0" fontId="16" fillId="0" borderId="67" xfId="0" applyFont="1" applyBorder="1"/>
    <xf numFmtId="3" fontId="19" fillId="0" borderId="1" xfId="0" applyNumberFormat="1" applyFont="1" applyBorder="1"/>
    <xf numFmtId="3" fontId="16" fillId="0" borderId="68" xfId="0" applyNumberFormat="1" applyFont="1" applyBorder="1"/>
    <xf numFmtId="3" fontId="21" fillId="0" borderId="37" xfId="0" applyNumberFormat="1" applyFont="1" applyBorder="1"/>
    <xf numFmtId="3" fontId="14" fillId="0" borderId="1" xfId="0" applyNumberFormat="1" applyFont="1" applyBorder="1"/>
    <xf numFmtId="3" fontId="14" fillId="0" borderId="29" xfId="0" applyNumberFormat="1" applyFont="1" applyBorder="1"/>
    <xf numFmtId="10" fontId="14" fillId="0" borderId="37" xfId="0" applyNumberFormat="1" applyFont="1" applyBorder="1"/>
    <xf numFmtId="0" fontId="12" fillId="0" borderId="67" xfId="0" applyFont="1" applyBorder="1"/>
    <xf numFmtId="3" fontId="12" fillId="0" borderId="68" xfId="0" applyNumberFormat="1" applyFont="1" applyBorder="1"/>
    <xf numFmtId="3" fontId="12" fillId="0" borderId="69" xfId="0" applyNumberFormat="1" applyFont="1" applyBorder="1"/>
    <xf numFmtId="3" fontId="19" fillId="0" borderId="37" xfId="0" applyNumberFormat="1" applyFont="1" applyBorder="1" applyAlignment="1">
      <alignment horizontal="center"/>
    </xf>
    <xf numFmtId="3" fontId="14" fillId="0" borderId="73" xfId="0" applyNumberFormat="1" applyFont="1" applyBorder="1"/>
    <xf numFmtId="3" fontId="21" fillId="0" borderId="75" xfId="0" applyNumberFormat="1" applyFont="1" applyBorder="1"/>
    <xf numFmtId="3" fontId="15" fillId="0" borderId="0" xfId="0" applyNumberFormat="1" applyFont="1"/>
    <xf numFmtId="0" fontId="12" fillId="0" borderId="59" xfId="0" applyFont="1" applyBorder="1"/>
    <xf numFmtId="3" fontId="14" fillId="0" borderId="59" xfId="0" applyNumberFormat="1" applyFont="1" applyBorder="1"/>
    <xf numFmtId="177" fontId="12" fillId="0" borderId="0" xfId="0" applyNumberFormat="1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82" xfId="0" applyFont="1" applyBorder="1" applyAlignment="1">
      <alignment horizontal="right"/>
    </xf>
    <xf numFmtId="3" fontId="4" fillId="0" borderId="51" xfId="0" applyNumberFormat="1" applyFont="1" applyBorder="1"/>
    <xf numFmtId="3" fontId="4" fillId="0" borderId="52" xfId="0" applyNumberFormat="1" applyFont="1" applyBorder="1"/>
    <xf numFmtId="3" fontId="4" fillId="0" borderId="55" xfId="0" applyNumberFormat="1" applyFont="1" applyBorder="1"/>
    <xf numFmtId="3" fontId="4" fillId="0" borderId="50" xfId="0" applyNumberFormat="1" applyFont="1" applyBorder="1"/>
    <xf numFmtId="10" fontId="4" fillId="0" borderId="51" xfId="0" applyNumberFormat="1" applyFont="1" applyBorder="1"/>
    <xf numFmtId="10" fontId="4" fillId="0" borderId="52" xfId="0" applyNumberFormat="1" applyFont="1" applyBorder="1"/>
    <xf numFmtId="10" fontId="4" fillId="0" borderId="55" xfId="0" applyNumberFormat="1" applyFont="1" applyBorder="1"/>
    <xf numFmtId="0" fontId="4" fillId="0" borderId="6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10" fontId="4" fillId="0" borderId="11" xfId="0" applyNumberFormat="1" applyFont="1" applyBorder="1"/>
    <xf numFmtId="10" fontId="4" fillId="0" borderId="12" xfId="0" applyNumberFormat="1" applyFont="1" applyBorder="1"/>
    <xf numFmtId="10" fontId="4" fillId="0" borderId="13" xfId="0" applyNumberFormat="1" applyFont="1" applyBorder="1"/>
    <xf numFmtId="0" fontId="4" fillId="0" borderId="1" xfId="0" applyFont="1" applyBorder="1" applyAlignment="1">
      <alignment horizontal="right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10" fontId="4" fillId="0" borderId="3" xfId="0" applyNumberFormat="1" applyFont="1" applyBorder="1"/>
    <xf numFmtId="10" fontId="4" fillId="0" borderId="4" xfId="0" applyNumberFormat="1" applyFont="1" applyBorder="1"/>
    <xf numFmtId="10" fontId="4" fillId="0" borderId="5" xfId="0" applyNumberFormat="1" applyFont="1" applyBorder="1"/>
    <xf numFmtId="0" fontId="4" fillId="6" borderId="15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3" fontId="4" fillId="6" borderId="20" xfId="0" applyNumberFormat="1" applyFont="1" applyFill="1" applyBorder="1"/>
    <xf numFmtId="3" fontId="4" fillId="6" borderId="25" xfId="0" applyNumberFormat="1" applyFont="1" applyFill="1" applyBorder="1"/>
    <xf numFmtId="0" fontId="4" fillId="6" borderId="20" xfId="0" applyFont="1" applyFill="1" applyBorder="1" applyAlignment="1">
      <alignment horizontal="center"/>
    </xf>
    <xf numFmtId="3" fontId="4" fillId="6" borderId="15" xfId="0" applyNumberFormat="1" applyFont="1" applyFill="1" applyBorder="1"/>
    <xf numFmtId="0" fontId="4" fillId="6" borderId="10" xfId="0" applyFont="1" applyFill="1" applyBorder="1" applyAlignment="1">
      <alignment horizontal="center"/>
    </xf>
    <xf numFmtId="3" fontId="3" fillId="6" borderId="20" xfId="0" applyNumberFormat="1" applyFont="1" applyFill="1" applyBorder="1"/>
    <xf numFmtId="3" fontId="3" fillId="6" borderId="25" xfId="0" applyNumberFormat="1" applyFont="1" applyFill="1" applyBorder="1"/>
    <xf numFmtId="3" fontId="4" fillId="6" borderId="21" xfId="0" applyNumberFormat="1" applyFont="1" applyFill="1" applyBorder="1"/>
    <xf numFmtId="3" fontId="4" fillId="6" borderId="22" xfId="0" applyNumberFormat="1" applyFont="1" applyFill="1" applyBorder="1"/>
    <xf numFmtId="3" fontId="4" fillId="6" borderId="23" xfId="0" applyNumberFormat="1" applyFont="1" applyFill="1" applyBorder="1"/>
    <xf numFmtId="3" fontId="2" fillId="2" borderId="10" xfId="0" applyNumberFormat="1" applyFont="1" applyFill="1" applyBorder="1"/>
    <xf numFmtId="3" fontId="4" fillId="6" borderId="26" xfId="0" applyNumberFormat="1" applyFont="1" applyFill="1" applyBorder="1"/>
    <xf numFmtId="0" fontId="5" fillId="0" borderId="10" xfId="0" applyFont="1" applyBorder="1" applyAlignment="1">
      <alignment horizontal="center" shrinkToFit="1"/>
    </xf>
    <xf numFmtId="3" fontId="2" fillId="0" borderId="10" xfId="0" applyNumberFormat="1" applyFont="1" applyBorder="1"/>
    <xf numFmtId="3" fontId="24" fillId="0" borderId="83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shrinkToFit="1"/>
    </xf>
    <xf numFmtId="10" fontId="4" fillId="0" borderId="84" xfId="0" applyNumberFormat="1" applyFont="1" applyBorder="1"/>
    <xf numFmtId="3" fontId="24" fillId="0" borderId="85" xfId="0" applyNumberFormat="1" applyFont="1" applyBorder="1" applyAlignment="1">
      <alignment horizontal="right" vertical="center" wrapText="1"/>
    </xf>
    <xf numFmtId="3" fontId="3" fillId="0" borderId="86" xfId="0" applyNumberFormat="1" applyFont="1" applyBorder="1"/>
    <xf numFmtId="3" fontId="24" fillId="0" borderId="0" xfId="0" applyNumberFormat="1" applyFont="1" applyBorder="1" applyAlignment="1">
      <alignment horizontal="right" wrapText="1"/>
    </xf>
    <xf numFmtId="0" fontId="4" fillId="6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7" xfId="0" applyFont="1" applyBorder="1"/>
    <xf numFmtId="0" fontId="2" fillId="0" borderId="0" xfId="0" applyFont="1" applyFill="1"/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2" xfId="0" applyFont="1" applyFill="1" applyBorder="1"/>
    <xf numFmtId="0" fontId="2" fillId="0" borderId="19" xfId="0" applyFont="1" applyFill="1" applyBorder="1" applyAlignment="1">
      <alignment horizontal="centerContinuous"/>
    </xf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10" fontId="2" fillId="0" borderId="21" xfId="0" applyNumberFormat="1" applyFont="1" applyFill="1" applyBorder="1"/>
    <xf numFmtId="10" fontId="2" fillId="0" borderId="23" xfId="0" applyNumberFormat="1" applyFont="1" applyFill="1" applyBorder="1"/>
    <xf numFmtId="10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3" fontId="4" fillId="6" borderId="87" xfId="0" applyNumberFormat="1" applyFont="1" applyFill="1" applyBorder="1"/>
    <xf numFmtId="3" fontId="4" fillId="0" borderId="88" xfId="0" applyNumberFormat="1" applyFont="1" applyBorder="1"/>
    <xf numFmtId="3" fontId="4" fillId="0" borderId="40" xfId="0" applyNumberFormat="1" applyFont="1" applyBorder="1"/>
    <xf numFmtId="3" fontId="4" fillId="0" borderId="58" xfId="0" applyNumberFormat="1" applyFont="1" applyBorder="1"/>
    <xf numFmtId="3" fontId="4" fillId="0" borderId="87" xfId="0" applyNumberFormat="1" applyFont="1" applyBorder="1"/>
    <xf numFmtId="10" fontId="4" fillId="0" borderId="88" xfId="0" applyNumberFormat="1" applyFont="1" applyBorder="1"/>
    <xf numFmtId="10" fontId="4" fillId="0" borderId="40" xfId="0" applyNumberFormat="1" applyFont="1" applyBorder="1"/>
    <xf numFmtId="10" fontId="4" fillId="0" borderId="58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14" xfId="0" applyFont="1" applyBorder="1"/>
    <xf numFmtId="0" fontId="26" fillId="7" borderId="19" xfId="0" applyFont="1" applyFill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6" fillId="0" borderId="89" xfId="0" applyFont="1" applyBorder="1" applyAlignment="1">
      <alignment horizontal="right"/>
    </xf>
    <xf numFmtId="0" fontId="26" fillId="0" borderId="6" xfId="0" applyFont="1" applyFill="1" applyBorder="1" applyAlignment="1">
      <alignment horizontal="right"/>
    </xf>
    <xf numFmtId="0" fontId="26" fillId="0" borderId="19" xfId="0" applyFont="1" applyFill="1" applyBorder="1" applyAlignment="1">
      <alignment horizontal="right"/>
    </xf>
    <xf numFmtId="0" fontId="26" fillId="0" borderId="6" xfId="0" applyFont="1" applyBorder="1" applyAlignment="1">
      <alignment horizontal="right"/>
    </xf>
    <xf numFmtId="3" fontId="4" fillId="0" borderId="21" xfId="0" applyNumberFormat="1" applyFont="1" applyFill="1" applyBorder="1"/>
    <xf numFmtId="3" fontId="4" fillId="0" borderId="23" xfId="0" applyNumberFormat="1" applyFont="1" applyFill="1" applyBorder="1"/>
    <xf numFmtId="3" fontId="4" fillId="0" borderId="20" xfId="0" applyNumberFormat="1" applyFont="1" applyFill="1" applyBorder="1"/>
    <xf numFmtId="3" fontId="24" fillId="0" borderId="90" xfId="0" applyNumberFormat="1" applyFont="1" applyFill="1" applyBorder="1" applyAlignment="1">
      <alignment horizontal="right"/>
    </xf>
    <xf numFmtId="3" fontId="4" fillId="0" borderId="22" xfId="0" applyNumberFormat="1" applyFont="1" applyFill="1" applyBorder="1"/>
    <xf numFmtId="3" fontId="4" fillId="0" borderId="91" xfId="0" applyNumberFormat="1" applyFont="1" applyFill="1" applyBorder="1"/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shrinkToFit="1"/>
    </xf>
    <xf numFmtId="0" fontId="5" fillId="0" borderId="25" xfId="0" applyFont="1" applyBorder="1" applyAlignment="1">
      <alignment horizontal="center"/>
    </xf>
    <xf numFmtId="3" fontId="27" fillId="0" borderId="23" xfId="0" applyNumberFormat="1" applyFont="1" applyBorder="1"/>
    <xf numFmtId="3" fontId="3" fillId="0" borderId="92" xfId="0" applyNumberFormat="1" applyFont="1" applyBorder="1"/>
    <xf numFmtId="3" fontId="24" fillId="0" borderId="9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/>
    <xf numFmtId="10" fontId="4" fillId="0" borderId="42" xfId="0" applyNumberFormat="1" applyFont="1" applyBorder="1"/>
    <xf numFmtId="3" fontId="24" fillId="0" borderId="94" xfId="0" applyNumberFormat="1" applyFont="1" applyBorder="1" applyAlignment="1">
      <alignment horizontal="right" vertical="center" wrapText="1"/>
    </xf>
    <xf numFmtId="10" fontId="4" fillId="0" borderId="38" xfId="0" applyNumberFormat="1" applyFont="1" applyBorder="1"/>
    <xf numFmtId="3" fontId="24" fillId="0" borderId="21" xfId="0" applyNumberFormat="1" applyFont="1" applyBorder="1" applyAlignment="1">
      <alignment horizontal="right" vertical="center" wrapText="1"/>
    </xf>
    <xf numFmtId="3" fontId="24" fillId="0" borderId="21" xfId="0" applyNumberFormat="1" applyFont="1" applyBorder="1" applyAlignment="1">
      <alignment horizontal="right" wrapText="1"/>
    </xf>
    <xf numFmtId="3" fontId="24" fillId="0" borderId="21" xfId="0" applyNumberFormat="1" applyFont="1" applyFill="1" applyBorder="1" applyAlignment="1"/>
    <xf numFmtId="3" fontId="24" fillId="0" borderId="90" xfId="0" applyNumberFormat="1" applyFont="1" applyBorder="1" applyAlignment="1">
      <alignment horizontal="right" wrapText="1"/>
    </xf>
    <xf numFmtId="0" fontId="29" fillId="0" borderId="0" xfId="0" applyFont="1"/>
    <xf numFmtId="0" fontId="30" fillId="0" borderId="19" xfId="0" applyFont="1" applyBorder="1" applyAlignment="1">
      <alignment horizontal="right"/>
    </xf>
    <xf numFmtId="3" fontId="31" fillId="6" borderId="20" xfId="0" applyNumberFormat="1" applyFont="1" applyFill="1" applyBorder="1"/>
    <xf numFmtId="3" fontId="31" fillId="0" borderId="21" xfId="0" applyNumberFormat="1" applyFont="1" applyBorder="1"/>
    <xf numFmtId="3" fontId="31" fillId="0" borderId="22" xfId="0" applyNumberFormat="1" applyFont="1" applyBorder="1"/>
    <xf numFmtId="3" fontId="31" fillId="0" borderId="23" xfId="0" applyNumberFormat="1" applyFont="1" applyBorder="1"/>
    <xf numFmtId="3" fontId="32" fillId="0" borderId="95" xfId="0" applyNumberFormat="1" applyFont="1" applyBorder="1" applyAlignment="1"/>
    <xf numFmtId="3" fontId="32" fillId="0" borderId="21" xfId="0" applyNumberFormat="1" applyFont="1" applyBorder="1" applyAlignment="1"/>
    <xf numFmtId="10" fontId="31" fillId="0" borderId="21" xfId="0" applyNumberFormat="1" applyFont="1" applyBorder="1"/>
    <xf numFmtId="10" fontId="31" fillId="0" borderId="22" xfId="0" applyNumberFormat="1" applyFont="1" applyBorder="1"/>
    <xf numFmtId="10" fontId="31" fillId="0" borderId="23" xfId="0" applyNumberFormat="1" applyFont="1" applyBorder="1"/>
    <xf numFmtId="0" fontId="29" fillId="0" borderId="19" xfId="0" applyFont="1" applyBorder="1" applyAlignment="1">
      <alignment horizontal="centerContinuous"/>
    </xf>
    <xf numFmtId="0" fontId="29" fillId="0" borderId="20" xfId="0" applyFont="1" applyBorder="1"/>
    <xf numFmtId="0" fontId="29" fillId="0" borderId="21" xfId="0" applyFont="1" applyBorder="1"/>
    <xf numFmtId="0" fontId="29" fillId="0" borderId="22" xfId="0" applyFont="1" applyBorder="1"/>
    <xf numFmtId="10" fontId="29" fillId="0" borderId="21" xfId="0" applyNumberFormat="1" applyFont="1" applyBorder="1"/>
    <xf numFmtId="10" fontId="29" fillId="0" borderId="23" xfId="0" applyNumberFormat="1" applyFont="1" applyBorder="1"/>
    <xf numFmtId="10" fontId="29" fillId="0" borderId="0" xfId="0" applyNumberFormat="1" applyFont="1"/>
    <xf numFmtId="3" fontId="31" fillId="6" borderId="21" xfId="0" applyNumberFormat="1" applyFont="1" applyFill="1" applyBorder="1"/>
    <xf numFmtId="3" fontId="31" fillId="6" borderId="22" xfId="0" applyNumberFormat="1" applyFont="1" applyFill="1" applyBorder="1"/>
    <xf numFmtId="3" fontId="31" fillId="6" borderId="96" xfId="0" applyNumberFormat="1" applyFont="1" applyFill="1" applyBorder="1"/>
    <xf numFmtId="3" fontId="31" fillId="6" borderId="97" xfId="0" applyNumberFormat="1" applyFont="1" applyFill="1" applyBorder="1"/>
    <xf numFmtId="3" fontId="31" fillId="6" borderId="98" xfId="0" applyNumberFormat="1" applyFont="1" applyFill="1" applyBorder="1"/>
    <xf numFmtId="3" fontId="31" fillId="6" borderId="99" xfId="0" applyNumberFormat="1" applyFont="1" applyFill="1" applyBorder="1"/>
    <xf numFmtId="3" fontId="32" fillId="0" borderId="99" xfId="0" applyNumberFormat="1" applyFont="1" applyBorder="1" applyAlignment="1"/>
    <xf numFmtId="3" fontId="31" fillId="0" borderId="20" xfId="0" applyNumberFormat="1" applyFont="1" applyBorder="1"/>
    <xf numFmtId="0" fontId="30" fillId="8" borderId="19" xfId="0" applyFont="1" applyFill="1" applyBorder="1" applyAlignment="1">
      <alignment horizontal="right"/>
    </xf>
    <xf numFmtId="3" fontId="31" fillId="8" borderId="21" xfId="0" applyNumberFormat="1" applyFont="1" applyFill="1" applyBorder="1"/>
    <xf numFmtId="3" fontId="31" fillId="8" borderId="22" xfId="0" applyNumberFormat="1" applyFont="1" applyFill="1" applyBorder="1"/>
    <xf numFmtId="3" fontId="31" fillId="8" borderId="20" xfId="0" applyNumberFormat="1" applyFont="1" applyFill="1" applyBorder="1"/>
    <xf numFmtId="3" fontId="31" fillId="8" borderId="96" xfId="0" applyNumberFormat="1" applyFont="1" applyFill="1" applyBorder="1"/>
    <xf numFmtId="10" fontId="31" fillId="8" borderId="21" xfId="0" applyNumberFormat="1" applyFont="1" applyFill="1" applyBorder="1"/>
    <xf numFmtId="10" fontId="31" fillId="8" borderId="22" xfId="0" applyNumberFormat="1" applyFont="1" applyFill="1" applyBorder="1"/>
    <xf numFmtId="10" fontId="31" fillId="8" borderId="23" xfId="0" applyNumberFormat="1" applyFont="1" applyFill="1" applyBorder="1"/>
    <xf numFmtId="0" fontId="30" fillId="7" borderId="6" xfId="0" applyFont="1" applyFill="1" applyBorder="1" applyAlignment="1">
      <alignment horizontal="right"/>
    </xf>
    <xf numFmtId="3" fontId="31" fillId="7" borderId="10" xfId="0" applyNumberFormat="1" applyFont="1" applyFill="1" applyBorder="1"/>
    <xf numFmtId="3" fontId="31" fillId="7" borderId="11" xfId="0" applyNumberFormat="1" applyFont="1" applyFill="1" applyBorder="1"/>
    <xf numFmtId="3" fontId="31" fillId="7" borderId="31" xfId="0" applyNumberFormat="1" applyFont="1" applyFill="1" applyBorder="1"/>
    <xf numFmtId="3" fontId="31" fillId="7" borderId="13" xfId="0" applyNumberFormat="1" applyFont="1" applyFill="1" applyBorder="1"/>
    <xf numFmtId="10" fontId="31" fillId="7" borderId="11" xfId="0" applyNumberFormat="1" applyFont="1" applyFill="1" applyBorder="1"/>
    <xf numFmtId="10" fontId="31" fillId="7" borderId="13" xfId="0" applyNumberFormat="1" applyFont="1" applyFill="1" applyBorder="1"/>
    <xf numFmtId="0" fontId="29" fillId="0" borderId="0" xfId="0" applyFont="1" applyAlignment="1">
      <alignment horizontal="center"/>
    </xf>
    <xf numFmtId="38" fontId="29" fillId="0" borderId="0" xfId="1" applyFont="1"/>
    <xf numFmtId="38" fontId="33" fillId="7" borderId="100" xfId="1" applyFont="1" applyFill="1" applyBorder="1" applyAlignment="1">
      <alignment horizontal="center" shrinkToFit="1"/>
    </xf>
    <xf numFmtId="3" fontId="29" fillId="7" borderId="15" xfId="1" applyNumberFormat="1" applyFont="1" applyFill="1" applyBorder="1"/>
    <xf numFmtId="3" fontId="29" fillId="7" borderId="16" xfId="1" applyNumberFormat="1" applyFont="1" applyFill="1" applyBorder="1"/>
    <xf numFmtId="3" fontId="29" fillId="7" borderId="32" xfId="1" applyNumberFormat="1" applyFont="1" applyFill="1" applyBorder="1"/>
    <xf numFmtId="3" fontId="29" fillId="7" borderId="18" xfId="1" applyNumberFormat="1" applyFont="1" applyFill="1" applyBorder="1"/>
    <xf numFmtId="10" fontId="31" fillId="7" borderId="88" xfId="0" applyNumberFormat="1" applyFont="1" applyFill="1" applyBorder="1"/>
    <xf numFmtId="10" fontId="31" fillId="7" borderId="40" xfId="0" applyNumberFormat="1" applyFont="1" applyFill="1" applyBorder="1"/>
    <xf numFmtId="10" fontId="31" fillId="7" borderId="58" xfId="0" applyNumberFormat="1" applyFont="1" applyFill="1" applyBorder="1"/>
    <xf numFmtId="38" fontId="34" fillId="0" borderId="0" xfId="1" applyFont="1"/>
    <xf numFmtId="0" fontId="33" fillId="2" borderId="6" xfId="0" applyFont="1" applyFill="1" applyBorder="1" applyAlignment="1">
      <alignment horizontal="right"/>
    </xf>
    <xf numFmtId="3" fontId="29" fillId="2" borderId="10" xfId="0" applyNumberFormat="1" applyFont="1" applyFill="1" applyBorder="1"/>
    <xf numFmtId="3" fontId="29" fillId="2" borderId="11" xfId="0" applyNumberFormat="1" applyFont="1" applyFill="1" applyBorder="1"/>
    <xf numFmtId="3" fontId="29" fillId="2" borderId="12" xfId="0" applyNumberFormat="1" applyFont="1" applyFill="1" applyBorder="1"/>
    <xf numFmtId="3" fontId="29" fillId="2" borderId="13" xfId="0" applyNumberFormat="1" applyFont="1" applyFill="1" applyBorder="1"/>
    <xf numFmtId="3" fontId="29" fillId="2" borderId="31" xfId="0" applyNumberFormat="1" applyFont="1" applyFill="1" applyBorder="1"/>
    <xf numFmtId="3" fontId="29" fillId="2" borderId="7" xfId="0" applyNumberFormat="1" applyFont="1" applyFill="1" applyBorder="1"/>
    <xf numFmtId="3" fontId="29" fillId="2" borderId="8" xfId="0" applyNumberFormat="1" applyFont="1" applyFill="1" applyBorder="1"/>
    <xf numFmtId="10" fontId="29" fillId="2" borderId="12" xfId="0" applyNumberFormat="1" applyFont="1" applyFill="1" applyBorder="1"/>
    <xf numFmtId="10" fontId="29" fillId="2" borderId="13" xfId="0" applyNumberFormat="1" applyFont="1" applyFill="1" applyBorder="1"/>
    <xf numFmtId="0" fontId="33" fillId="2" borderId="14" xfId="0" applyFont="1" applyFill="1" applyBorder="1" applyAlignment="1">
      <alignment horizontal="center"/>
    </xf>
    <xf numFmtId="3" fontId="29" fillId="2" borderId="15" xfId="0" applyNumberFormat="1" applyFont="1" applyFill="1" applyBorder="1"/>
    <xf numFmtId="3" fontId="29" fillId="2" borderId="16" xfId="0" applyNumberFormat="1" applyFont="1" applyFill="1" applyBorder="1"/>
    <xf numFmtId="3" fontId="29" fillId="2" borderId="17" xfId="0" applyNumberFormat="1" applyFont="1" applyFill="1" applyBorder="1"/>
    <xf numFmtId="3" fontId="29" fillId="2" borderId="18" xfId="0" applyNumberFormat="1" applyFont="1" applyFill="1" applyBorder="1"/>
    <xf numFmtId="3" fontId="29" fillId="2" borderId="32" xfId="0" applyNumberFormat="1" applyFont="1" applyFill="1" applyBorder="1"/>
    <xf numFmtId="3" fontId="29" fillId="2" borderId="100" xfId="0" applyNumberFormat="1" applyFont="1" applyFill="1" applyBorder="1"/>
    <xf numFmtId="3" fontId="29" fillId="2" borderId="101" xfId="0" applyNumberFormat="1" applyFont="1" applyFill="1" applyBorder="1"/>
    <xf numFmtId="10" fontId="29" fillId="2" borderId="17" xfId="0" applyNumberFormat="1" applyFont="1" applyFill="1" applyBorder="1"/>
    <xf numFmtId="10" fontId="29" fillId="2" borderId="18" xfId="0" applyNumberFormat="1" applyFont="1" applyFill="1" applyBorder="1"/>
    <xf numFmtId="0" fontId="29" fillId="0" borderId="0" xfId="0" applyFont="1" applyAlignment="1">
      <alignment horizontal="right"/>
    </xf>
    <xf numFmtId="0" fontId="1" fillId="0" borderId="0" xfId="0" applyFont="1" applyProtection="1"/>
    <xf numFmtId="0" fontId="2" fillId="0" borderId="0" xfId="0" applyFont="1" applyProtection="1"/>
    <xf numFmtId="0" fontId="35" fillId="0" borderId="0" xfId="0" applyFont="1" applyAlignment="1" applyProtection="1">
      <alignment horizontal="center"/>
    </xf>
    <xf numFmtId="3" fontId="2" fillId="0" borderId="0" xfId="0" applyNumberFormat="1" applyFont="1" applyProtection="1"/>
    <xf numFmtId="0" fontId="2" fillId="0" borderId="1" xfId="0" applyFont="1" applyBorder="1" applyProtection="1"/>
    <xf numFmtId="0" fontId="2" fillId="0" borderId="2" xfId="0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6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Continuous"/>
    </xf>
    <xf numFmtId="0" fontId="4" fillId="0" borderId="8" xfId="0" applyFont="1" applyBorder="1" applyAlignment="1" applyProtection="1">
      <alignment horizontal="centerContinuous"/>
    </xf>
    <xf numFmtId="0" fontId="4" fillId="0" borderId="9" xfId="0" applyFont="1" applyBorder="1" applyAlignment="1" applyProtection="1">
      <alignment horizontal="centerContinuous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Continuous"/>
    </xf>
    <xf numFmtId="3" fontId="2" fillId="0" borderId="10" xfId="0" applyNumberFormat="1" applyFont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10" fontId="2" fillId="0" borderId="11" xfId="0" applyNumberFormat="1" applyFont="1" applyBorder="1" applyProtection="1"/>
    <xf numFmtId="10" fontId="2" fillId="0" borderId="13" xfId="0" applyNumberFormat="1" applyFont="1" applyBorder="1" applyProtection="1"/>
    <xf numFmtId="0" fontId="26" fillId="0" borderId="14" xfId="0" applyFont="1" applyBorder="1" applyProtection="1"/>
    <xf numFmtId="0" fontId="4" fillId="6" borderId="15" xfId="0" applyFont="1" applyFill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 shrinkToFit="1"/>
    </xf>
    <xf numFmtId="0" fontId="4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Continuous"/>
    </xf>
    <xf numFmtId="0" fontId="2" fillId="0" borderId="20" xfId="0" applyFont="1" applyBorder="1" applyProtection="1"/>
    <xf numFmtId="0" fontId="2" fillId="0" borderId="21" xfId="0" applyFont="1" applyBorder="1" applyProtection="1"/>
    <xf numFmtId="0" fontId="2" fillId="0" borderId="22" xfId="0" applyFont="1" applyBorder="1" applyProtection="1"/>
    <xf numFmtId="10" fontId="2" fillId="0" borderId="21" xfId="0" applyNumberFormat="1" applyFont="1" applyBorder="1" applyProtection="1"/>
    <xf numFmtId="10" fontId="2" fillId="0" borderId="23" xfId="0" applyNumberFormat="1" applyFont="1" applyBorder="1" applyProtection="1"/>
    <xf numFmtId="10" fontId="2" fillId="0" borderId="0" xfId="0" applyNumberFormat="1" applyFont="1" applyProtection="1"/>
    <xf numFmtId="0" fontId="26" fillId="0" borderId="6" xfId="0" applyFont="1" applyBorder="1" applyAlignment="1" applyProtection="1">
      <alignment horizontal="right"/>
    </xf>
    <xf numFmtId="0" fontId="4" fillId="6" borderId="10" xfId="0" applyFont="1" applyFill="1" applyBorder="1" applyAlignment="1" applyProtection="1">
      <alignment horizontal="center"/>
    </xf>
    <xf numFmtId="0" fontId="5" fillId="6" borderId="10" xfId="0" applyFont="1" applyFill="1" applyBorder="1" applyAlignment="1" applyProtection="1">
      <alignment horizontal="center"/>
    </xf>
    <xf numFmtId="0" fontId="27" fillId="0" borderId="13" xfId="0" applyFont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13" xfId="0" applyFont="1" applyBorder="1" applyProtection="1"/>
    <xf numFmtId="0" fontId="26" fillId="7" borderId="19" xfId="0" applyFont="1" applyFill="1" applyBorder="1" applyAlignment="1" applyProtection="1">
      <alignment horizontal="right"/>
    </xf>
    <xf numFmtId="3" fontId="3" fillId="6" borderId="20" xfId="0" applyNumberFormat="1" applyFont="1" applyFill="1" applyBorder="1" applyProtection="1"/>
    <xf numFmtId="3" fontId="4" fillId="0" borderId="21" xfId="0" applyNumberFormat="1" applyFont="1" applyBorder="1" applyProtection="1"/>
    <xf numFmtId="3" fontId="3" fillId="0" borderId="21" xfId="0" applyNumberFormat="1" applyFont="1" applyBorder="1" applyProtection="1"/>
    <xf numFmtId="3" fontId="3" fillId="0" borderId="23" xfId="0" applyNumberFormat="1" applyFont="1" applyBorder="1" applyProtection="1"/>
    <xf numFmtId="3" fontId="4" fillId="6" borderId="25" xfId="0" applyNumberFormat="1" applyFont="1" applyFill="1" applyBorder="1" applyProtection="1"/>
    <xf numFmtId="3" fontId="3" fillId="0" borderId="22" xfId="0" applyNumberFormat="1" applyFont="1" applyBorder="1" applyProtection="1"/>
    <xf numFmtId="3" fontId="27" fillId="0" borderId="23" xfId="0" applyNumberFormat="1" applyFont="1" applyBorder="1" applyProtection="1"/>
    <xf numFmtId="3" fontId="3" fillId="0" borderId="20" xfId="0" applyNumberFormat="1" applyFont="1" applyBorder="1" applyProtection="1"/>
    <xf numFmtId="10" fontId="4" fillId="0" borderId="21" xfId="0" applyNumberFormat="1" applyFont="1" applyBorder="1" applyProtection="1"/>
    <xf numFmtId="10" fontId="4" fillId="0" borderId="22" xfId="0" applyNumberFormat="1" applyFont="1" applyBorder="1" applyProtection="1"/>
    <xf numFmtId="10" fontId="4" fillId="0" borderId="23" xfId="0" applyNumberFormat="1" applyFont="1" applyBorder="1" applyProtection="1"/>
    <xf numFmtId="0" fontId="26" fillId="0" borderId="19" xfId="0" applyFont="1" applyBorder="1" applyAlignment="1" applyProtection="1">
      <alignment horizontal="right"/>
    </xf>
    <xf numFmtId="0" fontId="26" fillId="0" borderId="24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centerContinuous"/>
    </xf>
    <xf numFmtId="0" fontId="2" fillId="0" borderId="15" xfId="0" applyFont="1" applyBorder="1" applyProtection="1"/>
    <xf numFmtId="0" fontId="2" fillId="0" borderId="16" xfId="0" applyFont="1" applyBorder="1" applyProtection="1"/>
    <xf numFmtId="0" fontId="2" fillId="0" borderId="17" xfId="0" applyFont="1" applyBorder="1" applyProtection="1"/>
    <xf numFmtId="10" fontId="2" fillId="0" borderId="16" xfId="0" applyNumberFormat="1" applyFont="1" applyBorder="1" applyProtection="1"/>
    <xf numFmtId="10" fontId="2" fillId="0" borderId="18" xfId="0" applyNumberFormat="1" applyFont="1" applyBorder="1" applyProtection="1"/>
    <xf numFmtId="0" fontId="2" fillId="0" borderId="1" xfId="0" applyFont="1" applyBorder="1" applyAlignment="1" applyProtection="1">
      <alignment horizontal="centerContinuous"/>
    </xf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10" fontId="2" fillId="0" borderId="3" xfId="0" applyNumberFormat="1" applyFont="1" applyBorder="1" applyProtection="1"/>
    <xf numFmtId="10" fontId="2" fillId="0" borderId="5" xfId="0" applyNumberFormat="1" applyFont="1" applyBorder="1" applyProtection="1"/>
    <xf numFmtId="0" fontId="35" fillId="0" borderId="0" xfId="0" applyFont="1" applyProtection="1"/>
    <xf numFmtId="10" fontId="2" fillId="0" borderId="1" xfId="0" applyNumberFormat="1" applyFont="1" applyBorder="1" applyProtection="1"/>
    <xf numFmtId="10" fontId="2" fillId="0" borderId="29" xfId="0" applyNumberFormat="1" applyFont="1" applyBorder="1" applyProtection="1"/>
    <xf numFmtId="10" fontId="2" fillId="0" borderId="2" xfId="0" applyNumberFormat="1" applyFont="1" applyBorder="1" applyProtection="1"/>
    <xf numFmtId="10" fontId="4" fillId="0" borderId="38" xfId="0" applyNumberFormat="1" applyFont="1" applyBorder="1" applyProtection="1"/>
    <xf numFmtId="0" fontId="2" fillId="0" borderId="10" xfId="0" applyFont="1" applyBorder="1" applyProtection="1"/>
    <xf numFmtId="0" fontId="34" fillId="0" borderId="0" xfId="0" applyFont="1" applyProtection="1"/>
    <xf numFmtId="0" fontId="30" fillId="0" borderId="19" xfId="0" applyFont="1" applyBorder="1" applyAlignment="1" applyProtection="1">
      <alignment horizontal="right"/>
    </xf>
    <xf numFmtId="3" fontId="31" fillId="6" borderId="97" xfId="0" applyNumberFormat="1" applyFont="1" applyFill="1" applyBorder="1" applyProtection="1"/>
    <xf numFmtId="3" fontId="31" fillId="6" borderId="98" xfId="0" applyNumberFormat="1" applyFont="1" applyFill="1" applyBorder="1" applyProtection="1"/>
    <xf numFmtId="3" fontId="31" fillId="6" borderId="22" xfId="0" applyNumberFormat="1" applyFont="1" applyFill="1" applyBorder="1" applyProtection="1"/>
    <xf numFmtId="3" fontId="31" fillId="6" borderId="99" xfId="0" applyNumberFormat="1" applyFont="1" applyFill="1" applyBorder="1" applyProtection="1"/>
    <xf numFmtId="3" fontId="31" fillId="6" borderId="21" xfId="0" applyNumberFormat="1" applyFont="1" applyFill="1" applyBorder="1" applyProtection="1"/>
    <xf numFmtId="10" fontId="31" fillId="0" borderId="21" xfId="0" applyNumberFormat="1" applyFont="1" applyBorder="1" applyProtection="1"/>
    <xf numFmtId="10" fontId="31" fillId="0" borderId="22" xfId="0" applyNumberFormat="1" applyFont="1" applyBorder="1" applyProtection="1"/>
    <xf numFmtId="10" fontId="31" fillId="0" borderId="23" xfId="0" applyNumberFormat="1" applyFont="1" applyBorder="1" applyProtection="1"/>
    <xf numFmtId="0" fontId="29" fillId="0" borderId="0" xfId="0" applyFont="1" applyProtection="1"/>
    <xf numFmtId="0" fontId="29" fillId="0" borderId="19" xfId="0" applyFont="1" applyBorder="1" applyAlignment="1" applyProtection="1">
      <alignment horizontal="centerContinuous"/>
    </xf>
    <xf numFmtId="0" fontId="29" fillId="0" borderId="20" xfId="0" applyFont="1" applyBorder="1" applyProtection="1"/>
    <xf numFmtId="0" fontId="29" fillId="0" borderId="21" xfId="0" applyFont="1" applyBorder="1" applyProtection="1"/>
    <xf numFmtId="0" fontId="29" fillId="0" borderId="22" xfId="0" applyFont="1" applyBorder="1" applyProtection="1"/>
    <xf numFmtId="10" fontId="29" fillId="0" borderId="21" xfId="0" applyNumberFormat="1" applyFont="1" applyBorder="1" applyProtection="1"/>
    <xf numFmtId="10" fontId="29" fillId="0" borderId="23" xfId="0" applyNumberFormat="1" applyFont="1" applyBorder="1" applyProtection="1"/>
    <xf numFmtId="10" fontId="29" fillId="0" borderId="0" xfId="0" applyNumberFormat="1" applyFont="1" applyProtection="1"/>
    <xf numFmtId="3" fontId="31" fillId="6" borderId="20" xfId="0" applyNumberFormat="1" applyFont="1" applyFill="1" applyBorder="1" applyProtection="1"/>
    <xf numFmtId="3" fontId="31" fillId="6" borderId="96" xfId="0" applyNumberFormat="1" applyFont="1" applyFill="1" applyBorder="1" applyProtection="1"/>
    <xf numFmtId="0" fontId="1" fillId="0" borderId="0" xfId="0" applyFont="1" applyFill="1" applyProtection="1"/>
    <xf numFmtId="0" fontId="26" fillId="0" borderId="19" xfId="0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center"/>
    </xf>
    <xf numFmtId="3" fontId="4" fillId="0" borderId="21" xfId="0" applyNumberFormat="1" applyFont="1" applyFill="1" applyBorder="1" applyProtection="1"/>
    <xf numFmtId="3" fontId="4" fillId="0" borderId="22" xfId="0" applyNumberFormat="1" applyFont="1" applyFill="1" applyBorder="1" applyProtection="1"/>
    <xf numFmtId="3" fontId="4" fillId="0" borderId="22" xfId="0" applyNumberFormat="1" applyFont="1" applyFill="1" applyBorder="1" applyAlignment="1" applyProtection="1">
      <alignment horizontal="center"/>
    </xf>
    <xf numFmtId="3" fontId="4" fillId="0" borderId="21" xfId="0" applyNumberFormat="1" applyFont="1" applyFill="1" applyBorder="1" applyAlignment="1" applyProtection="1">
      <alignment horizontal="center"/>
    </xf>
    <xf numFmtId="3" fontId="4" fillId="0" borderId="23" xfId="0" applyNumberFormat="1" applyFont="1" applyFill="1" applyBorder="1" applyProtection="1"/>
    <xf numFmtId="3" fontId="4" fillId="0" borderId="20" xfId="0" applyNumberFormat="1" applyFont="1" applyFill="1" applyBorder="1" applyProtection="1"/>
    <xf numFmtId="0" fontId="4" fillId="0" borderId="22" xfId="0" applyFont="1" applyFill="1" applyBorder="1" applyProtection="1"/>
    <xf numFmtId="0" fontId="4" fillId="0" borderId="23" xfId="0" applyFont="1" applyFill="1" applyBorder="1" applyProtection="1"/>
    <xf numFmtId="0" fontId="2" fillId="0" borderId="0" xfId="0" applyFont="1" applyFill="1" applyProtection="1"/>
    <xf numFmtId="0" fontId="2" fillId="0" borderId="19" xfId="0" applyFont="1" applyFill="1" applyBorder="1" applyAlignment="1" applyProtection="1">
      <alignment horizontal="centerContinuous"/>
    </xf>
    <xf numFmtId="0" fontId="2" fillId="0" borderId="20" xfId="0" applyFont="1" applyFill="1" applyBorder="1" applyProtection="1"/>
    <xf numFmtId="0" fontId="2" fillId="0" borderId="21" xfId="0" applyFont="1" applyFill="1" applyBorder="1" applyProtection="1"/>
    <xf numFmtId="0" fontId="2" fillId="0" borderId="22" xfId="0" applyFont="1" applyFill="1" applyBorder="1" applyProtection="1"/>
    <xf numFmtId="10" fontId="2" fillId="0" borderId="21" xfId="0" applyNumberFormat="1" applyFont="1" applyFill="1" applyBorder="1" applyProtection="1"/>
    <xf numFmtId="10" fontId="2" fillId="0" borderId="23" xfId="0" applyNumberFormat="1" applyFont="1" applyFill="1" applyBorder="1" applyProtection="1"/>
    <xf numFmtId="10" fontId="2" fillId="0" borderId="0" xfId="0" applyNumberFormat="1" applyFont="1" applyFill="1" applyProtection="1"/>
    <xf numFmtId="3" fontId="4" fillId="6" borderId="20" xfId="0" applyNumberFormat="1" applyFont="1" applyFill="1" applyBorder="1" applyProtection="1"/>
    <xf numFmtId="3" fontId="4" fillId="0" borderId="22" xfId="0" applyNumberFormat="1" applyFont="1" applyBorder="1" applyProtection="1"/>
    <xf numFmtId="3" fontId="4" fillId="0" borderId="23" xfId="0" applyNumberFormat="1" applyFont="1" applyBorder="1" applyProtection="1"/>
    <xf numFmtId="3" fontId="4" fillId="0" borderId="20" xfId="0" applyNumberFormat="1" applyFont="1" applyBorder="1" applyProtection="1"/>
    <xf numFmtId="3" fontId="4" fillId="0" borderId="26" xfId="0" applyNumberFormat="1" applyFont="1" applyBorder="1" applyProtection="1"/>
    <xf numFmtId="3" fontId="4" fillId="0" borderId="28" xfId="0" applyNumberFormat="1" applyFont="1" applyBorder="1" applyProtection="1"/>
    <xf numFmtId="3" fontId="4" fillId="0" borderId="27" xfId="0" applyNumberFormat="1" applyFont="1" applyBorder="1" applyProtection="1"/>
    <xf numFmtId="3" fontId="4" fillId="0" borderId="25" xfId="0" applyNumberFormat="1" applyFont="1" applyBorder="1" applyProtection="1"/>
    <xf numFmtId="10" fontId="4" fillId="0" borderId="26" xfId="0" applyNumberFormat="1" applyFont="1" applyBorder="1" applyProtection="1"/>
    <xf numFmtId="10" fontId="4" fillId="0" borderId="28" xfId="0" applyNumberFormat="1" applyFont="1" applyBorder="1" applyProtection="1"/>
    <xf numFmtId="10" fontId="4" fillId="0" borderId="27" xfId="0" applyNumberFormat="1" applyFont="1" applyBorder="1" applyProtection="1"/>
    <xf numFmtId="0" fontId="26" fillId="0" borderId="89" xfId="0" applyFont="1" applyBorder="1" applyAlignment="1" applyProtection="1">
      <alignment horizontal="right"/>
    </xf>
    <xf numFmtId="3" fontId="4" fillId="6" borderId="87" xfId="0" applyNumberFormat="1" applyFont="1" applyFill="1" applyBorder="1" applyProtection="1"/>
    <xf numFmtId="3" fontId="4" fillId="0" borderId="88" xfId="0" applyNumberFormat="1" applyFont="1" applyBorder="1" applyProtection="1"/>
    <xf numFmtId="3" fontId="4" fillId="0" borderId="40" xfId="0" applyNumberFormat="1" applyFont="1" applyBorder="1" applyProtection="1"/>
    <xf numFmtId="3" fontId="4" fillId="0" borderId="58" xfId="0" applyNumberFormat="1" applyFont="1" applyBorder="1" applyProtection="1"/>
    <xf numFmtId="3" fontId="4" fillId="0" borderId="87" xfId="0" applyNumberFormat="1" applyFont="1" applyBorder="1" applyProtection="1"/>
    <xf numFmtId="10" fontId="4" fillId="0" borderId="88" xfId="0" applyNumberFormat="1" applyFont="1" applyBorder="1" applyProtection="1"/>
    <xf numFmtId="10" fontId="4" fillId="0" borderId="40" xfId="0" applyNumberFormat="1" applyFont="1" applyBorder="1" applyProtection="1"/>
    <xf numFmtId="10" fontId="4" fillId="0" borderId="58" xfId="0" applyNumberFormat="1" applyFont="1" applyBorder="1" applyProtection="1"/>
    <xf numFmtId="0" fontId="30" fillId="7" borderId="6" xfId="0" applyFont="1" applyFill="1" applyBorder="1" applyAlignment="1" applyProtection="1">
      <alignment horizontal="right"/>
    </xf>
    <xf numFmtId="3" fontId="31" fillId="7" borderId="11" xfId="0" applyNumberFormat="1" applyFont="1" applyFill="1" applyBorder="1" applyProtection="1"/>
    <xf numFmtId="3" fontId="31" fillId="7" borderId="31" xfId="0" applyNumberFormat="1" applyFont="1" applyFill="1" applyBorder="1" applyProtection="1"/>
    <xf numFmtId="3" fontId="31" fillId="7" borderId="10" xfId="0" applyNumberFormat="1" applyFont="1" applyFill="1" applyBorder="1" applyProtection="1"/>
    <xf numFmtId="3" fontId="31" fillId="7" borderId="13" xfId="0" applyNumberFormat="1" applyFont="1" applyFill="1" applyBorder="1" applyProtection="1"/>
    <xf numFmtId="10" fontId="31" fillId="7" borderId="11" xfId="0" applyNumberFormat="1" applyFont="1" applyFill="1" applyBorder="1" applyProtection="1"/>
    <xf numFmtId="10" fontId="31" fillId="7" borderId="13" xfId="0" applyNumberFormat="1" applyFont="1" applyFill="1" applyBorder="1" applyProtection="1"/>
    <xf numFmtId="0" fontId="29" fillId="0" borderId="0" xfId="0" applyFont="1" applyAlignment="1" applyProtection="1">
      <alignment horizontal="center"/>
    </xf>
    <xf numFmtId="38" fontId="34" fillId="0" borderId="0" xfId="1" applyFont="1" applyProtection="1"/>
    <xf numFmtId="38" fontId="33" fillId="7" borderId="100" xfId="1" applyFont="1" applyFill="1" applyBorder="1" applyAlignment="1" applyProtection="1">
      <alignment horizontal="center" shrinkToFit="1"/>
    </xf>
    <xf numFmtId="3" fontId="29" fillId="7" borderId="15" xfId="1" applyNumberFormat="1" applyFont="1" applyFill="1" applyBorder="1" applyProtection="1"/>
    <xf numFmtId="3" fontId="29" fillId="7" borderId="16" xfId="1" applyNumberFormat="1" applyFont="1" applyFill="1" applyBorder="1" applyProtection="1"/>
    <xf numFmtId="3" fontId="29" fillId="7" borderId="32" xfId="1" applyNumberFormat="1" applyFont="1" applyFill="1" applyBorder="1" applyProtection="1"/>
    <xf numFmtId="3" fontId="29" fillId="7" borderId="18" xfId="1" applyNumberFormat="1" applyFont="1" applyFill="1" applyBorder="1" applyProtection="1"/>
    <xf numFmtId="10" fontId="31" fillId="7" borderId="88" xfId="0" applyNumberFormat="1" applyFont="1" applyFill="1" applyBorder="1" applyProtection="1"/>
    <xf numFmtId="10" fontId="31" fillId="7" borderId="40" xfId="0" applyNumberFormat="1" applyFont="1" applyFill="1" applyBorder="1" applyProtection="1"/>
    <xf numFmtId="10" fontId="31" fillId="7" borderId="58" xfId="0" applyNumberFormat="1" applyFont="1" applyFill="1" applyBorder="1" applyProtection="1"/>
    <xf numFmtId="38" fontId="29" fillId="0" borderId="0" xfId="1" applyFont="1" applyProtection="1"/>
    <xf numFmtId="0" fontId="33" fillId="2" borderId="6" xfId="0" applyFont="1" applyFill="1" applyBorder="1" applyAlignment="1" applyProtection="1">
      <alignment horizontal="right"/>
    </xf>
    <xf numFmtId="3" fontId="29" fillId="2" borderId="10" xfId="0" applyNumberFormat="1" applyFont="1" applyFill="1" applyBorder="1" applyProtection="1"/>
    <xf numFmtId="3" fontId="29" fillId="2" borderId="11" xfId="0" applyNumberFormat="1" applyFont="1" applyFill="1" applyBorder="1" applyProtection="1"/>
    <xf numFmtId="3" fontId="29" fillId="2" borderId="12" xfId="0" applyNumberFormat="1" applyFont="1" applyFill="1" applyBorder="1" applyProtection="1"/>
    <xf numFmtId="3" fontId="29" fillId="2" borderId="13" xfId="0" applyNumberFormat="1" applyFont="1" applyFill="1" applyBorder="1" applyProtection="1"/>
    <xf numFmtId="3" fontId="29" fillId="2" borderId="31" xfId="0" applyNumberFormat="1" applyFont="1" applyFill="1" applyBorder="1" applyProtection="1"/>
    <xf numFmtId="10" fontId="29" fillId="2" borderId="12" xfId="0" applyNumberFormat="1" applyFont="1" applyFill="1" applyBorder="1" applyProtection="1"/>
    <xf numFmtId="10" fontId="29" fillId="2" borderId="13" xfId="0" applyNumberFormat="1" applyFont="1" applyFill="1" applyBorder="1" applyProtection="1"/>
    <xf numFmtId="0" fontId="33" fillId="2" borderId="14" xfId="0" applyFont="1" applyFill="1" applyBorder="1" applyAlignment="1" applyProtection="1">
      <alignment horizontal="center"/>
    </xf>
    <xf numFmtId="3" fontId="29" fillId="2" borderId="15" xfId="0" applyNumberFormat="1" applyFont="1" applyFill="1" applyBorder="1" applyProtection="1"/>
    <xf numFmtId="3" fontId="29" fillId="2" borderId="16" xfId="0" applyNumberFormat="1" applyFont="1" applyFill="1" applyBorder="1" applyProtection="1"/>
    <xf numFmtId="3" fontId="29" fillId="2" borderId="17" xfId="0" applyNumberFormat="1" applyFont="1" applyFill="1" applyBorder="1" applyProtection="1"/>
    <xf numFmtId="3" fontId="29" fillId="2" borderId="18" xfId="0" applyNumberFormat="1" applyFont="1" applyFill="1" applyBorder="1" applyProtection="1"/>
    <xf numFmtId="3" fontId="29" fillId="2" borderId="32" xfId="0" applyNumberFormat="1" applyFont="1" applyFill="1" applyBorder="1" applyProtection="1"/>
    <xf numFmtId="10" fontId="29" fillId="2" borderId="17" xfId="0" applyNumberFormat="1" applyFont="1" applyFill="1" applyBorder="1" applyProtection="1"/>
    <xf numFmtId="10" fontId="29" fillId="2" borderId="18" xfId="0" applyNumberFormat="1" applyFont="1" applyFill="1" applyBorder="1" applyProtection="1"/>
    <xf numFmtId="0" fontId="29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6" fillId="0" borderId="0" xfId="0" applyFont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2" fillId="3" borderId="0" xfId="0" applyFont="1" applyFill="1" applyProtection="1"/>
    <xf numFmtId="176" fontId="2" fillId="3" borderId="0" xfId="0" applyNumberFormat="1" applyFont="1" applyFill="1" applyProtection="1"/>
    <xf numFmtId="176" fontId="4" fillId="3" borderId="0" xfId="0" applyNumberFormat="1" applyFont="1" applyFill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Protection="1"/>
    <xf numFmtId="0" fontId="4" fillId="0" borderId="33" xfId="0" applyFont="1" applyBorder="1" applyAlignment="1" applyProtection="1">
      <alignment horizontal="right" vertical="center"/>
    </xf>
    <xf numFmtId="0" fontId="4" fillId="4" borderId="34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right"/>
    </xf>
    <xf numFmtId="0" fontId="4" fillId="0" borderId="25" xfId="0" applyFont="1" applyBorder="1" applyAlignment="1" applyProtection="1">
      <alignment horizontal="right" vertical="center"/>
    </xf>
    <xf numFmtId="0" fontId="4" fillId="4" borderId="28" xfId="0" applyFont="1" applyFill="1" applyBorder="1" applyAlignment="1" applyProtection="1">
      <alignment horizontal="right" vertical="center"/>
    </xf>
    <xf numFmtId="0" fontId="4" fillId="4" borderId="38" xfId="0" applyFont="1" applyFill="1" applyBorder="1" applyAlignment="1" applyProtection="1">
      <alignment horizontal="right" vertical="center"/>
    </xf>
    <xf numFmtId="0" fontId="4" fillId="4" borderId="38" xfId="0" applyFont="1" applyFill="1" applyBorder="1" applyAlignment="1" applyProtection="1">
      <alignment horizontal="center" vertical="center"/>
    </xf>
    <xf numFmtId="0" fontId="4" fillId="4" borderId="39" xfId="0" applyFont="1" applyFill="1" applyBorder="1" applyAlignment="1" applyProtection="1">
      <alignment horizontal="center" vertical="center"/>
    </xf>
    <xf numFmtId="0" fontId="4" fillId="4" borderId="38" xfId="0" applyFont="1" applyFill="1" applyBorder="1" applyProtection="1"/>
    <xf numFmtId="0" fontId="4" fillId="4" borderId="40" xfId="0" applyFont="1" applyFill="1" applyBorder="1" applyAlignment="1" applyProtection="1">
      <alignment horizontal="right" vertical="center"/>
    </xf>
    <xf numFmtId="0" fontId="4" fillId="4" borderId="37" xfId="0" applyFont="1" applyFill="1" applyBorder="1" applyAlignment="1" applyProtection="1">
      <alignment horizontal="right" vertical="center"/>
    </xf>
    <xf numFmtId="0" fontId="4" fillId="0" borderId="41" xfId="0" applyFont="1" applyBorder="1" applyAlignment="1" applyProtection="1">
      <alignment horizontal="right" vertical="center"/>
    </xf>
    <xf numFmtId="0" fontId="4" fillId="0" borderId="42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right" vertical="center"/>
    </xf>
    <xf numFmtId="0" fontId="4" fillId="0" borderId="43" xfId="0" applyFont="1" applyBorder="1" applyAlignment="1" applyProtection="1">
      <alignment horizontal="right" vertical="center"/>
    </xf>
    <xf numFmtId="0" fontId="4" fillId="0" borderId="44" xfId="0" applyFont="1" applyBorder="1" applyAlignment="1" applyProtection="1">
      <alignment horizontal="right" vertical="center"/>
    </xf>
    <xf numFmtId="10" fontId="4" fillId="0" borderId="38" xfId="0" applyNumberFormat="1" applyFont="1" applyBorder="1" applyAlignment="1" applyProtection="1">
      <alignment horizontal="right" vertical="center"/>
    </xf>
    <xf numFmtId="10" fontId="4" fillId="0" borderId="45" xfId="0" applyNumberFormat="1" applyFont="1" applyBorder="1" applyAlignment="1" applyProtection="1">
      <alignment horizontal="right" vertical="center"/>
    </xf>
    <xf numFmtId="3" fontId="1" fillId="0" borderId="0" xfId="0" applyNumberFormat="1" applyFont="1" applyProtection="1"/>
    <xf numFmtId="0" fontId="4" fillId="0" borderId="26" xfId="0" applyFont="1" applyBorder="1" applyAlignment="1" applyProtection="1">
      <alignment horizontal="right" vertical="center"/>
    </xf>
    <xf numFmtId="0" fontId="4" fillId="0" borderId="28" xfId="0" applyFont="1" applyBorder="1" applyAlignment="1" applyProtection="1">
      <alignment horizontal="right" vertical="center"/>
    </xf>
    <xf numFmtId="0" fontId="4" fillId="0" borderId="46" xfId="0" applyFont="1" applyBorder="1" applyAlignment="1" applyProtection="1">
      <alignment horizontal="right" vertical="center"/>
    </xf>
    <xf numFmtId="0" fontId="4" fillId="0" borderId="47" xfId="0" applyFont="1" applyBorder="1" applyAlignment="1" applyProtection="1">
      <alignment horizontal="right" vertical="center"/>
    </xf>
    <xf numFmtId="10" fontId="4" fillId="0" borderId="26" xfId="0" applyNumberFormat="1" applyFont="1" applyBorder="1" applyAlignment="1" applyProtection="1">
      <alignment horizontal="right" vertical="center"/>
    </xf>
    <xf numFmtId="10" fontId="4" fillId="0" borderId="28" xfId="0" applyNumberFormat="1" applyFont="1" applyBorder="1" applyAlignment="1" applyProtection="1">
      <alignment horizontal="right" vertical="center"/>
    </xf>
    <xf numFmtId="10" fontId="4" fillId="0" borderId="27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4" fillId="0" borderId="48" xfId="0" applyFont="1" applyBorder="1" applyAlignment="1" applyProtection="1">
      <alignment horizontal="right" vertical="center"/>
    </xf>
    <xf numFmtId="10" fontId="4" fillId="0" borderId="42" xfId="0" applyNumberFormat="1" applyFont="1" applyBorder="1" applyAlignment="1" applyProtection="1">
      <alignment horizontal="right" vertical="center"/>
    </xf>
    <xf numFmtId="10" fontId="4" fillId="0" borderId="49" xfId="0" applyNumberFormat="1" applyFont="1" applyBorder="1" applyAlignment="1" applyProtection="1">
      <alignment horizontal="right" vertical="center"/>
    </xf>
    <xf numFmtId="3" fontId="8" fillId="0" borderId="0" xfId="0" applyNumberFormat="1" applyFont="1" applyProtection="1"/>
    <xf numFmtId="0" fontId="9" fillId="0" borderId="0" xfId="0" applyFont="1" applyProtection="1"/>
    <xf numFmtId="0" fontId="2" fillId="5" borderId="0" xfId="0" applyFont="1" applyFill="1" applyProtection="1"/>
    <xf numFmtId="0" fontId="36" fillId="0" borderId="0" xfId="0" applyFont="1" applyProtection="1"/>
    <xf numFmtId="0" fontId="4" fillId="0" borderId="50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52" xfId="0" applyFont="1" applyBorder="1" applyAlignment="1" applyProtection="1">
      <alignment horizontal="right" vertical="center"/>
    </xf>
    <xf numFmtId="0" fontId="4" fillId="0" borderId="53" xfId="0" applyFont="1" applyBorder="1" applyAlignment="1" applyProtection="1">
      <alignment horizontal="right" vertical="center"/>
    </xf>
    <xf numFmtId="0" fontId="4" fillId="0" borderId="54" xfId="0" applyFont="1" applyBorder="1" applyAlignment="1" applyProtection="1">
      <alignment horizontal="right" vertical="center"/>
    </xf>
    <xf numFmtId="10" fontId="4" fillId="0" borderId="51" xfId="0" applyNumberFormat="1" applyFont="1" applyBorder="1" applyAlignment="1" applyProtection="1">
      <alignment horizontal="right" vertical="center"/>
    </xf>
    <xf numFmtId="10" fontId="4" fillId="0" borderId="52" xfId="0" applyNumberFormat="1" applyFont="1" applyBorder="1" applyAlignment="1" applyProtection="1">
      <alignment horizontal="right" vertical="center"/>
    </xf>
    <xf numFmtId="10" fontId="4" fillId="0" borderId="55" xfId="0" applyNumberFormat="1" applyFont="1" applyBorder="1" applyAlignment="1" applyProtection="1">
      <alignment horizontal="right" vertical="center"/>
    </xf>
    <xf numFmtId="0" fontId="11" fillId="4" borderId="49" xfId="0" applyFont="1" applyFill="1" applyBorder="1" applyAlignment="1" applyProtection="1">
      <alignment horizontal="right"/>
    </xf>
    <xf numFmtId="0" fontId="2" fillId="0" borderId="34" xfId="0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right" vertical="center"/>
    </xf>
    <xf numFmtId="0" fontId="2" fillId="0" borderId="30" xfId="0" applyFont="1" applyBorder="1" applyAlignment="1" applyProtection="1">
      <alignment horizontal="right" vertical="center"/>
    </xf>
    <xf numFmtId="0" fontId="2" fillId="0" borderId="56" xfId="0" applyFont="1" applyBorder="1" applyAlignment="1" applyProtection="1">
      <alignment horizontal="right" vertical="center"/>
    </xf>
    <xf numFmtId="10" fontId="2" fillId="0" borderId="34" xfId="0" applyNumberFormat="1" applyFont="1" applyBorder="1" applyAlignment="1" applyProtection="1">
      <alignment horizontal="right" vertical="center"/>
    </xf>
    <xf numFmtId="10" fontId="2" fillId="0" borderId="35" xfId="0" applyNumberFormat="1" applyFont="1" applyBorder="1" applyAlignment="1" applyProtection="1">
      <alignment horizontal="right" vertical="center"/>
    </xf>
    <xf numFmtId="10" fontId="2" fillId="0" borderId="57" xfId="0" applyNumberFormat="1" applyFont="1" applyBorder="1" applyAlignment="1" applyProtection="1">
      <alignment horizontal="right" vertical="center"/>
    </xf>
    <xf numFmtId="0" fontId="2" fillId="4" borderId="58" xfId="0" applyFont="1" applyFill="1" applyBorder="1" applyAlignment="1" applyProtection="1">
      <alignment horizontal="right"/>
    </xf>
    <xf numFmtId="0" fontId="2" fillId="0" borderId="26" xfId="0" applyFont="1" applyBorder="1" applyAlignment="1" applyProtection="1">
      <alignment horizontal="right" vertical="center"/>
    </xf>
    <xf numFmtId="0" fontId="2" fillId="0" borderId="28" xfId="0" applyFont="1" applyBorder="1" applyAlignment="1" applyProtection="1">
      <alignment horizontal="right" vertical="center"/>
    </xf>
    <xf numFmtId="0" fontId="2" fillId="0" borderId="59" xfId="0" applyFont="1" applyBorder="1" applyAlignment="1" applyProtection="1">
      <alignment horizontal="right" vertical="center"/>
    </xf>
    <xf numFmtId="0" fontId="2" fillId="0" borderId="47" xfId="0" applyFont="1" applyBorder="1" applyAlignment="1" applyProtection="1">
      <alignment horizontal="right" vertical="center"/>
    </xf>
    <xf numFmtId="10" fontId="2" fillId="0" borderId="26" xfId="0" applyNumberFormat="1" applyFont="1" applyBorder="1" applyAlignment="1" applyProtection="1">
      <alignment horizontal="right" vertical="center"/>
    </xf>
    <xf numFmtId="10" fontId="2" fillId="0" borderId="28" xfId="0" applyNumberFormat="1" applyFont="1" applyBorder="1" applyAlignment="1" applyProtection="1">
      <alignment horizontal="right" vertical="center"/>
    </xf>
    <xf numFmtId="10" fontId="2" fillId="0" borderId="27" xfId="0" applyNumberFormat="1" applyFont="1" applyBorder="1" applyAlignment="1" applyProtection="1">
      <alignment horizontal="right" vertical="center"/>
    </xf>
    <xf numFmtId="0" fontId="11" fillId="4" borderId="58" xfId="0" applyFont="1" applyFill="1" applyBorder="1" applyAlignment="1" applyProtection="1">
      <alignment horizontal="right"/>
    </xf>
    <xf numFmtId="0" fontId="2" fillId="0" borderId="42" xfId="0" applyFont="1" applyBorder="1" applyAlignment="1" applyProtection="1">
      <alignment horizontal="right" vertical="center"/>
    </xf>
    <xf numFmtId="0" fontId="2" fillId="0" borderId="38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44" xfId="0" applyFont="1" applyBorder="1" applyAlignment="1" applyProtection="1">
      <alignment horizontal="right" vertical="center"/>
    </xf>
    <xf numFmtId="10" fontId="2" fillId="0" borderId="42" xfId="0" applyNumberFormat="1" applyFont="1" applyBorder="1" applyAlignment="1" applyProtection="1">
      <alignment horizontal="right" vertical="center"/>
    </xf>
    <xf numFmtId="10" fontId="2" fillId="0" borderId="38" xfId="0" applyNumberFormat="1" applyFont="1" applyBorder="1" applyAlignment="1" applyProtection="1">
      <alignment horizontal="right" vertical="center"/>
    </xf>
    <xf numFmtId="10" fontId="2" fillId="0" borderId="49" xfId="0" applyNumberFormat="1" applyFont="1" applyBorder="1" applyAlignment="1" applyProtection="1">
      <alignment horizontal="right" vertical="center"/>
    </xf>
    <xf numFmtId="0" fontId="2" fillId="4" borderId="27" xfId="0" applyFont="1" applyFill="1" applyBorder="1" applyAlignment="1" applyProtection="1">
      <alignment horizontal="right"/>
    </xf>
    <xf numFmtId="0" fontId="2" fillId="0" borderId="51" xfId="0" applyFont="1" applyBorder="1" applyAlignment="1" applyProtection="1">
      <alignment horizontal="right" vertical="center"/>
    </xf>
    <xf numFmtId="0" fontId="2" fillId="0" borderId="52" xfId="0" applyFont="1" applyBorder="1" applyAlignment="1" applyProtection="1">
      <alignment horizontal="right" vertical="center"/>
    </xf>
    <xf numFmtId="0" fontId="2" fillId="0" borderId="60" xfId="0" applyFont="1" applyBorder="1" applyAlignment="1" applyProtection="1">
      <alignment horizontal="right" vertical="center"/>
    </xf>
    <xf numFmtId="0" fontId="2" fillId="0" borderId="61" xfId="0" applyFont="1" applyBorder="1" applyAlignment="1" applyProtection="1">
      <alignment horizontal="right" vertical="center"/>
    </xf>
    <xf numFmtId="10" fontId="2" fillId="0" borderId="51" xfId="0" applyNumberFormat="1" applyFont="1" applyBorder="1" applyAlignment="1" applyProtection="1">
      <alignment horizontal="right" vertical="center"/>
    </xf>
    <xf numFmtId="10" fontId="2" fillId="0" borderId="52" xfId="0" applyNumberFormat="1" applyFont="1" applyBorder="1" applyAlignment="1" applyProtection="1">
      <alignment horizontal="right" vertical="center"/>
    </xf>
    <xf numFmtId="10" fontId="2" fillId="0" borderId="55" xfId="0" applyNumberFormat="1" applyFont="1" applyBorder="1" applyAlignment="1" applyProtection="1">
      <alignment horizontal="right" vertical="center"/>
    </xf>
    <xf numFmtId="0" fontId="11" fillId="0" borderId="0" xfId="0" applyFont="1" applyProtection="1"/>
    <xf numFmtId="3" fontId="3" fillId="6" borderId="20" xfId="0" applyNumberFormat="1" applyFont="1" applyFill="1" applyBorder="1" applyProtection="1">
      <protection locked="0"/>
    </xf>
    <xf numFmtId="3" fontId="3" fillId="0" borderId="21" xfId="0" applyNumberFormat="1" applyFont="1" applyBorder="1" applyProtection="1">
      <protection locked="0"/>
    </xf>
    <xf numFmtId="3" fontId="3" fillId="0" borderId="23" xfId="0" applyNumberFormat="1" applyFont="1" applyBorder="1" applyProtection="1">
      <protection locked="0"/>
    </xf>
    <xf numFmtId="3" fontId="3" fillId="0" borderId="22" xfId="0" applyNumberFormat="1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4" fillId="0" borderId="83" xfId="0" applyNumberFormat="1" applyFont="1" applyBorder="1" applyAlignment="1" applyProtection="1">
      <alignment horizontal="right" vertical="center" wrapText="1"/>
      <protection locked="0"/>
    </xf>
    <xf numFmtId="3" fontId="24" fillId="0" borderId="85" xfId="0" applyNumberFormat="1" applyFont="1" applyBorder="1" applyAlignment="1" applyProtection="1">
      <alignment horizontal="right" vertical="center" wrapText="1"/>
      <protection locked="0"/>
    </xf>
    <xf numFmtId="3" fontId="3" fillId="0" borderId="25" xfId="0" applyNumberFormat="1" applyFont="1" applyBorder="1" applyProtection="1">
      <protection locked="0"/>
    </xf>
    <xf numFmtId="3" fontId="3" fillId="0" borderId="86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3" fontId="24" fillId="0" borderId="94" xfId="0" applyNumberFormat="1" applyFont="1" applyBorder="1" applyAlignment="1" applyProtection="1">
      <alignment horizontal="right" vertical="center" wrapText="1"/>
      <protection locked="0"/>
    </xf>
    <xf numFmtId="3" fontId="24" fillId="0" borderId="93" xfId="0" applyNumberFormat="1" applyFont="1" applyBorder="1" applyAlignment="1" applyProtection="1">
      <alignment horizontal="right" vertical="center" wrapText="1"/>
      <protection locked="0"/>
    </xf>
    <xf numFmtId="3" fontId="24" fillId="0" borderId="21" xfId="0" applyNumberFormat="1" applyFont="1" applyBorder="1" applyAlignment="1" applyProtection="1">
      <alignment horizontal="right" vertical="center" wrapText="1"/>
      <protection locked="0"/>
    </xf>
    <xf numFmtId="3" fontId="24" fillId="0" borderId="0" xfId="0" applyNumberFormat="1" applyFont="1" applyBorder="1" applyAlignment="1" applyProtection="1">
      <alignment horizontal="right" wrapText="1"/>
      <protection locked="0"/>
    </xf>
    <xf numFmtId="3" fontId="24" fillId="0" borderId="21" xfId="0" applyNumberFormat="1" applyFont="1" applyBorder="1" applyAlignment="1" applyProtection="1">
      <alignment horizontal="right" wrapText="1"/>
      <protection locked="0"/>
    </xf>
    <xf numFmtId="3" fontId="3" fillId="0" borderId="102" xfId="0" applyNumberFormat="1" applyFont="1" applyBorder="1" applyProtection="1">
      <protection locked="0"/>
    </xf>
    <xf numFmtId="3" fontId="4" fillId="0" borderId="102" xfId="0" applyNumberFormat="1" applyFont="1" applyFill="1" applyBorder="1" applyProtection="1"/>
    <xf numFmtId="3" fontId="24" fillId="0" borderId="90" xfId="0" applyNumberFormat="1" applyFont="1" applyFill="1" applyBorder="1" applyAlignment="1" applyProtection="1">
      <alignment horizontal="right"/>
      <protection locked="0"/>
    </xf>
    <xf numFmtId="3" fontId="24" fillId="0" borderId="21" xfId="0" applyNumberFormat="1" applyFont="1" applyFill="1" applyBorder="1" applyAlignment="1" applyProtection="1">
      <protection locked="0"/>
    </xf>
    <xf numFmtId="0" fontId="26" fillId="9" borderId="24" xfId="0" applyFont="1" applyFill="1" applyBorder="1" applyAlignment="1" applyProtection="1">
      <alignment horizontal="right"/>
    </xf>
    <xf numFmtId="3" fontId="2" fillId="0" borderId="21" xfId="0" applyNumberFormat="1" applyFont="1" applyBorder="1" applyProtection="1">
      <protection locked="0"/>
    </xf>
    <xf numFmtId="3" fontId="3" fillId="0" borderId="21" xfId="0" applyNumberFormat="1" applyFont="1" applyFill="1" applyBorder="1" applyProtection="1"/>
    <xf numFmtId="0" fontId="26" fillId="0" borderId="17" xfId="0" applyFont="1" applyBorder="1" applyAlignment="1" applyProtection="1">
      <alignment horizontal="center" shrinkToFit="1"/>
    </xf>
    <xf numFmtId="0" fontId="30" fillId="0" borderId="92" xfId="0" applyFont="1" applyBorder="1" applyAlignment="1" applyProtection="1">
      <alignment horizontal="right"/>
    </xf>
    <xf numFmtId="3" fontId="31" fillId="6" borderId="103" xfId="0" applyNumberFormat="1" applyFont="1" applyFill="1" applyBorder="1" applyProtection="1"/>
    <xf numFmtId="3" fontId="31" fillId="6" borderId="104" xfId="0" applyNumberFormat="1" applyFont="1" applyFill="1" applyBorder="1" applyProtection="1"/>
    <xf numFmtId="3" fontId="24" fillId="0" borderId="0" xfId="0" applyNumberFormat="1" applyFont="1" applyFill="1" applyBorder="1" applyAlignment="1" applyProtection="1">
      <alignment horizontal="right" wrapText="1"/>
      <protection locked="0"/>
    </xf>
    <xf numFmtId="3" fontId="24" fillId="0" borderId="2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176" fontId="2" fillId="0" borderId="0" xfId="0" applyNumberFormat="1" applyFont="1" applyFill="1" applyProtection="1"/>
    <xf numFmtId="176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 applyProtection="1"/>
    <xf numFmtId="0" fontId="4" fillId="0" borderId="33" xfId="0" applyFont="1" applyFill="1" applyBorder="1" applyAlignment="1" applyProtection="1">
      <alignment horizontal="right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right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38" xfId="0" applyFont="1" applyFill="1" applyBorder="1" applyProtection="1"/>
    <xf numFmtId="0" fontId="4" fillId="0" borderId="40" xfId="0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right" vertical="center"/>
    </xf>
    <xf numFmtId="0" fontId="4" fillId="0" borderId="41" xfId="0" applyFont="1" applyFill="1" applyBorder="1" applyAlignment="1" applyProtection="1">
      <alignment horizontal="right" vertical="center"/>
    </xf>
    <xf numFmtId="0" fontId="4" fillId="0" borderId="42" xfId="0" applyFont="1" applyFill="1" applyBorder="1" applyAlignment="1" applyProtection="1">
      <alignment horizontal="right" vertical="center"/>
    </xf>
    <xf numFmtId="0" fontId="4" fillId="0" borderId="43" xfId="0" applyFont="1" applyFill="1" applyBorder="1" applyAlignment="1" applyProtection="1">
      <alignment horizontal="right" vertical="center"/>
    </xf>
    <xf numFmtId="0" fontId="4" fillId="0" borderId="44" xfId="0" applyFont="1" applyFill="1" applyBorder="1" applyAlignment="1" applyProtection="1">
      <alignment horizontal="right" vertical="center"/>
    </xf>
    <xf numFmtId="10" fontId="4" fillId="0" borderId="38" xfId="0" applyNumberFormat="1" applyFont="1" applyFill="1" applyBorder="1" applyAlignment="1" applyProtection="1">
      <alignment horizontal="right" vertical="center"/>
    </xf>
    <xf numFmtId="10" fontId="4" fillId="0" borderId="45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Protection="1"/>
    <xf numFmtId="0" fontId="4" fillId="0" borderId="26" xfId="0" applyFont="1" applyFill="1" applyBorder="1" applyAlignment="1" applyProtection="1">
      <alignment horizontal="right" vertical="center"/>
    </xf>
    <xf numFmtId="0" fontId="4" fillId="0" borderId="46" xfId="0" applyFont="1" applyFill="1" applyBorder="1" applyAlignment="1" applyProtection="1">
      <alignment horizontal="right" vertical="center"/>
    </xf>
    <xf numFmtId="0" fontId="4" fillId="0" borderId="47" xfId="0" applyFont="1" applyFill="1" applyBorder="1" applyAlignment="1" applyProtection="1">
      <alignment horizontal="right" vertical="center"/>
    </xf>
    <xf numFmtId="10" fontId="4" fillId="0" borderId="26" xfId="0" applyNumberFormat="1" applyFont="1" applyFill="1" applyBorder="1" applyAlignment="1" applyProtection="1">
      <alignment horizontal="right" vertical="center"/>
    </xf>
    <xf numFmtId="10" fontId="4" fillId="0" borderId="28" xfId="0" applyNumberFormat="1" applyFont="1" applyFill="1" applyBorder="1" applyAlignment="1" applyProtection="1">
      <alignment horizontal="right" vertical="center"/>
    </xf>
    <xf numFmtId="10" fontId="4" fillId="0" borderId="27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/>
    </xf>
    <xf numFmtId="0" fontId="4" fillId="0" borderId="48" xfId="0" applyFont="1" applyFill="1" applyBorder="1" applyAlignment="1" applyProtection="1">
      <alignment horizontal="right" vertical="center"/>
    </xf>
    <xf numFmtId="10" fontId="4" fillId="0" borderId="42" xfId="0" applyNumberFormat="1" applyFont="1" applyFill="1" applyBorder="1" applyAlignment="1" applyProtection="1">
      <alignment horizontal="right" vertical="center"/>
    </xf>
    <xf numFmtId="10" fontId="4" fillId="0" borderId="49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Protection="1"/>
    <xf numFmtId="0" fontId="9" fillId="0" borderId="0" xfId="0" applyFont="1" applyFill="1" applyProtection="1"/>
    <xf numFmtId="0" fontId="36" fillId="0" borderId="0" xfId="0" applyFont="1" applyFill="1" applyProtection="1"/>
    <xf numFmtId="0" fontId="4" fillId="0" borderId="50" xfId="0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 applyProtection="1">
      <alignment horizontal="right" vertical="center"/>
    </xf>
    <xf numFmtId="0" fontId="4" fillId="0" borderId="52" xfId="0" applyFont="1" applyFill="1" applyBorder="1" applyAlignment="1" applyProtection="1">
      <alignment horizontal="right" vertical="center"/>
    </xf>
    <xf numFmtId="0" fontId="4" fillId="0" borderId="53" xfId="0" applyFont="1" applyFill="1" applyBorder="1" applyAlignment="1" applyProtection="1">
      <alignment horizontal="right" vertical="center"/>
    </xf>
    <xf numFmtId="0" fontId="4" fillId="0" borderId="54" xfId="0" applyFont="1" applyFill="1" applyBorder="1" applyAlignment="1" applyProtection="1">
      <alignment horizontal="right" vertical="center"/>
    </xf>
    <xf numFmtId="10" fontId="4" fillId="0" borderId="51" xfId="0" applyNumberFormat="1" applyFont="1" applyFill="1" applyBorder="1" applyAlignment="1" applyProtection="1">
      <alignment horizontal="right" vertical="center"/>
    </xf>
    <xf numFmtId="10" fontId="4" fillId="0" borderId="52" xfId="0" applyNumberFormat="1" applyFont="1" applyFill="1" applyBorder="1" applyAlignment="1" applyProtection="1">
      <alignment horizontal="right" vertical="center"/>
    </xf>
    <xf numFmtId="10" fontId="4" fillId="0" borderId="55" xfId="0" applyNumberFormat="1" applyFont="1" applyFill="1" applyBorder="1" applyAlignment="1" applyProtection="1">
      <alignment horizontal="right" vertical="center"/>
    </xf>
    <xf numFmtId="0" fontId="11" fillId="0" borderId="49" xfId="0" applyFont="1" applyFill="1" applyBorder="1" applyAlignment="1" applyProtection="1">
      <alignment horizontal="right"/>
    </xf>
    <xf numFmtId="0" fontId="2" fillId="0" borderId="34" xfId="0" applyFont="1" applyFill="1" applyBorder="1" applyAlignment="1" applyProtection="1">
      <alignment horizontal="right" vertical="center"/>
    </xf>
    <xf numFmtId="0" fontId="2" fillId="0" borderId="35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2" fillId="0" borderId="56" xfId="0" applyFont="1" applyFill="1" applyBorder="1" applyAlignment="1" applyProtection="1">
      <alignment horizontal="right" vertical="center"/>
    </xf>
    <xf numFmtId="10" fontId="2" fillId="0" borderId="34" xfId="0" applyNumberFormat="1" applyFont="1" applyFill="1" applyBorder="1" applyAlignment="1" applyProtection="1">
      <alignment horizontal="right" vertical="center"/>
    </xf>
    <xf numFmtId="10" fontId="2" fillId="0" borderId="35" xfId="0" applyNumberFormat="1" applyFont="1" applyFill="1" applyBorder="1" applyAlignment="1" applyProtection="1">
      <alignment horizontal="right" vertical="center"/>
    </xf>
    <xf numFmtId="10" fontId="2" fillId="0" borderId="57" xfId="0" applyNumberFormat="1" applyFont="1" applyFill="1" applyBorder="1" applyAlignment="1" applyProtection="1">
      <alignment horizontal="right" vertical="center"/>
    </xf>
    <xf numFmtId="0" fontId="2" fillId="0" borderId="58" xfId="0" applyFont="1" applyFill="1" applyBorder="1" applyAlignment="1" applyProtection="1">
      <alignment horizontal="right"/>
    </xf>
    <xf numFmtId="0" fontId="2" fillId="0" borderId="26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0" borderId="59" xfId="0" applyFont="1" applyFill="1" applyBorder="1" applyAlignment="1" applyProtection="1">
      <alignment horizontal="right" vertical="center"/>
    </xf>
    <xf numFmtId="0" fontId="2" fillId="0" borderId="47" xfId="0" applyFont="1" applyFill="1" applyBorder="1" applyAlignment="1" applyProtection="1">
      <alignment horizontal="right" vertical="center"/>
    </xf>
    <xf numFmtId="10" fontId="2" fillId="0" borderId="26" xfId="0" applyNumberFormat="1" applyFont="1" applyFill="1" applyBorder="1" applyAlignment="1" applyProtection="1">
      <alignment horizontal="right" vertical="center"/>
    </xf>
    <xf numFmtId="10" fontId="2" fillId="0" borderId="28" xfId="0" applyNumberFormat="1" applyFont="1" applyFill="1" applyBorder="1" applyAlignment="1" applyProtection="1">
      <alignment horizontal="right" vertical="center"/>
    </xf>
    <xf numFmtId="10" fontId="2" fillId="0" borderId="27" xfId="0" applyNumberFormat="1" applyFont="1" applyFill="1" applyBorder="1" applyAlignment="1" applyProtection="1">
      <alignment horizontal="right" vertical="center"/>
    </xf>
    <xf numFmtId="0" fontId="11" fillId="0" borderId="58" xfId="0" applyFont="1" applyFill="1" applyBorder="1" applyAlignment="1" applyProtection="1">
      <alignment horizontal="right"/>
    </xf>
    <xf numFmtId="0" fontId="2" fillId="0" borderId="42" xfId="0" applyFont="1" applyFill="1" applyBorder="1" applyAlignment="1" applyProtection="1">
      <alignment horizontal="right" vertical="center"/>
    </xf>
    <xf numFmtId="0" fontId="2" fillId="0" borderId="38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44" xfId="0" applyFont="1" applyFill="1" applyBorder="1" applyAlignment="1" applyProtection="1">
      <alignment horizontal="right" vertical="center"/>
    </xf>
    <xf numFmtId="10" fontId="2" fillId="0" borderId="42" xfId="0" applyNumberFormat="1" applyFont="1" applyFill="1" applyBorder="1" applyAlignment="1" applyProtection="1">
      <alignment horizontal="right" vertical="center"/>
    </xf>
    <xf numFmtId="10" fontId="2" fillId="0" borderId="38" xfId="0" applyNumberFormat="1" applyFont="1" applyFill="1" applyBorder="1" applyAlignment="1" applyProtection="1">
      <alignment horizontal="right" vertical="center"/>
    </xf>
    <xf numFmtId="10" fontId="2" fillId="0" borderId="49" xfId="0" applyNumberFormat="1" applyFont="1" applyFill="1" applyBorder="1" applyAlignment="1" applyProtection="1">
      <alignment horizontal="right" vertical="center"/>
    </xf>
    <xf numFmtId="0" fontId="2" fillId="0" borderId="27" xfId="0" applyFont="1" applyFill="1" applyBorder="1" applyAlignment="1" applyProtection="1">
      <alignment horizontal="right"/>
    </xf>
    <xf numFmtId="0" fontId="2" fillId="0" borderId="51" xfId="0" applyFont="1" applyFill="1" applyBorder="1" applyAlignment="1" applyProtection="1">
      <alignment horizontal="right" vertical="center"/>
    </xf>
    <xf numFmtId="0" fontId="2" fillId="0" borderId="52" xfId="0" applyFont="1" applyFill="1" applyBorder="1" applyAlignment="1" applyProtection="1">
      <alignment horizontal="right" vertical="center"/>
    </xf>
    <xf numFmtId="0" fontId="2" fillId="0" borderId="60" xfId="0" applyFont="1" applyFill="1" applyBorder="1" applyAlignment="1" applyProtection="1">
      <alignment horizontal="right" vertical="center"/>
    </xf>
    <xf numFmtId="0" fontId="2" fillId="0" borderId="61" xfId="0" applyFont="1" applyFill="1" applyBorder="1" applyAlignment="1" applyProtection="1">
      <alignment horizontal="right" vertical="center"/>
    </xf>
    <xf numFmtId="10" fontId="2" fillId="0" borderId="51" xfId="0" applyNumberFormat="1" applyFont="1" applyFill="1" applyBorder="1" applyAlignment="1" applyProtection="1">
      <alignment horizontal="right" vertical="center"/>
    </xf>
    <xf numFmtId="10" fontId="2" fillId="0" borderId="52" xfId="0" applyNumberFormat="1" applyFont="1" applyFill="1" applyBorder="1" applyAlignment="1" applyProtection="1">
      <alignment horizontal="right" vertical="center"/>
    </xf>
    <xf numFmtId="10" fontId="2" fillId="0" borderId="55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Protection="1"/>
    <xf numFmtId="10" fontId="2" fillId="0" borderId="0" xfId="0" applyNumberFormat="1" applyFont="1" applyFill="1" applyBorder="1" applyProtection="1"/>
    <xf numFmtId="0" fontId="29" fillId="0" borderId="0" xfId="0" applyFont="1" applyFill="1" applyBorder="1" applyAlignment="1" applyProtection="1">
      <alignment horizontal="centerContinuous"/>
    </xf>
    <xf numFmtId="0" fontId="29" fillId="0" borderId="0" xfId="0" applyFont="1" applyFill="1" applyBorder="1" applyProtection="1"/>
    <xf numFmtId="10" fontId="29" fillId="0" borderId="0" xfId="0" applyNumberFormat="1" applyFont="1" applyFill="1" applyBorder="1" applyProtection="1"/>
    <xf numFmtId="3" fontId="41" fillId="0" borderId="23" xfId="0" applyNumberFormat="1" applyFont="1" applyBorder="1"/>
    <xf numFmtId="3" fontId="2" fillId="0" borderId="0" xfId="0" applyNumberFormat="1" applyFont="1" applyFill="1" applyProtection="1"/>
    <xf numFmtId="0" fontId="42" fillId="0" borderId="17" xfId="0" applyFont="1" applyBorder="1" applyAlignment="1" applyProtection="1">
      <alignment horizontal="center" wrapText="1" shrinkToFit="1"/>
    </xf>
    <xf numFmtId="0" fontId="5" fillId="0" borderId="17" xfId="0" applyFont="1" applyBorder="1" applyAlignment="1" applyProtection="1">
      <alignment horizontal="center" wrapText="1" shrinkToFit="1"/>
    </xf>
    <xf numFmtId="3" fontId="41" fillId="6" borderId="20" xfId="0" applyNumberFormat="1" applyFont="1" applyFill="1" applyBorder="1"/>
    <xf numFmtId="3" fontId="41" fillId="0" borderId="21" xfId="0" applyNumberFormat="1" applyFont="1" applyBorder="1"/>
    <xf numFmtId="0" fontId="0" fillId="0" borderId="0" xfId="0" applyFont="1" applyProtection="1"/>
    <xf numFmtId="0" fontId="0" fillId="10" borderId="0" xfId="0" applyFont="1" applyFill="1" applyProtection="1"/>
    <xf numFmtId="0" fontId="35" fillId="10" borderId="0" xfId="0" applyFont="1" applyFill="1" applyAlignment="1" applyProtection="1">
      <alignment horizontal="center"/>
    </xf>
    <xf numFmtId="0" fontId="1" fillId="10" borderId="0" xfId="0" applyFont="1" applyFill="1" applyProtection="1"/>
    <xf numFmtId="0" fontId="35" fillId="10" borderId="0" xfId="0" applyFont="1" applyFill="1" applyProtection="1"/>
    <xf numFmtId="3" fontId="27" fillId="0" borderId="23" xfId="0" applyNumberFormat="1" applyFont="1" applyFill="1" applyBorder="1" applyProtection="1">
      <protection locked="0"/>
    </xf>
    <xf numFmtId="3" fontId="24" fillId="0" borderId="83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85" xfId="0" applyNumberFormat="1" applyFont="1" applyFill="1" applyBorder="1" applyAlignment="1" applyProtection="1">
      <alignment horizontal="right" vertical="center" wrapText="1"/>
      <protection locked="0"/>
    </xf>
    <xf numFmtId="3" fontId="44" fillId="6" borderId="20" xfId="0" applyNumberFormat="1" applyFont="1" applyFill="1" applyBorder="1" applyProtection="1">
      <protection locked="0"/>
    </xf>
    <xf numFmtId="3" fontId="44" fillId="0" borderId="21" xfId="0" applyNumberFormat="1" applyFont="1" applyBorder="1" applyProtection="1"/>
    <xf numFmtId="3" fontId="44" fillId="0" borderId="21" xfId="0" applyNumberFormat="1" applyFont="1" applyBorder="1" applyProtection="1">
      <protection locked="0"/>
    </xf>
    <xf numFmtId="3" fontId="44" fillId="0" borderId="102" xfId="0" applyNumberFormat="1" applyFont="1" applyBorder="1" applyProtection="1">
      <protection locked="0"/>
    </xf>
    <xf numFmtId="3" fontId="44" fillId="6" borderId="25" xfId="0" applyNumberFormat="1" applyFont="1" applyFill="1" applyBorder="1" applyProtection="1"/>
    <xf numFmtId="3" fontId="44" fillId="0" borderId="22" xfId="0" applyNumberFormat="1" applyFont="1" applyBorder="1" applyProtection="1">
      <protection locked="0"/>
    </xf>
    <xf numFmtId="3" fontId="44" fillId="0" borderId="23" xfId="0" applyNumberFormat="1" applyFont="1" applyBorder="1" applyProtection="1">
      <protection locked="0"/>
    </xf>
    <xf numFmtId="3" fontId="44" fillId="0" borderId="90" xfId="0" applyNumberFormat="1" applyFont="1" applyFill="1" applyBorder="1" applyAlignment="1" applyProtection="1">
      <alignment horizontal="right"/>
      <protection locked="0"/>
    </xf>
    <xf numFmtId="3" fontId="44" fillId="0" borderId="21" xfId="0" applyNumberFormat="1" applyFont="1" applyFill="1" applyBorder="1" applyAlignment="1" applyProtection="1">
      <protection locked="0"/>
    </xf>
    <xf numFmtId="10" fontId="44" fillId="0" borderId="21" xfId="0" applyNumberFormat="1" applyFont="1" applyBorder="1" applyProtection="1"/>
    <xf numFmtId="10" fontId="44" fillId="0" borderId="22" xfId="0" applyNumberFormat="1" applyFont="1" applyBorder="1" applyProtection="1"/>
    <xf numFmtId="10" fontId="44" fillId="0" borderId="23" xfId="0" applyNumberFormat="1" applyFont="1" applyBorder="1" applyProtection="1"/>
    <xf numFmtId="3" fontId="24" fillId="0" borderId="83" xfId="0" applyNumberFormat="1" applyFont="1" applyFill="1" applyBorder="1" applyAlignment="1" applyProtection="1">
      <alignment horizontal="right" wrapText="1"/>
      <protection locked="0"/>
    </xf>
    <xf numFmtId="3" fontId="24" fillId="0" borderId="85" xfId="0" applyNumberFormat="1" applyFont="1" applyFill="1" applyBorder="1" applyAlignment="1" applyProtection="1">
      <alignment horizontal="right" wrapText="1"/>
      <protection locked="0"/>
    </xf>
    <xf numFmtId="3" fontId="3" fillId="6" borderId="22" xfId="0" applyNumberFormat="1" applyFont="1" applyFill="1" applyBorder="1" applyProtection="1">
      <protection locked="0"/>
    </xf>
    <xf numFmtId="3" fontId="31" fillId="6" borderId="106" xfId="0" applyNumberFormat="1" applyFont="1" applyFill="1" applyBorder="1" applyProtection="1"/>
    <xf numFmtId="0" fontId="26" fillId="0" borderId="105" xfId="0" applyFont="1" applyBorder="1" applyAlignment="1" applyProtection="1">
      <alignment horizontal="right"/>
    </xf>
    <xf numFmtId="0" fontId="30" fillId="0" borderId="105" xfId="0" applyFont="1" applyBorder="1" applyAlignment="1" applyProtection="1">
      <alignment horizontal="right"/>
    </xf>
    <xf numFmtId="0" fontId="26" fillId="0" borderId="105" xfId="0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57150</xdr:rowOff>
    </xdr:from>
    <xdr:to>
      <xdr:col>16</xdr:col>
      <xdr:colOff>514350</xdr:colOff>
      <xdr:row>2</xdr:row>
      <xdr:rowOff>171450</xdr:rowOff>
    </xdr:to>
    <xdr:sp macro="" textlink="">
      <xdr:nvSpPr>
        <xdr:cNvPr id="10255" name="AutoShape 15">
          <a:extLst>
            <a:ext uri="{FF2B5EF4-FFF2-40B4-BE49-F238E27FC236}">
              <a16:creationId xmlns:a16="http://schemas.microsoft.com/office/drawing/2014/main" id="{00000000-0008-0000-1200-00000F280000}"/>
            </a:ext>
          </a:extLst>
        </xdr:cNvPr>
        <xdr:cNvSpPr>
          <a:spLocks/>
        </xdr:cNvSpPr>
      </xdr:nvSpPr>
      <xdr:spPr bwMode="auto">
        <a:xfrm>
          <a:off x="9658350" y="57150"/>
          <a:ext cx="2609850" cy="609600"/>
        </a:xfrm>
        <a:prstGeom prst="borderCallout2">
          <a:avLst>
            <a:gd name="adj1" fmla="val 18750"/>
            <a:gd name="adj2" fmla="val -2921"/>
            <a:gd name="adj3" fmla="val 18750"/>
            <a:gd name="adj4" fmla="val -9852"/>
            <a:gd name="adj5" fmla="val 98440"/>
            <a:gd name="adj6" fmla="val -153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 type="none" w="lg" len="med"/>
          <a:tailEnd type="arrow" w="lg" len="med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退職被保数について遡及修正したらしい（いつの作業かは不明）。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統計データとしては使用しない方が無難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8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:IV7"/>
    </sheetView>
  </sheetViews>
  <sheetFormatPr defaultColWidth="10" defaultRowHeight="14" x14ac:dyDescent="0.2"/>
  <cols>
    <col min="1" max="1" width="10" style="205" customWidth="1"/>
    <col min="2" max="2" width="8" style="205" customWidth="1"/>
    <col min="3" max="3" width="11.58203125" style="205" bestFit="1" customWidth="1"/>
    <col min="4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1"/>
      <c r="D2" s="1"/>
      <c r="E2" s="1"/>
      <c r="F2" s="1"/>
      <c r="G2" s="1"/>
      <c r="H2" s="1">
        <v>220969</v>
      </c>
      <c r="I2" s="1">
        <v>192694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0</v>
      </c>
      <c r="D3" s="3"/>
      <c r="E3" s="3" t="s">
        <v>1</v>
      </c>
      <c r="F3" s="3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6</v>
      </c>
      <c r="P4" s="11" t="s">
        <v>7</v>
      </c>
      <c r="Q4" s="12" t="s">
        <v>8</v>
      </c>
      <c r="R4" s="13" t="s">
        <v>9</v>
      </c>
      <c r="S4" s="14" t="s">
        <v>10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11</v>
      </c>
      <c r="D5" s="25" t="s">
        <v>12</v>
      </c>
      <c r="E5" s="26" t="s">
        <v>13</v>
      </c>
      <c r="F5" s="26" t="s">
        <v>14</v>
      </c>
      <c r="G5" s="27" t="s">
        <v>15</v>
      </c>
      <c r="H5" s="24" t="s">
        <v>16</v>
      </c>
      <c r="I5" s="25" t="s">
        <v>17</v>
      </c>
      <c r="J5" s="26" t="s">
        <v>18</v>
      </c>
      <c r="K5" s="26" t="s">
        <v>19</v>
      </c>
      <c r="L5" s="26" t="s">
        <v>20</v>
      </c>
      <c r="M5" s="26" t="s">
        <v>21</v>
      </c>
      <c r="N5" s="27" t="s">
        <v>22</v>
      </c>
      <c r="O5" s="24" t="s">
        <v>23</v>
      </c>
      <c r="P5" s="25" t="s">
        <v>24</v>
      </c>
      <c r="Q5" s="27" t="s">
        <v>25</v>
      </c>
      <c r="R5" s="24" t="s">
        <v>26</v>
      </c>
      <c r="S5" s="25" t="s">
        <v>27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28</v>
      </c>
      <c r="D6" s="14" t="s">
        <v>29</v>
      </c>
      <c r="E6" s="15" t="s">
        <v>30</v>
      </c>
      <c r="F6" s="15" t="s">
        <v>31</v>
      </c>
      <c r="G6" s="16" t="s">
        <v>32</v>
      </c>
      <c r="H6" s="326" t="s">
        <v>33</v>
      </c>
      <c r="I6" s="14" t="s">
        <v>34</v>
      </c>
      <c r="J6" s="15" t="s">
        <v>35</v>
      </c>
      <c r="K6" s="15" t="s">
        <v>36</v>
      </c>
      <c r="L6" s="15" t="s">
        <v>37</v>
      </c>
      <c r="M6" s="15" t="s">
        <v>38</v>
      </c>
      <c r="N6" s="16" t="s">
        <v>39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1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40</v>
      </c>
      <c r="C8" s="44">
        <f>平成4年度!D8+平成4年度!G8</f>
        <v>34159</v>
      </c>
      <c r="D8" s="45">
        <f>平成4年度!E8+平成4年度!F8</f>
        <v>29421</v>
      </c>
      <c r="E8" s="45">
        <v>28074</v>
      </c>
      <c r="F8" s="46">
        <v>1347</v>
      </c>
      <c r="G8" s="47">
        <v>4738</v>
      </c>
      <c r="H8" s="48">
        <f>平成4年度!I8+平成4年度!L8</f>
        <v>73592</v>
      </c>
      <c r="I8" s="45">
        <f>平成4年度!J8+平成4年度!K8</f>
        <v>64014</v>
      </c>
      <c r="J8" s="46">
        <v>51281</v>
      </c>
      <c r="K8" s="49">
        <v>12733</v>
      </c>
      <c r="L8" s="45">
        <f>平成4年度!M8+平成4年度!N8</f>
        <v>9578</v>
      </c>
      <c r="M8" s="46">
        <v>6875</v>
      </c>
      <c r="N8" s="47">
        <v>2703</v>
      </c>
      <c r="O8" s="44">
        <v>93729</v>
      </c>
      <c r="P8" s="45">
        <v>281999</v>
      </c>
      <c r="Q8" s="47">
        <f>平成4年度!C8/平成4年度!O8</f>
        <v>0.36444430219035728</v>
      </c>
      <c r="R8" s="44">
        <f>平成4年度!H8/平成4年度!P8</f>
        <v>0.2609654644165405</v>
      </c>
      <c r="S8" s="46">
        <f>平成4年度!L8/平成4年度!H8</f>
        <v>0.13015001630612022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41</v>
      </c>
      <c r="C9" s="44">
        <f>平成4年度!D9+平成4年度!G9</f>
        <v>34159</v>
      </c>
      <c r="D9" s="45">
        <f>平成4年度!E9+平成4年度!F9</f>
        <v>29421</v>
      </c>
      <c r="E9" s="45">
        <v>28080</v>
      </c>
      <c r="F9" s="46">
        <v>1341</v>
      </c>
      <c r="G9" s="47">
        <v>4738</v>
      </c>
      <c r="H9" s="48">
        <f>平成4年度!I9+平成4年度!L9</f>
        <v>73354</v>
      </c>
      <c r="I9" s="45">
        <f>平成4年度!J9+平成4年度!K9</f>
        <v>63791</v>
      </c>
      <c r="J9" s="46">
        <v>51028</v>
      </c>
      <c r="K9" s="49">
        <v>12763</v>
      </c>
      <c r="L9" s="45">
        <f>平成4年度!M9+平成4年度!N9</f>
        <v>9563</v>
      </c>
      <c r="M9" s="46">
        <v>6869</v>
      </c>
      <c r="N9" s="47">
        <v>2694</v>
      </c>
      <c r="O9" s="44">
        <v>93938</v>
      </c>
      <c r="P9" s="45">
        <v>282296</v>
      </c>
      <c r="Q9" s="47">
        <f>平成4年度!C9/平成4年度!O9</f>
        <v>0.3636334603674764</v>
      </c>
      <c r="R9" s="44">
        <f>平成4年度!H9/平成4年度!P9</f>
        <v>0.25984781931022755</v>
      </c>
      <c r="S9" s="46">
        <f>平成4年度!L9/平成4年度!H9</f>
        <v>0.13036780543664966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42</v>
      </c>
      <c r="C10" s="54">
        <f>平成4年度!D10+平成4年度!G10</f>
        <v>34198</v>
      </c>
      <c r="D10" s="55">
        <f>平成4年度!E10+平成4年度!F10</f>
        <v>29404</v>
      </c>
      <c r="E10" s="55">
        <v>28053</v>
      </c>
      <c r="F10" s="56">
        <v>1351</v>
      </c>
      <c r="G10" s="57">
        <v>4794</v>
      </c>
      <c r="H10" s="58">
        <f>平成4年度!I10+平成4年度!L10</f>
        <v>73285</v>
      </c>
      <c r="I10" s="55">
        <f>平成4年度!J10+平成4年度!K10</f>
        <v>63620</v>
      </c>
      <c r="J10" s="56">
        <v>50827</v>
      </c>
      <c r="K10" s="59">
        <v>12793</v>
      </c>
      <c r="L10" s="55">
        <f>平成4年度!M10+平成4年度!N10</f>
        <v>9665</v>
      </c>
      <c r="M10" s="56">
        <v>6951</v>
      </c>
      <c r="N10" s="57">
        <v>2714</v>
      </c>
      <c r="O10" s="54">
        <v>94061</v>
      </c>
      <c r="P10" s="55">
        <v>282432</v>
      </c>
      <c r="Q10" s="57">
        <f>平成4年度!C10/平成4年度!O10</f>
        <v>0.36357257524372483</v>
      </c>
      <c r="R10" s="54">
        <f>平成4年度!H10/平成4年度!P10</f>
        <v>0.25947838771810561</v>
      </c>
      <c r="S10" s="56">
        <f>平成4年度!L10/平成4年度!H10</f>
        <v>0.13188237702121852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43</v>
      </c>
      <c r="C11" s="54">
        <f>平成4年度!D11+平成4年度!G11</f>
        <v>34216</v>
      </c>
      <c r="D11" s="55">
        <f>平成4年度!E11+平成4年度!F11</f>
        <v>29397</v>
      </c>
      <c r="E11" s="55">
        <v>28040</v>
      </c>
      <c r="F11" s="56">
        <v>1357</v>
      </c>
      <c r="G11" s="57">
        <v>4819</v>
      </c>
      <c r="H11" s="58">
        <f>平成4年度!I11+平成4年度!L11</f>
        <v>73232</v>
      </c>
      <c r="I11" s="55">
        <f>平成4年度!J11+平成4年度!K11</f>
        <v>63519</v>
      </c>
      <c r="J11" s="56">
        <v>50705</v>
      </c>
      <c r="K11" s="59">
        <v>12814</v>
      </c>
      <c r="L11" s="55">
        <f>平成4年度!M11+平成4年度!N11</f>
        <v>9713</v>
      </c>
      <c r="M11" s="56">
        <v>6984</v>
      </c>
      <c r="N11" s="57">
        <v>2729</v>
      </c>
      <c r="O11" s="54">
        <v>94067</v>
      </c>
      <c r="P11" s="55">
        <v>282536</v>
      </c>
      <c r="Q11" s="57">
        <f>平成4年度!C11/平成4年度!O11</f>
        <v>0.36374073798462797</v>
      </c>
      <c r="R11" s="54">
        <f>平成4年度!H11/平成4年度!P11</f>
        <v>0.25919528838802841</v>
      </c>
      <c r="S11" s="56">
        <f>平成4年度!L11/平成4年度!H11</f>
        <v>0.13263327507100722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44</v>
      </c>
      <c r="C12" s="54">
        <f>平成4年度!D12+平成4年度!G12</f>
        <v>34220</v>
      </c>
      <c r="D12" s="55">
        <f>平成4年度!E12+平成4年度!F12</f>
        <v>29400</v>
      </c>
      <c r="E12" s="55">
        <v>28034</v>
      </c>
      <c r="F12" s="56">
        <v>1366</v>
      </c>
      <c r="G12" s="57">
        <v>4820</v>
      </c>
      <c r="H12" s="58">
        <f>平成4年度!I12+平成4年度!L12</f>
        <v>73236</v>
      </c>
      <c r="I12" s="55">
        <f>平成4年度!J12+平成4年度!K12</f>
        <v>63499</v>
      </c>
      <c r="J12" s="56">
        <v>50625</v>
      </c>
      <c r="K12" s="59">
        <v>12874</v>
      </c>
      <c r="L12" s="55">
        <f>平成4年度!M12+平成4年度!N12</f>
        <v>9737</v>
      </c>
      <c r="M12" s="56">
        <v>6999</v>
      </c>
      <c r="N12" s="57">
        <v>2738</v>
      </c>
      <c r="O12" s="54">
        <v>94213</v>
      </c>
      <c r="P12" s="55">
        <v>282913</v>
      </c>
      <c r="Q12" s="57">
        <f>平成4年度!C12/平成4年度!O12</f>
        <v>0.36321951323065821</v>
      </c>
      <c r="R12" s="54">
        <f>平成4年度!H12/平成4年度!P12</f>
        <v>0.25886403240572192</v>
      </c>
      <c r="S12" s="56">
        <f>平成4年度!L12/平成4年度!H12</f>
        <v>0.13295373859850346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45</v>
      </c>
      <c r="C13" s="44">
        <f>平成4年度!D13+平成4年度!G13</f>
        <v>34277</v>
      </c>
      <c r="D13" s="45">
        <f>平成4年度!E13+平成4年度!F13</f>
        <v>29510</v>
      </c>
      <c r="E13" s="45">
        <v>28136</v>
      </c>
      <c r="F13" s="46">
        <v>1374</v>
      </c>
      <c r="G13" s="47">
        <v>4767</v>
      </c>
      <c r="H13" s="58">
        <f>平成4年度!I13+平成4年度!L13</f>
        <v>73315</v>
      </c>
      <c r="I13" s="45">
        <f>平成4年度!J13+平成4年度!K13</f>
        <v>63655</v>
      </c>
      <c r="J13" s="46">
        <v>50719</v>
      </c>
      <c r="K13" s="49">
        <v>12936</v>
      </c>
      <c r="L13" s="45">
        <f>平成4年度!M13+平成4年度!N13</f>
        <v>9660</v>
      </c>
      <c r="M13" s="46">
        <v>6951</v>
      </c>
      <c r="N13" s="47">
        <v>2709</v>
      </c>
      <c r="O13" s="44">
        <v>94326</v>
      </c>
      <c r="P13" s="45">
        <v>283131</v>
      </c>
      <c r="Q13" s="47">
        <f>平成4年度!C13/平成4年度!O13</f>
        <v>0.36338867332442804</v>
      </c>
      <c r="R13" s="44">
        <f>平成4年度!H13/平成4年度!P13</f>
        <v>0.25894373982361524</v>
      </c>
      <c r="S13" s="46">
        <f>平成4年度!L13/平成4年度!H13</f>
        <v>0.13176021278046784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46</v>
      </c>
      <c r="C14" s="44">
        <f>平成4年度!D14+平成4年度!G14</f>
        <v>34345</v>
      </c>
      <c r="D14" s="45">
        <f>平成4年度!E14+平成4年度!F14</f>
        <v>29536</v>
      </c>
      <c r="E14" s="45">
        <v>28158</v>
      </c>
      <c r="F14" s="46">
        <v>1378</v>
      </c>
      <c r="G14" s="47">
        <v>4809</v>
      </c>
      <c r="H14" s="48">
        <f>平成4年度!I14+平成4年度!L14</f>
        <v>73287</v>
      </c>
      <c r="I14" s="45">
        <f>平成4年度!J14+平成4年度!K14</f>
        <v>63546</v>
      </c>
      <c r="J14" s="46">
        <v>50524</v>
      </c>
      <c r="K14" s="49">
        <v>13022</v>
      </c>
      <c r="L14" s="45">
        <f>平成4年度!M14+平成4年度!N14</f>
        <v>9741</v>
      </c>
      <c r="M14" s="46">
        <v>7006</v>
      </c>
      <c r="N14" s="47">
        <v>2735</v>
      </c>
      <c r="O14" s="44">
        <v>94501</v>
      </c>
      <c r="P14" s="45">
        <v>283351</v>
      </c>
      <c r="Q14" s="47">
        <f>平成4年度!C14/平成4年度!O14</f>
        <v>0.36343530756288295</v>
      </c>
      <c r="R14" s="44">
        <f>平成4年度!H14/平成4年度!P14</f>
        <v>0.25864387279381401</v>
      </c>
      <c r="S14" s="46">
        <f>平成4年度!L14/平成4年度!H14</f>
        <v>0.13291579679888657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47</v>
      </c>
      <c r="C15" s="54">
        <f>平成4年度!D15+平成4年度!G15</f>
        <v>34374</v>
      </c>
      <c r="D15" s="55">
        <f>平成4年度!E15+平成4年度!F15</f>
        <v>29552</v>
      </c>
      <c r="E15" s="55">
        <v>28162</v>
      </c>
      <c r="F15" s="56">
        <v>1390</v>
      </c>
      <c r="G15" s="57">
        <v>4822</v>
      </c>
      <c r="H15" s="58">
        <f>平成4年度!I15+平成4年度!L15</f>
        <v>73213</v>
      </c>
      <c r="I15" s="55">
        <f>平成4年度!J15+平成4年度!K15</f>
        <v>63447</v>
      </c>
      <c r="J15" s="56">
        <v>50365</v>
      </c>
      <c r="K15" s="59">
        <v>13082</v>
      </c>
      <c r="L15" s="55">
        <f>平成4年度!M15+平成4年度!N15</f>
        <v>9766</v>
      </c>
      <c r="M15" s="56">
        <v>7044</v>
      </c>
      <c r="N15" s="57">
        <v>2722</v>
      </c>
      <c r="O15" s="54">
        <v>94654</v>
      </c>
      <c r="P15" s="55">
        <v>283503</v>
      </c>
      <c r="Q15" s="57">
        <f>平成4年度!C15/平成4年度!O15</f>
        <v>0.36315422486107296</v>
      </c>
      <c r="R15" s="54">
        <f>平成4年度!H15/平成4年度!P15</f>
        <v>0.25824418083759254</v>
      </c>
      <c r="S15" s="56">
        <f>平成4年度!L15/平成4年度!H15</f>
        <v>0.13339161077950637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48</v>
      </c>
      <c r="C16" s="44">
        <f>平成4年度!D16+平成4年度!G16</f>
        <v>34428</v>
      </c>
      <c r="D16" s="45">
        <f>平成4年度!E16+平成4年度!F16</f>
        <v>29603</v>
      </c>
      <c r="E16" s="45">
        <v>28221</v>
      </c>
      <c r="F16" s="46">
        <v>1382</v>
      </c>
      <c r="G16" s="47">
        <v>4825</v>
      </c>
      <c r="H16" s="48">
        <f>平成4年度!I16+平成4年度!L16</f>
        <v>73187</v>
      </c>
      <c r="I16" s="45">
        <f>平成4年度!J16+平成4年度!K16</f>
        <v>63421</v>
      </c>
      <c r="J16" s="46">
        <v>50277</v>
      </c>
      <c r="K16" s="49">
        <v>13144</v>
      </c>
      <c r="L16" s="45">
        <f>平成4年度!M16+平成4年度!N16</f>
        <v>9766</v>
      </c>
      <c r="M16" s="46">
        <v>7040</v>
      </c>
      <c r="N16" s="47">
        <v>2726</v>
      </c>
      <c r="O16" s="44">
        <v>94776</v>
      </c>
      <c r="P16" s="45">
        <v>283727</v>
      </c>
      <c r="Q16" s="47">
        <f>平成4年度!C16/平成4年度!O16</f>
        <v>0.36325652063813624</v>
      </c>
      <c r="R16" s="44">
        <f>平成4年度!H16/平成4年度!P16</f>
        <v>0.25794866191797045</v>
      </c>
      <c r="S16" s="46">
        <f>平成4年度!L16/平成4年度!H16</f>
        <v>0.13343899872928253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49</v>
      </c>
      <c r="C17" s="44">
        <f>平成4年度!D17+平成4年度!G17</f>
        <v>34536</v>
      </c>
      <c r="D17" s="45">
        <f>平成4年度!E17+平成4年度!F17</f>
        <v>29719</v>
      </c>
      <c r="E17" s="45">
        <v>28335</v>
      </c>
      <c r="F17" s="46">
        <v>1384</v>
      </c>
      <c r="G17" s="47">
        <v>4817</v>
      </c>
      <c r="H17" s="58">
        <f>平成4年度!I17+平成4年度!L17</f>
        <v>73296</v>
      </c>
      <c r="I17" s="45">
        <f>平成4年度!J17+平成4年度!K17</f>
        <v>63542</v>
      </c>
      <c r="J17" s="46">
        <v>50350</v>
      </c>
      <c r="K17" s="49">
        <v>13192</v>
      </c>
      <c r="L17" s="45">
        <f>平成4年度!M17+平成4年度!N17</f>
        <v>9754</v>
      </c>
      <c r="M17" s="46">
        <v>7032</v>
      </c>
      <c r="N17" s="47">
        <v>2722</v>
      </c>
      <c r="O17" s="44">
        <v>94839</v>
      </c>
      <c r="P17" s="45">
        <v>283744</v>
      </c>
      <c r="Q17" s="47">
        <f>平成4年度!C17/平成4年度!O17</f>
        <v>0.3641539872837124</v>
      </c>
      <c r="R17" s="44">
        <f>平成4年度!H17/平成4年度!P17</f>
        <v>0.25831735649035753</v>
      </c>
      <c r="S17" s="46">
        <f>平成4年度!L17/平成4年度!H17</f>
        <v>0.13307683911809648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50</v>
      </c>
      <c r="C18" s="54">
        <f>平成4年度!D18+平成4年度!G18</f>
        <v>34558</v>
      </c>
      <c r="D18" s="55">
        <f>平成4年度!E18+平成4年度!F18</f>
        <v>29783</v>
      </c>
      <c r="E18" s="55">
        <v>28401</v>
      </c>
      <c r="F18" s="56">
        <v>1382</v>
      </c>
      <c r="G18" s="57">
        <v>4775</v>
      </c>
      <c r="H18" s="58">
        <f>平成4年度!I18+平成4年度!L18</f>
        <v>73403</v>
      </c>
      <c r="I18" s="55">
        <f>平成4年度!J18+平成4年度!K18</f>
        <v>63708</v>
      </c>
      <c r="J18" s="56">
        <v>50407</v>
      </c>
      <c r="K18" s="59">
        <v>13301</v>
      </c>
      <c r="L18" s="55">
        <f>平成4年度!M18+平成4年度!N18</f>
        <v>9695</v>
      </c>
      <c r="M18" s="56">
        <v>6986</v>
      </c>
      <c r="N18" s="57">
        <v>2709</v>
      </c>
      <c r="O18" s="54">
        <v>94932</v>
      </c>
      <c r="P18" s="55">
        <v>283917</v>
      </c>
      <c r="Q18" s="57">
        <f>平成4年度!C18/平成4年度!O18</f>
        <v>0.36402898917119625</v>
      </c>
      <c r="R18" s="54">
        <f>平成4年度!H18/平成4年度!P18</f>
        <v>0.25853682590334498</v>
      </c>
      <c r="S18" s="56">
        <f>平成4年度!L18/平成4年度!H18</f>
        <v>0.13207907033772462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51</v>
      </c>
      <c r="C19" s="54">
        <f>平成4年度!D19+平成4年度!G19</f>
        <v>34537</v>
      </c>
      <c r="D19" s="55">
        <f>平成4年度!E19+平成4年度!F19</f>
        <v>29771</v>
      </c>
      <c r="E19" s="55">
        <v>28397</v>
      </c>
      <c r="F19" s="56">
        <v>1374</v>
      </c>
      <c r="G19" s="57">
        <v>4766</v>
      </c>
      <c r="H19" s="58">
        <f>平成4年度!I19+平成4年度!L19</f>
        <v>73237</v>
      </c>
      <c r="I19" s="55">
        <f>平成4年度!J19+平成4年度!K19</f>
        <v>63578</v>
      </c>
      <c r="J19" s="56">
        <v>50228</v>
      </c>
      <c r="K19" s="59">
        <v>13350</v>
      </c>
      <c r="L19" s="55">
        <f>平成4年度!M19+平成4年度!N19</f>
        <v>9659</v>
      </c>
      <c r="M19" s="56">
        <v>6975</v>
      </c>
      <c r="N19" s="57">
        <v>2684</v>
      </c>
      <c r="O19" s="54">
        <v>94949</v>
      </c>
      <c r="P19" s="55">
        <v>283628</v>
      </c>
      <c r="Q19" s="57">
        <f>平成4年度!C19/平成4年度!O19</f>
        <v>0.36374264078610624</v>
      </c>
      <c r="R19" s="54">
        <f>平成4年度!H19/平成4年度!P19</f>
        <v>0.25821498582650515</v>
      </c>
      <c r="S19" s="56">
        <f>平成4年度!L19/平成4年度!H19</f>
        <v>0.13188688777530483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52</v>
      </c>
      <c r="C20" s="48">
        <f>SUM(平成4年度!C8:C19)</f>
        <v>412007</v>
      </c>
      <c r="D20" s="45">
        <f>SUM(平成4年度!D8:D19)</f>
        <v>354517</v>
      </c>
      <c r="E20" s="79">
        <f>SUM(平成4年度!E8:E19)</f>
        <v>338091</v>
      </c>
      <c r="F20" s="79">
        <f>SUM(平成4年度!F8:F19)</f>
        <v>16426</v>
      </c>
      <c r="G20" s="80">
        <f>SUM(平成4年度!G8:G19)</f>
        <v>57490</v>
      </c>
      <c r="H20" s="48">
        <f>SUM(平成4年度!H8:H19)</f>
        <v>879637</v>
      </c>
      <c r="I20" s="45">
        <f>SUM(平成4年度!I8:I19)</f>
        <v>763340</v>
      </c>
      <c r="J20" s="79">
        <f>SUM(平成4年度!J8:J19)</f>
        <v>607336</v>
      </c>
      <c r="K20" s="79">
        <f>SUM(平成4年度!K8:K19)</f>
        <v>156004</v>
      </c>
      <c r="L20" s="79">
        <f>SUM(平成4年度!L8:L19)</f>
        <v>116297</v>
      </c>
      <c r="M20" s="79">
        <f>SUM(平成4年度!M8:M19)</f>
        <v>83712</v>
      </c>
      <c r="N20" s="80">
        <f>SUM(平成4年度!N8:N19)</f>
        <v>32585</v>
      </c>
      <c r="O20" s="48">
        <f>SUM(平成4年度!O8:O19)</f>
        <v>1132985</v>
      </c>
      <c r="P20" s="45">
        <f>SUM(平成4年度!P8:P19)</f>
        <v>3397177</v>
      </c>
      <c r="Q20" s="80">
        <f>平成4年度!C20/平成4年度!O20</f>
        <v>0.36364735631981004</v>
      </c>
      <c r="R20" s="48">
        <f>平成4年度!H20/平成4年度!P20</f>
        <v>0.25893175421828185</v>
      </c>
      <c r="S20" s="45">
        <f>平成4年度!L20/平成4年度!H20</f>
        <v>0.13221021853332682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53</v>
      </c>
      <c r="C21" s="48">
        <f>平成4年度!C20/12</f>
        <v>34333.916666666664</v>
      </c>
      <c r="D21" s="45">
        <f>平成4年度!D20/12</f>
        <v>29543.083333333332</v>
      </c>
      <c r="E21" s="79">
        <f>平成4年度!E20/12</f>
        <v>28174.25</v>
      </c>
      <c r="F21" s="79">
        <f>平成4年度!F20/12</f>
        <v>1368.8333333333333</v>
      </c>
      <c r="G21" s="80">
        <f>平成4年度!G20/12</f>
        <v>4790.833333333333</v>
      </c>
      <c r="H21" s="48">
        <f>平成4年度!H20/12</f>
        <v>73303.083333333328</v>
      </c>
      <c r="I21" s="45">
        <f>平成4年度!I20/12</f>
        <v>63611.666666666664</v>
      </c>
      <c r="J21" s="79">
        <f>平成4年度!J20/12</f>
        <v>50611.333333333336</v>
      </c>
      <c r="K21" s="79">
        <f>平成4年度!K20/12</f>
        <v>13000.333333333334</v>
      </c>
      <c r="L21" s="79">
        <f>平成4年度!L20/12</f>
        <v>9691.4166666666661</v>
      </c>
      <c r="M21" s="79">
        <f>平成4年度!M20/12</f>
        <v>6976</v>
      </c>
      <c r="N21" s="80">
        <f>平成4年度!N20/12</f>
        <v>2715.4166666666665</v>
      </c>
      <c r="O21" s="48">
        <f>平成4年度!O20/12</f>
        <v>94415.416666666672</v>
      </c>
      <c r="P21" s="45">
        <f>平成4年度!P20/12</f>
        <v>283098.08333333331</v>
      </c>
      <c r="Q21" s="80">
        <f>平成4年度!C21/平成4年度!O21</f>
        <v>0.36364735631980999</v>
      </c>
      <c r="R21" s="48">
        <f>平成4年度!H21/平成4年度!P21</f>
        <v>0.25893175421828185</v>
      </c>
      <c r="S21" s="45">
        <f>平成4年度!L21/平成4年度!H21</f>
        <v>0.13221021853332682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54</v>
      </c>
      <c r="C23" s="48">
        <f>平成4年度!C8</f>
        <v>34159</v>
      </c>
      <c r="D23" s="45">
        <f>平成4年度!D8</f>
        <v>29421</v>
      </c>
      <c r="E23" s="79">
        <f>平成4年度!E8</f>
        <v>28074</v>
      </c>
      <c r="F23" s="79">
        <f>平成4年度!F8</f>
        <v>1347</v>
      </c>
      <c r="G23" s="80">
        <f>平成4年度!G8</f>
        <v>4738</v>
      </c>
      <c r="H23" s="48">
        <f>平成4年度!H8</f>
        <v>73592</v>
      </c>
      <c r="I23" s="45">
        <f>平成4年度!I8</f>
        <v>64014</v>
      </c>
      <c r="J23" s="79">
        <f>平成4年度!J8</f>
        <v>51281</v>
      </c>
      <c r="K23" s="79">
        <f>平成4年度!K8</f>
        <v>12733</v>
      </c>
      <c r="L23" s="79">
        <f>平成4年度!L8</f>
        <v>9578</v>
      </c>
      <c r="M23" s="79">
        <f>平成4年度!M8</f>
        <v>6875</v>
      </c>
      <c r="N23" s="80">
        <f>平成4年度!N8</f>
        <v>2703</v>
      </c>
      <c r="O23" s="48">
        <f>平成4年度!O8</f>
        <v>93729</v>
      </c>
      <c r="P23" s="45">
        <f>平成4年度!P8</f>
        <v>281999</v>
      </c>
      <c r="Q23" s="80">
        <f>平成4年度!C23/平成4年度!O23</f>
        <v>0.36444430219035728</v>
      </c>
      <c r="R23" s="48">
        <f>平成4年度!H23/平成4年度!P23</f>
        <v>0.2609654644165405</v>
      </c>
      <c r="S23" s="45">
        <f>平成4年度!L23/平成4年度!H23</f>
        <v>0.13015001630612022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55</v>
      </c>
      <c r="C24" s="58">
        <f>SUM(平成4年度!C8:C9)</f>
        <v>68318</v>
      </c>
      <c r="D24" s="55">
        <f>SUM(平成4年度!D8:D9)</f>
        <v>58842</v>
      </c>
      <c r="E24" s="89">
        <f>SUM(平成4年度!E8:E9)</f>
        <v>56154</v>
      </c>
      <c r="F24" s="89">
        <f>SUM(平成4年度!F8:F9)</f>
        <v>2688</v>
      </c>
      <c r="G24" s="90">
        <f>SUM(平成4年度!G8:G9)</f>
        <v>9476</v>
      </c>
      <c r="H24" s="58">
        <f>SUM(平成4年度!H8:H9)</f>
        <v>146946</v>
      </c>
      <c r="I24" s="55">
        <f>SUM(平成4年度!I8:I9)</f>
        <v>127805</v>
      </c>
      <c r="J24" s="89">
        <f>SUM(平成4年度!J8:J9)</f>
        <v>102309</v>
      </c>
      <c r="K24" s="89">
        <f>SUM(平成4年度!K8:K9)</f>
        <v>25496</v>
      </c>
      <c r="L24" s="89">
        <f>SUM(平成4年度!L8:L9)</f>
        <v>19141</v>
      </c>
      <c r="M24" s="89">
        <f>SUM(平成4年度!M8:M9)</f>
        <v>13744</v>
      </c>
      <c r="N24" s="90">
        <f>SUM(平成4年度!N8:N9)</f>
        <v>5397</v>
      </c>
      <c r="O24" s="58">
        <f>SUM(平成4年度!O8:O9)</f>
        <v>187667</v>
      </c>
      <c r="P24" s="55">
        <f>SUM(平成4年度!P8:P9)</f>
        <v>564295</v>
      </c>
      <c r="Q24" s="90">
        <f>平成4年度!C24/平成4年度!O24</f>
        <v>0.36403842977188317</v>
      </c>
      <c r="R24" s="58">
        <f>平成4年度!H24/平成4年度!P24</f>
        <v>0.26040634774364474</v>
      </c>
      <c r="S24" s="55">
        <f>平成4年度!L24/平成4年度!H24</f>
        <v>0.13025873450110925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56</v>
      </c>
      <c r="C25" s="58">
        <f>SUM(平成4年度!C8:C10)</f>
        <v>102516</v>
      </c>
      <c r="D25" s="55">
        <f>SUM(平成4年度!D8:D10)</f>
        <v>88246</v>
      </c>
      <c r="E25" s="89">
        <f>SUM(平成4年度!E8:E10)</f>
        <v>84207</v>
      </c>
      <c r="F25" s="89">
        <f>SUM(平成4年度!F8:F10)</f>
        <v>4039</v>
      </c>
      <c r="G25" s="90">
        <f>SUM(平成4年度!G8:G10)</f>
        <v>14270</v>
      </c>
      <c r="H25" s="58">
        <f>SUM(平成4年度!H8:H10)</f>
        <v>220231</v>
      </c>
      <c r="I25" s="55">
        <f>SUM(平成4年度!I8:I10)</f>
        <v>191425</v>
      </c>
      <c r="J25" s="89">
        <f>SUM(平成4年度!J8:J10)</f>
        <v>153136</v>
      </c>
      <c r="K25" s="89">
        <f>SUM(平成4年度!K8:K10)</f>
        <v>38289</v>
      </c>
      <c r="L25" s="89">
        <f>SUM(平成4年度!L8:L10)</f>
        <v>28806</v>
      </c>
      <c r="M25" s="89">
        <f>SUM(平成4年度!M8:M10)</f>
        <v>20695</v>
      </c>
      <c r="N25" s="90">
        <f>SUM(平成4年度!N8:N10)</f>
        <v>8111</v>
      </c>
      <c r="O25" s="58">
        <f>SUM(平成4年度!O8:O10)</f>
        <v>281728</v>
      </c>
      <c r="P25" s="55">
        <f>SUM(平成4年度!P8:P10)</f>
        <v>846727</v>
      </c>
      <c r="Q25" s="90">
        <f>平成4年度!C25/平成4年度!O25</f>
        <v>0.36388289413902769</v>
      </c>
      <c r="R25" s="58">
        <f>平成4年度!H25/平成4年度!P25</f>
        <v>0.26009681987228467</v>
      </c>
      <c r="S25" s="55">
        <f>平成4年度!L25/平成4年度!H25</f>
        <v>0.13079902466047014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57</v>
      </c>
      <c r="C26" s="58">
        <f>SUM(平成4年度!C8:C11)</f>
        <v>136732</v>
      </c>
      <c r="D26" s="55">
        <f>SUM(平成4年度!D8:D11)</f>
        <v>117643</v>
      </c>
      <c r="E26" s="89">
        <f>SUM(平成4年度!E8:E11)</f>
        <v>112247</v>
      </c>
      <c r="F26" s="89">
        <f>SUM(平成4年度!F8:F11)</f>
        <v>5396</v>
      </c>
      <c r="G26" s="90">
        <f>SUM(平成4年度!G8:G11)</f>
        <v>19089</v>
      </c>
      <c r="H26" s="58">
        <f>SUM(平成4年度!H8:H11)</f>
        <v>293463</v>
      </c>
      <c r="I26" s="55">
        <f>SUM(平成4年度!I8:I11)</f>
        <v>254944</v>
      </c>
      <c r="J26" s="89">
        <f>SUM(平成4年度!J8:J11)</f>
        <v>203841</v>
      </c>
      <c r="K26" s="89">
        <f>SUM(平成4年度!K8:K11)</f>
        <v>51103</v>
      </c>
      <c r="L26" s="89">
        <f>SUM(平成4年度!L8:L11)</f>
        <v>38519</v>
      </c>
      <c r="M26" s="89">
        <f>SUM(平成4年度!M8:M11)</f>
        <v>27679</v>
      </c>
      <c r="N26" s="90">
        <f>SUM(平成4年度!N8:N11)</f>
        <v>10840</v>
      </c>
      <c r="O26" s="58">
        <f>SUM(平成4年度!O8:O11)</f>
        <v>375795</v>
      </c>
      <c r="P26" s="55">
        <f>SUM(平成4年度!P8:P11)</f>
        <v>1129263</v>
      </c>
      <c r="Q26" s="90">
        <f>平成4年度!C26/平成4年度!O26</f>
        <v>0.36384731036868506</v>
      </c>
      <c r="R26" s="58">
        <f>平成4年度!H26/平成4年度!P26</f>
        <v>0.25987126116768194</v>
      </c>
      <c r="S26" s="55">
        <f>平成4年度!L26/平成4年度!H26</f>
        <v>0.13125675127699232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58</v>
      </c>
      <c r="C27" s="58">
        <f>SUM(平成4年度!C8:C12)</f>
        <v>170952</v>
      </c>
      <c r="D27" s="55">
        <f>SUM(平成4年度!D8:D12)</f>
        <v>147043</v>
      </c>
      <c r="E27" s="89">
        <f>SUM(平成4年度!E8:E12)</f>
        <v>140281</v>
      </c>
      <c r="F27" s="89">
        <f>SUM(平成4年度!F8:F12)</f>
        <v>6762</v>
      </c>
      <c r="G27" s="90">
        <f>SUM(平成4年度!G8:G12)</f>
        <v>23909</v>
      </c>
      <c r="H27" s="58">
        <f>SUM(平成4年度!H8:H12)</f>
        <v>366699</v>
      </c>
      <c r="I27" s="55">
        <f>SUM(平成4年度!I8:I12)</f>
        <v>318443</v>
      </c>
      <c r="J27" s="89">
        <f>SUM(平成4年度!J8:J12)</f>
        <v>254466</v>
      </c>
      <c r="K27" s="89">
        <f>SUM(平成4年度!K8:K12)</f>
        <v>63977</v>
      </c>
      <c r="L27" s="89">
        <f>SUM(平成4年度!L8:L12)</f>
        <v>48256</v>
      </c>
      <c r="M27" s="89">
        <f>SUM(平成4年度!M8:M12)</f>
        <v>34678</v>
      </c>
      <c r="N27" s="90">
        <f>SUM(平成4年度!N8:N12)</f>
        <v>13578</v>
      </c>
      <c r="O27" s="58">
        <f>SUM(平成4年度!O8:O12)</f>
        <v>470008</v>
      </c>
      <c r="P27" s="55">
        <f>SUM(平成4年度!P8:P12)</f>
        <v>1412176</v>
      </c>
      <c r="Q27" s="90">
        <f>平成4年度!C27/平成4年度!O27</f>
        <v>0.36372146857074772</v>
      </c>
      <c r="R27" s="58">
        <f>平成4年度!H27/平成4年度!P27</f>
        <v>0.25966947462639217</v>
      </c>
      <c r="S27" s="55">
        <f>平成4年度!L27/平成4年度!H27</f>
        <v>0.13159566838196995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59</v>
      </c>
      <c r="C28" s="58">
        <f>SUM(平成4年度!C8:C13)</f>
        <v>205229</v>
      </c>
      <c r="D28" s="55">
        <f>SUM(平成4年度!D8:D13)</f>
        <v>176553</v>
      </c>
      <c r="E28" s="89">
        <f>SUM(平成4年度!E8:E13)</f>
        <v>168417</v>
      </c>
      <c r="F28" s="89">
        <f>SUM(平成4年度!F8:F13)</f>
        <v>8136</v>
      </c>
      <c r="G28" s="90">
        <f>SUM(平成4年度!G8:G13)</f>
        <v>28676</v>
      </c>
      <c r="H28" s="58">
        <f>SUM(平成4年度!H8:H13)</f>
        <v>440014</v>
      </c>
      <c r="I28" s="55">
        <f>SUM(平成4年度!I8:I13)</f>
        <v>382098</v>
      </c>
      <c r="J28" s="89">
        <f>SUM(平成4年度!J8:J13)</f>
        <v>305185</v>
      </c>
      <c r="K28" s="89">
        <f>SUM(平成4年度!K8:K13)</f>
        <v>76913</v>
      </c>
      <c r="L28" s="89">
        <f>SUM(平成4年度!L8:L13)</f>
        <v>57916</v>
      </c>
      <c r="M28" s="89">
        <f>SUM(平成4年度!M8:M13)</f>
        <v>41629</v>
      </c>
      <c r="N28" s="90">
        <f>SUM(平成4年度!N8:N13)</f>
        <v>16287</v>
      </c>
      <c r="O28" s="58">
        <f>SUM(平成4年度!O8:O13)</f>
        <v>564334</v>
      </c>
      <c r="P28" s="55">
        <f>SUM(平成4年度!P8:P13)</f>
        <v>1695307</v>
      </c>
      <c r="Q28" s="90">
        <f>平成4年度!C28/平成4年度!O28</f>
        <v>0.36366584327720819</v>
      </c>
      <c r="R28" s="58">
        <f>平成4年度!H28/平成4年度!P28</f>
        <v>0.25954827060821434</v>
      </c>
      <c r="S28" s="55">
        <f>平成4年度!L28/平成4年度!H28</f>
        <v>0.13162308472003165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60</v>
      </c>
      <c r="C29" s="58">
        <f>SUM(平成4年度!C8:C14)</f>
        <v>239574</v>
      </c>
      <c r="D29" s="55">
        <f>SUM(平成4年度!D8:D14)</f>
        <v>206089</v>
      </c>
      <c r="E29" s="89">
        <f>SUM(平成4年度!E8:E14)</f>
        <v>196575</v>
      </c>
      <c r="F29" s="89">
        <f>SUM(平成4年度!F8:F14)</f>
        <v>9514</v>
      </c>
      <c r="G29" s="90">
        <f>SUM(平成4年度!G8:G14)</f>
        <v>33485</v>
      </c>
      <c r="H29" s="58">
        <f>SUM(平成4年度!H8:H14)</f>
        <v>513301</v>
      </c>
      <c r="I29" s="55">
        <f>SUM(平成4年度!I8:I14)</f>
        <v>445644</v>
      </c>
      <c r="J29" s="89">
        <f>SUM(平成4年度!J8:J14)</f>
        <v>355709</v>
      </c>
      <c r="K29" s="89">
        <f>SUM(平成4年度!K8:K14)</f>
        <v>89935</v>
      </c>
      <c r="L29" s="89">
        <f>SUM(平成4年度!L8:L14)</f>
        <v>67657</v>
      </c>
      <c r="M29" s="89">
        <f>SUM(平成4年度!M8:M14)</f>
        <v>48635</v>
      </c>
      <c r="N29" s="90">
        <f>SUM(平成4年度!N8:N14)</f>
        <v>19022</v>
      </c>
      <c r="O29" s="58">
        <f>SUM(平成4年度!O8:O14)</f>
        <v>658835</v>
      </c>
      <c r="P29" s="55">
        <f>SUM(平成4年度!P8:P14)</f>
        <v>1978658</v>
      </c>
      <c r="Q29" s="90">
        <f>平成4年度!C29/平成4年度!O29</f>
        <v>0.36363277603648864</v>
      </c>
      <c r="R29" s="58">
        <f>平成4年度!H29/平成4年度!P29</f>
        <v>0.25941875756194349</v>
      </c>
      <c r="S29" s="55">
        <f>平成4年度!L29/平成4年度!H29</f>
        <v>0.13180765281969059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61</v>
      </c>
      <c r="C30" s="58">
        <f>SUM(平成4年度!C8:C15)</f>
        <v>273948</v>
      </c>
      <c r="D30" s="55">
        <f>SUM(平成4年度!D8:D15)</f>
        <v>235641</v>
      </c>
      <c r="E30" s="89">
        <f>SUM(平成4年度!E8:E15)</f>
        <v>224737</v>
      </c>
      <c r="F30" s="89">
        <f>SUM(平成4年度!F8:F15)</f>
        <v>10904</v>
      </c>
      <c r="G30" s="90">
        <f>SUM(平成4年度!G8:G15)</f>
        <v>38307</v>
      </c>
      <c r="H30" s="58">
        <f>SUM(平成4年度!H8:H15)</f>
        <v>586514</v>
      </c>
      <c r="I30" s="55">
        <f>SUM(平成4年度!I8:I15)</f>
        <v>509091</v>
      </c>
      <c r="J30" s="89">
        <f>SUM(平成4年度!J8:J15)</f>
        <v>406074</v>
      </c>
      <c r="K30" s="89">
        <f>SUM(平成4年度!K8:K15)</f>
        <v>103017</v>
      </c>
      <c r="L30" s="89">
        <f>SUM(平成4年度!L8:L15)</f>
        <v>77423</v>
      </c>
      <c r="M30" s="89">
        <f>SUM(平成4年度!M8:M15)</f>
        <v>55679</v>
      </c>
      <c r="N30" s="90">
        <f>SUM(平成4年度!N8:N15)</f>
        <v>21744</v>
      </c>
      <c r="O30" s="58">
        <f>SUM(平成4年度!O8:O15)</f>
        <v>753489</v>
      </c>
      <c r="P30" s="55">
        <f>SUM(平成4年度!P8:P15)</f>
        <v>2262161</v>
      </c>
      <c r="Q30" s="90">
        <f>平成4年度!C30/平成4年度!O30</f>
        <v>0.36357265998574628</v>
      </c>
      <c r="R30" s="58">
        <f>平成4年度!H30/平成4年度!P30</f>
        <v>0.25927155494237591</v>
      </c>
      <c r="S30" s="55">
        <f>平成4年度!L30/平成4年度!H30</f>
        <v>0.13200537412576682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62</v>
      </c>
      <c r="C31" s="58">
        <f>SUM(平成4年度!C8:C16)</f>
        <v>308376</v>
      </c>
      <c r="D31" s="55">
        <f>SUM(平成4年度!D8:D16)</f>
        <v>265244</v>
      </c>
      <c r="E31" s="89">
        <f>SUM(平成4年度!E8:E16)</f>
        <v>252958</v>
      </c>
      <c r="F31" s="89">
        <f>SUM(平成4年度!F8:F16)</f>
        <v>12286</v>
      </c>
      <c r="G31" s="90">
        <f>SUM(平成4年度!G8:G16)</f>
        <v>43132</v>
      </c>
      <c r="H31" s="58">
        <f>SUM(平成4年度!H8:H16)</f>
        <v>659701</v>
      </c>
      <c r="I31" s="55">
        <f>SUM(平成4年度!I8:I16)</f>
        <v>572512</v>
      </c>
      <c r="J31" s="89">
        <f>SUM(平成4年度!J8:J16)</f>
        <v>456351</v>
      </c>
      <c r="K31" s="89">
        <f>SUM(平成4年度!K8:K16)</f>
        <v>116161</v>
      </c>
      <c r="L31" s="89">
        <f>SUM(平成4年度!L8:L16)</f>
        <v>87189</v>
      </c>
      <c r="M31" s="89">
        <f>SUM(平成4年度!M8:M16)</f>
        <v>62719</v>
      </c>
      <c r="N31" s="90">
        <f>SUM(平成4年度!N8:N16)</f>
        <v>24470</v>
      </c>
      <c r="O31" s="58">
        <f>SUM(平成4年度!O8:O16)</f>
        <v>848265</v>
      </c>
      <c r="P31" s="55">
        <f>SUM(平成4年度!P8:P16)</f>
        <v>2545888</v>
      </c>
      <c r="Q31" s="90">
        <f>平成4年度!C31/平成4年度!O31</f>
        <v>0.36353733797810828</v>
      </c>
      <c r="R31" s="58">
        <f>平成4年度!H31/平成4年度!P31</f>
        <v>0.25912412486330899</v>
      </c>
      <c r="S31" s="55">
        <f>平成4年度!L31/平成4年度!H31</f>
        <v>0.13216441994176151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63</v>
      </c>
      <c r="C32" s="58">
        <f>SUM(平成4年度!C8:C17)</f>
        <v>342912</v>
      </c>
      <c r="D32" s="55">
        <f>SUM(平成4年度!D8:D17)</f>
        <v>294963</v>
      </c>
      <c r="E32" s="89">
        <f>SUM(平成4年度!E8:E17)</f>
        <v>281293</v>
      </c>
      <c r="F32" s="89">
        <f>SUM(平成4年度!F8:F17)</f>
        <v>13670</v>
      </c>
      <c r="G32" s="90">
        <f>SUM(平成4年度!G8:G17)</f>
        <v>47949</v>
      </c>
      <c r="H32" s="58">
        <f>SUM(平成4年度!H8:H17)</f>
        <v>732997</v>
      </c>
      <c r="I32" s="55">
        <f>SUM(平成4年度!I8:I17)</f>
        <v>636054</v>
      </c>
      <c r="J32" s="89">
        <f>SUM(平成4年度!J8:J17)</f>
        <v>506701</v>
      </c>
      <c r="K32" s="89">
        <f>SUM(平成4年度!K8:K17)</f>
        <v>129353</v>
      </c>
      <c r="L32" s="89">
        <f>SUM(平成4年度!L8:L17)</f>
        <v>96943</v>
      </c>
      <c r="M32" s="89">
        <f>SUM(平成4年度!M8:M17)</f>
        <v>69751</v>
      </c>
      <c r="N32" s="90">
        <f>SUM(平成4年度!N8:N17)</f>
        <v>27192</v>
      </c>
      <c r="O32" s="58">
        <f>SUM(平成4年度!O8:O17)</f>
        <v>943104</v>
      </c>
      <c r="P32" s="55">
        <f>SUM(平成4年度!P8:P17)</f>
        <v>2829632</v>
      </c>
      <c r="Q32" s="90">
        <f>平成4年度!C32/平成4年度!O32</f>
        <v>0.36359934853420195</v>
      </c>
      <c r="R32" s="58">
        <f>平成4年度!H32/平成4年度!P32</f>
        <v>0.25904322540881641</v>
      </c>
      <c r="S32" s="55">
        <f>平成4年度!L32/平成4年度!H32</f>
        <v>0.13225565725371319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64</v>
      </c>
      <c r="C33" s="58">
        <f>SUM(平成4年度!C8:C18)</f>
        <v>377470</v>
      </c>
      <c r="D33" s="55">
        <f>SUM(平成4年度!D8:D18)</f>
        <v>324746</v>
      </c>
      <c r="E33" s="89">
        <f>SUM(平成4年度!E8:E18)</f>
        <v>309694</v>
      </c>
      <c r="F33" s="89">
        <f>SUM(平成4年度!F8:F18)</f>
        <v>15052</v>
      </c>
      <c r="G33" s="90">
        <f>SUM(平成4年度!G8:G18)</f>
        <v>52724</v>
      </c>
      <c r="H33" s="58">
        <f>SUM(平成4年度!H8:H18)</f>
        <v>806400</v>
      </c>
      <c r="I33" s="55">
        <f>SUM(平成4年度!I8:I18)</f>
        <v>699762</v>
      </c>
      <c r="J33" s="89">
        <f>SUM(平成4年度!J8:J18)</f>
        <v>557108</v>
      </c>
      <c r="K33" s="89">
        <f>SUM(平成4年度!K8:K18)</f>
        <v>142654</v>
      </c>
      <c r="L33" s="89">
        <f>SUM(平成4年度!L8:L18)</f>
        <v>106638</v>
      </c>
      <c r="M33" s="89">
        <f>SUM(平成4年度!M8:M18)</f>
        <v>76737</v>
      </c>
      <c r="N33" s="90">
        <f>SUM(平成4年度!N8:N18)</f>
        <v>29901</v>
      </c>
      <c r="O33" s="58">
        <f>SUM(平成4年度!O8:O18)</f>
        <v>1038036</v>
      </c>
      <c r="P33" s="55">
        <f>SUM(平成4年度!P8:P18)</f>
        <v>3113549</v>
      </c>
      <c r="Q33" s="90">
        <f>平成4年度!C33/平成4年度!O33</f>
        <v>0.36363864066371493</v>
      </c>
      <c r="R33" s="58">
        <f>平成4年度!H33/平成4年度!P33</f>
        <v>0.25899704806315882</v>
      </c>
      <c r="S33" s="55">
        <f>平成4年度!L33/平成4年度!H33</f>
        <v>0.13223958333333333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65</v>
      </c>
      <c r="C34" s="58">
        <f>SUM(平成4年度!C8:C19)</f>
        <v>412007</v>
      </c>
      <c r="D34" s="55">
        <f>SUM(平成4年度!D8:D19)</f>
        <v>354517</v>
      </c>
      <c r="E34" s="89">
        <f>SUM(平成4年度!E8:E19)</f>
        <v>338091</v>
      </c>
      <c r="F34" s="89">
        <f>SUM(平成4年度!F8:F19)</f>
        <v>16426</v>
      </c>
      <c r="G34" s="90">
        <f>SUM(平成4年度!G8:G19)</f>
        <v>57490</v>
      </c>
      <c r="H34" s="58">
        <f>SUM(平成4年度!H8:H19)</f>
        <v>879637</v>
      </c>
      <c r="I34" s="55">
        <f>SUM(平成4年度!I8:I19)</f>
        <v>763340</v>
      </c>
      <c r="J34" s="89">
        <f>SUM(平成4年度!J8:J19)</f>
        <v>607336</v>
      </c>
      <c r="K34" s="89">
        <f>SUM(平成4年度!K8:K19)</f>
        <v>156004</v>
      </c>
      <c r="L34" s="89">
        <f>SUM(平成4年度!L8:L19)</f>
        <v>116297</v>
      </c>
      <c r="M34" s="89">
        <f>SUM(平成4年度!M8:M19)</f>
        <v>83712</v>
      </c>
      <c r="N34" s="90">
        <f>SUM(平成4年度!N8:N19)</f>
        <v>32585</v>
      </c>
      <c r="O34" s="58">
        <f>SUM(平成4年度!O8:O19)</f>
        <v>1132985</v>
      </c>
      <c r="P34" s="55">
        <f>SUM(平成4年度!P8:P19)</f>
        <v>3397177</v>
      </c>
      <c r="Q34" s="90">
        <f>平成4年度!C34/平成4年度!O34</f>
        <v>0.36364735631981004</v>
      </c>
      <c r="R34" s="58">
        <f>平成4年度!H34/平成4年度!P34</f>
        <v>0.25893175421828185</v>
      </c>
      <c r="S34" s="55">
        <f>平成4年度!L34/平成4年度!H34</f>
        <v>0.13221021853332682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66</v>
      </c>
      <c r="C35" s="92"/>
      <c r="D35" s="93"/>
      <c r="E35" s="94"/>
      <c r="F35" s="94"/>
      <c r="G35" s="95"/>
      <c r="H35" s="92"/>
      <c r="I35" s="93"/>
      <c r="J35" s="94"/>
      <c r="K35" s="94"/>
      <c r="L35" s="94"/>
      <c r="M35" s="94"/>
      <c r="N35" s="95"/>
      <c r="O35" s="92"/>
      <c r="P35" s="93"/>
      <c r="Q35" s="95" t="e">
        <f>平成4年度!C35/平成4年度!O35</f>
        <v>#DIV/0!</v>
      </c>
      <c r="R35" s="92" t="e">
        <f>平成4年度!H35/平成4年度!P35</f>
        <v>#DIV/0!</v>
      </c>
      <c r="S35" s="93" t="e">
        <f>平成4年度!L35/平成4年度!H35</f>
        <v>#DIV/0!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67</v>
      </c>
      <c r="C37" s="102">
        <f>平成4年度!C2+平成4年度!C31</f>
        <v>308376</v>
      </c>
      <c r="D37" s="103">
        <f>平成4年度!D2+平成4年度!D31</f>
        <v>265244</v>
      </c>
      <c r="E37" s="104">
        <f>平成4年度!E2+平成4年度!E31</f>
        <v>252958</v>
      </c>
      <c r="F37" s="104">
        <f>平成4年度!F2+平成4年度!F31</f>
        <v>12286</v>
      </c>
      <c r="G37" s="105">
        <f>平成4年度!G2+平成4年度!G31</f>
        <v>43132</v>
      </c>
      <c r="H37" s="102">
        <f>平成4年度!H2+平成4年度!H31</f>
        <v>880670</v>
      </c>
      <c r="I37" s="103">
        <f>平成4年度!I2+平成4年度!I31</f>
        <v>765206</v>
      </c>
      <c r="J37" s="104">
        <f>平成4年度!J2+平成4年度!J31</f>
        <v>456351</v>
      </c>
      <c r="K37" s="104">
        <f>平成4年度!K2+平成4年度!K31</f>
        <v>116161</v>
      </c>
      <c r="L37" s="104">
        <f>平成4年度!L2+平成4年度!L31</f>
        <v>87189</v>
      </c>
      <c r="M37" s="104">
        <f>平成4年度!M2+平成4年度!M31</f>
        <v>62719</v>
      </c>
      <c r="N37" s="106">
        <f>平成4年度!N2+平成4年度!N31</f>
        <v>24470</v>
      </c>
      <c r="O37" s="106">
        <f>平成4年度!O2+平成4年度!O31</f>
        <v>848265</v>
      </c>
      <c r="P37" s="106">
        <f>平成4年度!P2+平成4年度!P31</f>
        <v>2545888</v>
      </c>
      <c r="Q37" s="106">
        <f>平成4年度!C37/平成4年度!O37</f>
        <v>0.36353733797810828</v>
      </c>
      <c r="R37" s="106">
        <f>平成4年度!H37/平成4年度!P37</f>
        <v>0.34591859500496486</v>
      </c>
      <c r="S37" s="103">
        <f>平成4年度!L37/平成4年度!H37</f>
        <v>9.9003031782620057E-2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68</v>
      </c>
      <c r="C38" s="110">
        <f>IF(平成4年度!C15=0,平成4年度!C37/10,IF(平成4年度!C16=0,平成4年度!C37/11,IF(平成4年度!C16&gt;0,平成4年度!C37/12,"")))</f>
        <v>25698</v>
      </c>
      <c r="D38" s="111">
        <f>IF(平成4年度!D15=0,平成4年度!D37/10,IF(平成4年度!D16=0,平成4年度!D37/11,IF(平成4年度!D16&gt;0,平成4年度!D37/12,"")))</f>
        <v>22103.666666666668</v>
      </c>
      <c r="E38" s="112">
        <f>IF(平成4年度!E15=0,平成4年度!E37/10,IF(平成4年度!E16=0,平成4年度!E37/11,IF(平成4年度!E16&gt;0,平成4年度!E37/12,"")))</f>
        <v>21079.833333333332</v>
      </c>
      <c r="F38" s="112">
        <f>IF(平成4年度!F15=0,平成4年度!F37/10,IF(平成4年度!F16=0,平成4年度!F37/11,IF(平成4年度!F16&gt;0,平成4年度!F37/12,"")))</f>
        <v>1023.8333333333334</v>
      </c>
      <c r="G38" s="113">
        <f>IF(平成4年度!G15=0,平成4年度!G37/10,IF(平成4年度!G16=0,平成4年度!G37/11,IF(平成4年度!G16&gt;0,平成4年度!G37/12,"")))</f>
        <v>3594.3333333333335</v>
      </c>
      <c r="H38" s="110">
        <f>IF(平成4年度!H15=0,平成4年度!H37/10,IF(平成4年度!H16=0,平成4年度!H37/11,IF(平成4年度!H16&gt;0,平成4年度!H37/12,"")))</f>
        <v>73389.166666666672</v>
      </c>
      <c r="I38" s="111">
        <f>IF(平成4年度!I15=0,平成4年度!I37/10,IF(平成4年度!I16=0,平成4年度!I37/11,IF(平成4年度!I16&gt;0,平成4年度!I37/12,"")))</f>
        <v>63767.166666666664</v>
      </c>
      <c r="J38" s="112">
        <f>IF(平成4年度!J15=0,平成4年度!J37/10,IF(平成4年度!J16=0,平成4年度!J37/11,IF(平成4年度!J16&gt;0,平成4年度!J37/12,"")))</f>
        <v>38029.25</v>
      </c>
      <c r="K38" s="112">
        <f>IF(平成4年度!K15=0,平成4年度!K37/10,IF(平成4年度!K16=0,平成4年度!K37/11,IF(平成4年度!K16&gt;0,平成4年度!K37/12,"")))</f>
        <v>9680.0833333333339</v>
      </c>
      <c r="L38" s="112">
        <f>IF(平成4年度!L15=0,平成4年度!L37/10,IF(平成4年度!L16=0,平成4年度!L37/11,IF(平成4年度!L16&gt;0,平成4年度!L37/12,"")))</f>
        <v>7265.75</v>
      </c>
      <c r="M38" s="112">
        <f>IF(平成4年度!M15=0,平成4年度!M37/10,IF(平成4年度!M16=0,平成4年度!M37/11,IF(平成4年度!M16&gt;0,平成4年度!M37/12,"")))</f>
        <v>5226.583333333333</v>
      </c>
      <c r="N38" s="114">
        <f>IF(平成4年度!N15=0,平成4年度!N37/10,IF(平成4年度!N16=0,平成4年度!N37/11,IF(平成4年度!N16&gt;0,平成4年度!N37/12,"")))</f>
        <v>2039.1666666666667</v>
      </c>
      <c r="O38" s="114">
        <f>IF(平成4年度!O15=0,平成4年度!O37/10,IF(平成4年度!O16=0,平成4年度!O37/11,IF(平成4年度!O16&gt;0,平成4年度!O37/12,"")))</f>
        <v>70688.75</v>
      </c>
      <c r="P38" s="114">
        <f>IF(平成4年度!P15=0,平成4年度!P37/10,IF(平成4年度!P16=0,平成4年度!P37/11,IF(平成4年度!P16&gt;0,平成4年度!P37/12,"")))</f>
        <v>212157.33333333334</v>
      </c>
      <c r="Q38" s="114">
        <f>平成4年度!C38/平成4年度!O38</f>
        <v>0.36353733797810828</v>
      </c>
      <c r="R38" s="114">
        <f>平成4年度!H38/平成4年度!P38</f>
        <v>0.34591859500496486</v>
      </c>
      <c r="S38" s="111">
        <f>平成4年度!L38/平成4年度!H38</f>
        <v>9.9003031782620043E-2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/>
      <c r="C43" s="1"/>
      <c r="D43" s="1"/>
      <c r="E43" s="1"/>
      <c r="F43" s="120"/>
      <c r="G43" s="1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/>
      <c r="C44" s="121"/>
      <c r="D44" s="122"/>
      <c r="E44" s="122"/>
      <c r="F44" s="123"/>
      <c r="G44" s="1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24"/>
      <c r="Y44" s="1"/>
      <c r="Z44" s="125"/>
      <c r="AA44" s="117"/>
      <c r="AB44" s="117"/>
      <c r="AC44" s="117"/>
      <c r="AD44" s="117"/>
      <c r="AE44" s="117"/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/>
      <c r="C45" s="1"/>
      <c r="D45" s="1"/>
      <c r="E45" s="1"/>
      <c r="F45" s="126"/>
      <c r="G45" s="126"/>
      <c r="H45" s="126"/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/>
      <c r="W45" s="118"/>
      <c r="X45" s="127"/>
      <c r="Y45" s="128"/>
      <c r="Z45" s="129"/>
      <c r="AA45" s="129"/>
      <c r="AB45" s="129"/>
      <c r="AC45" s="129"/>
      <c r="AD45" s="130"/>
      <c r="AE45" s="130"/>
      <c r="AF45" s="130"/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/>
      <c r="C46" s="122"/>
      <c r="D46" s="122"/>
      <c r="E46" s="122"/>
      <c r="F46" s="122"/>
      <c r="G46" s="122"/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/>
      <c r="Z46" s="136"/>
      <c r="AA46" s="137"/>
      <c r="AB46" s="137"/>
      <c r="AC46" s="138"/>
      <c r="AD46" s="139"/>
      <c r="AE46" s="140"/>
      <c r="AF46" s="140"/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/>
      <c r="C47" s="121"/>
      <c r="D47" s="122"/>
      <c r="E47" s="122"/>
      <c r="F47" s="122"/>
      <c r="G47" s="1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/>
      <c r="U48" s="1"/>
      <c r="V48" s="1"/>
      <c r="W48" s="117"/>
      <c r="X48" s="134"/>
      <c r="Y48" s="150"/>
      <c r="Z48" s="151"/>
      <c r="AA48" s="151"/>
      <c r="AB48" s="151"/>
      <c r="AC48" s="152"/>
      <c r="AD48" s="153"/>
      <c r="AE48" s="151"/>
      <c r="AF48" s="150"/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/>
      <c r="Z49" s="144"/>
      <c r="AA49" s="144"/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/>
      <c r="Y50" s="150"/>
      <c r="Z50" s="151"/>
      <c r="AA50" s="151"/>
      <c r="AB50" s="151"/>
      <c r="AC50" s="152"/>
      <c r="AD50" s="153"/>
      <c r="AE50" s="151"/>
      <c r="AF50" s="150"/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42"/>
      <c r="Y51" s="143"/>
      <c r="Z51" s="144"/>
      <c r="AA51" s="144"/>
      <c r="AB51" s="144"/>
      <c r="AC51" s="145"/>
      <c r="AD51" s="146"/>
      <c r="AE51" s="144"/>
      <c r="AF51" s="144"/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/>
      <c r="V52" s="1"/>
      <c r="W52" s="117"/>
      <c r="X52" s="134"/>
      <c r="Y52" s="150"/>
      <c r="Z52" s="151"/>
      <c r="AA52" s="151"/>
      <c r="AB52" s="151"/>
      <c r="AC52" s="152"/>
      <c r="AD52" s="153"/>
      <c r="AE52" s="151"/>
      <c r="AF52" s="150"/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/>
      <c r="AB53" s="144"/>
      <c r="AC53" s="157"/>
      <c r="AD53" s="146"/>
      <c r="AE53" s="144"/>
      <c r="AF53" s="143"/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/>
      <c r="Y54" s="150"/>
      <c r="Z54" s="151"/>
      <c r="AA54" s="151"/>
      <c r="AB54" s="151"/>
      <c r="AC54" s="152"/>
      <c r="AD54" s="153"/>
      <c r="AE54" s="151"/>
      <c r="AF54" s="150"/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/>
      <c r="AB55" s="144"/>
      <c r="AC55" s="145"/>
      <c r="AD55" s="146"/>
      <c r="AE55" s="144"/>
      <c r="AF55" s="144"/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34"/>
      <c r="Y56" s="150"/>
      <c r="Z56" s="151"/>
      <c r="AA56" s="151"/>
      <c r="AB56" s="151"/>
      <c r="AC56" s="152"/>
      <c r="AD56" s="153"/>
      <c r="AE56" s="151"/>
      <c r="AF56" s="150"/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/>
      <c r="Y57" s="143"/>
      <c r="Z57" s="144"/>
      <c r="AA57" s="144"/>
      <c r="AB57" s="144"/>
      <c r="AC57" s="145"/>
      <c r="AD57" s="146"/>
      <c r="AE57" s="144"/>
      <c r="AF57" s="144"/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/>
      <c r="V58" s="1"/>
      <c r="W58" s="117"/>
      <c r="X58" s="134"/>
      <c r="Y58" s="150"/>
      <c r="Z58" s="151"/>
      <c r="AA58" s="151"/>
      <c r="AB58" s="151"/>
      <c r="AC58" s="152"/>
      <c r="AD58" s="153"/>
      <c r="AE58" s="151"/>
      <c r="AF58" s="150"/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1"/>
      <c r="U59" s="1"/>
      <c r="V59" s="1"/>
      <c r="W59" s="117"/>
      <c r="X59" s="142"/>
      <c r="Y59" s="143"/>
      <c r="Z59" s="144"/>
      <c r="AA59" s="144"/>
      <c r="AB59" s="144"/>
      <c r="AC59" s="145"/>
      <c r="AD59" s="146"/>
      <c r="AE59" s="144"/>
      <c r="AF59" s="144"/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34"/>
      <c r="Y60" s="150"/>
      <c r="Z60" s="151"/>
      <c r="AA60" s="151"/>
      <c r="AB60" s="151"/>
      <c r="AC60" s="152"/>
      <c r="AD60" s="153"/>
      <c r="AE60" s="151"/>
      <c r="AF60" s="150"/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/>
      <c r="Y61" s="143"/>
      <c r="Z61" s="144"/>
      <c r="AA61" s="144"/>
      <c r="AB61" s="144"/>
      <c r="AC61" s="145"/>
      <c r="AD61" s="146"/>
      <c r="AE61" s="144"/>
      <c r="AF61" s="144"/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34"/>
      <c r="Y62" s="150"/>
      <c r="Z62" s="151"/>
      <c r="AA62" s="151"/>
      <c r="AB62" s="151"/>
      <c r="AC62" s="152"/>
      <c r="AD62" s="153"/>
      <c r="AE62" s="151"/>
      <c r="AF62" s="150"/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/>
      <c r="W63" s="117"/>
      <c r="X63" s="142"/>
      <c r="Y63" s="143"/>
      <c r="Z63" s="144"/>
      <c r="AA63" s="144"/>
      <c r="AB63" s="144"/>
      <c r="AC63" s="157"/>
      <c r="AD63" s="146"/>
      <c r="AE63" s="144"/>
      <c r="AF63" s="143"/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/>
      <c r="Y64" s="150"/>
      <c r="Z64" s="151"/>
      <c r="AA64" s="151"/>
      <c r="AB64" s="151"/>
      <c r="AC64" s="152"/>
      <c r="AD64" s="153"/>
      <c r="AE64" s="151"/>
      <c r="AF64" s="150"/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/>
      <c r="Z65" s="144"/>
      <c r="AA65" s="144"/>
      <c r="AB65" s="144"/>
      <c r="AC65" s="157"/>
      <c r="AD65" s="146"/>
      <c r="AE65" s="144"/>
      <c r="AF65" s="143"/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/>
      <c r="Y66" s="150"/>
      <c r="Z66" s="151"/>
      <c r="AA66" s="151"/>
      <c r="AB66" s="151"/>
      <c r="AC66" s="152"/>
      <c r="AD66" s="153"/>
      <c r="AE66" s="151"/>
      <c r="AF66" s="150"/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/>
      <c r="Z67" s="144"/>
      <c r="AA67" s="144"/>
      <c r="AB67" s="144"/>
      <c r="AC67" s="157"/>
      <c r="AD67" s="146"/>
      <c r="AE67" s="144"/>
      <c r="AF67" s="143"/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/>
      <c r="Y68" s="150"/>
      <c r="Z68" s="151"/>
      <c r="AA68" s="151"/>
      <c r="AB68" s="151"/>
      <c r="AC68" s="152"/>
      <c r="AD68" s="153"/>
      <c r="AE68" s="151"/>
      <c r="AF68" s="150"/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/>
      <c r="AB69" s="144"/>
      <c r="AC69" s="157"/>
      <c r="AD69" s="146"/>
      <c r="AE69" s="144"/>
      <c r="AF69" s="143"/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/>
      <c r="Y70" s="150"/>
      <c r="Z70" s="151"/>
      <c r="AA70" s="151"/>
      <c r="AB70" s="151"/>
      <c r="AC70" s="152"/>
      <c r="AD70" s="153"/>
      <c r="AE70" s="151"/>
      <c r="AF70" s="150"/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/>
      <c r="Y71" s="143"/>
      <c r="Z71" s="144"/>
      <c r="AA71" s="144"/>
      <c r="AB71" s="144"/>
      <c r="AC71" s="157"/>
      <c r="AD71" s="146"/>
      <c r="AE71" s="144"/>
      <c r="AF71" s="143"/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/>
      <c r="Y72" s="150"/>
      <c r="Z72" s="151"/>
      <c r="AA72" s="151"/>
      <c r="AB72" s="151"/>
      <c r="AC72" s="152"/>
      <c r="AD72" s="153"/>
      <c r="AE72" s="150"/>
      <c r="AF72" s="151"/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/>
      <c r="Y73" s="143"/>
      <c r="Z73" s="144"/>
      <c r="AA73" s="144"/>
      <c r="AB73" s="144"/>
      <c r="AC73" s="157"/>
      <c r="AD73" s="146"/>
      <c r="AE73" s="144"/>
      <c r="AF73" s="143"/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/>
      <c r="Y74" s="165"/>
      <c r="Z74" s="166"/>
      <c r="AA74" s="166"/>
      <c r="AB74" s="166"/>
      <c r="AC74" s="167"/>
      <c r="AD74" s="168"/>
      <c r="AE74" s="165"/>
      <c r="AF74" s="166"/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/>
      <c r="X75" s="127"/>
      <c r="Y75" s="173"/>
      <c r="Z75" s="174"/>
      <c r="AA75" s="174"/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/>
      <c r="X76" s="134"/>
      <c r="Y76" s="181"/>
      <c r="Z76" s="182"/>
      <c r="AA76" s="182"/>
      <c r="AB76" s="182"/>
      <c r="AC76" s="183"/>
      <c r="AD76" s="184"/>
      <c r="AE76" s="181"/>
      <c r="AF76" s="182"/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/>
      <c r="X77" s="142"/>
      <c r="Y77" s="189"/>
      <c r="Z77" s="190"/>
      <c r="AA77" s="190"/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/>
      <c r="Y78" s="197"/>
      <c r="Z78" s="198"/>
      <c r="AA78" s="198"/>
      <c r="AB78" s="198"/>
      <c r="AC78" s="199"/>
      <c r="AD78" s="200"/>
      <c r="AE78" s="197"/>
      <c r="AF78" s="198"/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G86"/>
  <sheetViews>
    <sheetView zoomScaleNormal="100" workbookViewId="0">
      <pane xSplit="2" ySplit="6" topLeftCell="C16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8" width="10.33203125" style="205" customWidth="1"/>
    <col min="9" max="9" width="9" style="205" customWidth="1"/>
    <col min="10" max="17" width="8" style="205" customWidth="1"/>
    <col min="18" max="18" width="9.75" style="205" customWidth="1"/>
    <col min="19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1679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1680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 t="s">
        <v>1681</v>
      </c>
      <c r="B2" s="1"/>
      <c r="C2" s="205">
        <f>SUM(平成12年度!C17:C19)</f>
        <v>135636</v>
      </c>
      <c r="D2" s="205">
        <f>SUM(平成12年度!D17:D19)</f>
        <v>117448</v>
      </c>
      <c r="E2" s="205">
        <f>SUM(平成12年度!E17:E19)</f>
        <v>111038</v>
      </c>
      <c r="F2" s="205">
        <f>SUM(平成12年度!F17:F19)</f>
        <v>6410</v>
      </c>
      <c r="G2" s="205">
        <f>SUM(平成12年度!G17:G19)</f>
        <v>18188</v>
      </c>
      <c r="H2" s="205">
        <f>SUM(平成12年度!H17:H19)</f>
        <v>263173</v>
      </c>
      <c r="I2" s="205">
        <f>SUM(平成12年度!I17:I19)</f>
        <v>223869</v>
      </c>
      <c r="J2" s="205">
        <f>SUM(平成12年度!J17:J19)</f>
        <v>155656</v>
      </c>
      <c r="K2" s="205">
        <f>SUM(平成12年度!K17:K19)</f>
        <v>68213</v>
      </c>
      <c r="L2" s="205">
        <f>SUM(平成12年度!L17:L19)</f>
        <v>39304</v>
      </c>
      <c r="M2" s="205">
        <f>SUM(平成12年度!M17:M19)</f>
        <v>27606</v>
      </c>
      <c r="N2" s="205">
        <f>SUM(平成12年度!N17:N19)</f>
        <v>11698</v>
      </c>
      <c r="O2" s="205">
        <f>SUM(平成12年度!O17:O19)</f>
        <v>81706</v>
      </c>
      <c r="P2" s="205">
        <f>SUM(平成12年度!P17:P19)</f>
        <v>62974</v>
      </c>
      <c r="Q2" s="205">
        <f>SUM(平成12年度!Q17:Q19)</f>
        <v>18732</v>
      </c>
      <c r="R2" s="205">
        <f>SUM(平成12年度!O17:O19)</f>
        <v>81706</v>
      </c>
      <c r="S2" s="205">
        <f>SUM(平成12年度!P17:P19)</f>
        <v>62974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 t="s">
        <v>1682</v>
      </c>
      <c r="B3" s="3"/>
      <c r="C3" s="3" t="s">
        <v>1683</v>
      </c>
      <c r="D3" s="3"/>
      <c r="E3" s="3" t="s">
        <v>1684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1685</v>
      </c>
      <c r="AL3" s="6" t="s">
        <v>1686</v>
      </c>
      <c r="AM3" s="7" t="s">
        <v>1687</v>
      </c>
      <c r="AN3" s="7" t="s">
        <v>1688</v>
      </c>
      <c r="AO3" s="7" t="s">
        <v>1689</v>
      </c>
      <c r="AP3" s="8" t="s">
        <v>1690</v>
      </c>
      <c r="AQ3" s="1" t="s">
        <v>1691</v>
      </c>
      <c r="AR3" s="1" t="s">
        <v>1692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 t="s">
        <v>1693</v>
      </c>
      <c r="B4" s="9" t="s">
        <v>1694</v>
      </c>
      <c r="C4" s="10" t="s">
        <v>1695</v>
      </c>
      <c r="D4" s="11"/>
      <c r="E4" s="11"/>
      <c r="F4" s="11"/>
      <c r="G4" s="12"/>
      <c r="H4" s="10" t="s">
        <v>1696</v>
      </c>
      <c r="I4" s="11"/>
      <c r="J4" s="11"/>
      <c r="K4" s="11"/>
      <c r="L4" s="11"/>
      <c r="M4" s="11"/>
      <c r="N4" s="11"/>
      <c r="O4" s="10" t="s">
        <v>1697</v>
      </c>
      <c r="P4" s="11"/>
      <c r="Q4" s="12"/>
      <c r="R4" s="13" t="s">
        <v>1698</v>
      </c>
      <c r="S4" s="14" t="s">
        <v>1699</v>
      </c>
      <c r="T4" s="15" t="s">
        <v>1700</v>
      </c>
      <c r="U4" s="15" t="s">
        <v>1701</v>
      </c>
      <c r="V4" s="16" t="s">
        <v>1702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1703</v>
      </c>
      <c r="AK4" s="18">
        <f>平成7年度!H21</f>
        <v>74679.75</v>
      </c>
      <c r="AL4" s="19">
        <f>平成7年度!C21</f>
        <v>36668.25</v>
      </c>
      <c r="AM4" s="20">
        <f>平成7年度!P21</f>
        <v>288695.58333333331</v>
      </c>
      <c r="AN4" s="20">
        <f>平成7年度!O21</f>
        <v>99576.333333333328</v>
      </c>
      <c r="AO4" s="21">
        <f>ROUND(+平成13年度!AK4/平成13年度!AM4,4)</f>
        <v>0.25869999999999999</v>
      </c>
      <c r="AP4" s="22">
        <f>ROUND(+平成13年度!AL4/平成13年度!AN4,4)</f>
        <v>0.36820000000000003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 t="s">
        <v>1704</v>
      </c>
      <c r="B5" s="23"/>
      <c r="C5" s="24" t="s">
        <v>1705</v>
      </c>
      <c r="D5" s="25" t="s">
        <v>1706</v>
      </c>
      <c r="E5" s="26" t="s">
        <v>1707</v>
      </c>
      <c r="F5" s="26" t="s">
        <v>1708</v>
      </c>
      <c r="G5" s="27" t="s">
        <v>1709</v>
      </c>
      <c r="H5" s="24" t="s">
        <v>1710</v>
      </c>
      <c r="I5" s="25" t="s">
        <v>1711</v>
      </c>
      <c r="J5" s="26" t="s">
        <v>1712</v>
      </c>
      <c r="K5" s="26" t="s">
        <v>1713</v>
      </c>
      <c r="L5" s="26" t="s">
        <v>1714</v>
      </c>
      <c r="M5" s="26" t="s">
        <v>1715</v>
      </c>
      <c r="N5" s="27" t="s">
        <v>1716</v>
      </c>
      <c r="O5" s="24" t="s">
        <v>1717</v>
      </c>
      <c r="P5" s="25" t="s">
        <v>1718</v>
      </c>
      <c r="Q5" s="27" t="s">
        <v>1719</v>
      </c>
      <c r="R5" s="24" t="s">
        <v>1720</v>
      </c>
      <c r="S5" s="25" t="s">
        <v>1721</v>
      </c>
      <c r="T5" s="26" t="s">
        <v>1722</v>
      </c>
      <c r="U5" s="28" t="s">
        <v>1723</v>
      </c>
      <c r="V5" s="29" t="s">
        <v>1724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1725</v>
      </c>
      <c r="AK5" s="31">
        <f>平成８年度!H21</f>
        <v>76218.333333333328</v>
      </c>
      <c r="AL5" s="32">
        <f>平成８年度!C21</f>
        <v>37947.583333333336</v>
      </c>
      <c r="AM5" s="33">
        <f>平成８年度!P21</f>
        <v>290091.16666666669</v>
      </c>
      <c r="AN5" s="33">
        <f>平成８年度!O21</f>
        <v>101328.25</v>
      </c>
      <c r="AO5" s="34">
        <f>ROUND(+平成13年度!AK5/平成13年度!AM5,4)</f>
        <v>0.26269999999999999</v>
      </c>
      <c r="AP5" s="35">
        <f>ROUND(+平成13年度!AL5/平成13年度!AN5,4)</f>
        <v>0.3745</v>
      </c>
      <c r="AQ5" s="36">
        <f>ROUND((+平成13年度!AO5-平成13年度!AO4),4)</f>
        <v>4.0000000000000001E-3</v>
      </c>
      <c r="AR5" s="36">
        <f>ROUND((+平成13年度!AP5-平成13年度!AP4),4)</f>
        <v>6.3E-3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 t="s">
        <v>1726</v>
      </c>
      <c r="B6" s="37"/>
      <c r="C6" s="13" t="s">
        <v>1727</v>
      </c>
      <c r="D6" s="14" t="s">
        <v>1728</v>
      </c>
      <c r="E6" s="15" t="s">
        <v>1729</v>
      </c>
      <c r="F6" s="15" t="s">
        <v>1730</v>
      </c>
      <c r="G6" s="16" t="s">
        <v>1731</v>
      </c>
      <c r="H6" s="38" t="s">
        <v>1732</v>
      </c>
      <c r="I6" s="14" t="s">
        <v>1733</v>
      </c>
      <c r="J6" s="15" t="s">
        <v>1734</v>
      </c>
      <c r="K6" s="15" t="s">
        <v>1735</v>
      </c>
      <c r="L6" s="15" t="s">
        <v>1736</v>
      </c>
      <c r="M6" s="15" t="s">
        <v>1737</v>
      </c>
      <c r="N6" s="16" t="s">
        <v>1738</v>
      </c>
      <c r="O6" s="13" t="s">
        <v>1739</v>
      </c>
      <c r="P6" s="14" t="s">
        <v>1740</v>
      </c>
      <c r="Q6" s="16" t="s">
        <v>1741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1742</v>
      </c>
      <c r="AK6" s="31" t="e">
        <f>平成９年度!H21</f>
        <v>#VALUE!</v>
      </c>
      <c r="AL6" s="32" t="e">
        <f>平成９年度!C21</f>
        <v>#VALUE!</v>
      </c>
      <c r="AM6" s="33" t="e">
        <f>平成９年度!P21</f>
        <v>#VALUE!</v>
      </c>
      <c r="AN6" s="33" t="e">
        <f>平成９年度!O21</f>
        <v>#VALUE!</v>
      </c>
      <c r="AO6" s="34" t="e">
        <f>ROUND(+平成13年度!AK6/平成13年度!AM6,4)</f>
        <v>#VALUE!</v>
      </c>
      <c r="AP6" s="35" t="e">
        <f>ROUND(+平成13年度!AL6/平成13年度!AN6,4)</f>
        <v>#VALUE!</v>
      </c>
      <c r="AQ6" s="36" t="e">
        <f>ROUND((+平成13年度!AO6-平成13年度!AO5),4)</f>
        <v>#VALUE!</v>
      </c>
      <c r="AR6" s="36" t="e">
        <f>ROUND((+平成13年度!AP6-平成13年度!AP5),4)</f>
        <v>#VALUE!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 t="s">
        <v>1743</v>
      </c>
      <c r="B8" s="43" t="s">
        <v>1744</v>
      </c>
      <c r="C8" s="44">
        <v>45857</v>
      </c>
      <c r="D8" s="45">
        <f>平成13年度!E8+平成13年度!F8</f>
        <v>39565</v>
      </c>
      <c r="E8" s="45">
        <f>平成13年度!C8-平成13年度!G8-平成13年度!F8</f>
        <v>37353</v>
      </c>
      <c r="F8" s="46">
        <v>2212</v>
      </c>
      <c r="G8" s="47">
        <v>6292</v>
      </c>
      <c r="H8" s="48">
        <f>平成13年度!I8+平成13年度!L8</f>
        <v>88827</v>
      </c>
      <c r="I8" s="45">
        <f>平成13年度!J8+平成13年度!K8</f>
        <v>75167</v>
      </c>
      <c r="J8" s="46">
        <v>52060</v>
      </c>
      <c r="K8" s="49">
        <v>23107</v>
      </c>
      <c r="L8" s="45">
        <f>平成13年度!M8+平成13年度!N8</f>
        <v>13660</v>
      </c>
      <c r="M8" s="46">
        <v>9528</v>
      </c>
      <c r="N8" s="47">
        <v>4132</v>
      </c>
      <c r="O8" s="44">
        <v>27736</v>
      </c>
      <c r="P8" s="45">
        <f>平成13年度!O8-平成13年度!Q8</f>
        <v>21059</v>
      </c>
      <c r="Q8" s="47">
        <v>6677</v>
      </c>
      <c r="R8" s="44">
        <v>108207</v>
      </c>
      <c r="S8" s="46">
        <v>294766</v>
      </c>
      <c r="T8" s="50">
        <f>平成13年度!C8/平成13年度!R8</f>
        <v>0.42378958847394343</v>
      </c>
      <c r="U8" s="51">
        <f>平成13年度!H8/平成13年度!S8</f>
        <v>0.3013475095499481</v>
      </c>
      <c r="V8" s="52">
        <f>平成13年度!L8/平成13年度!H8</f>
        <v>0.15378207076677136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1745</v>
      </c>
      <c r="AK8" s="31" t="e">
        <f>平成10年度!H21</f>
        <v>#VALUE!</v>
      </c>
      <c r="AL8" s="32" t="e">
        <f>平成10年度!C21</f>
        <v>#VALUE!</v>
      </c>
      <c r="AM8" s="33" t="e">
        <f>平成10年度!P21</f>
        <v>#VALUE!</v>
      </c>
      <c r="AN8" s="33" t="e">
        <f>平成10年度!O21</f>
        <v>#VALUE!</v>
      </c>
      <c r="AO8" s="34" t="e">
        <f>ROUND(+平成13年度!AK8/平成13年度!AM8,4)</f>
        <v>#VALUE!</v>
      </c>
      <c r="AP8" s="35" t="e">
        <f>ROUND(+平成13年度!AL8/平成13年度!AN8,4)</f>
        <v>#VALUE!</v>
      </c>
      <c r="AQ8" s="36" t="e">
        <f>ROUND((+平成13年度!AO8-平成13年度!AO6),4)</f>
        <v>#VALUE!</v>
      </c>
      <c r="AR8" s="36" t="e">
        <f>ROUND((+平成13年度!AP8-平成13年度!AP6),4)</f>
        <v>#VALUE!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 t="s">
        <v>1746</v>
      </c>
      <c r="B9" s="43" t="s">
        <v>1747</v>
      </c>
      <c r="C9" s="44">
        <v>45993</v>
      </c>
      <c r="D9" s="45">
        <f>平成13年度!E9+平成13年度!F9</f>
        <v>39684</v>
      </c>
      <c r="E9" s="45">
        <f>平成13年度!C9-平成13年度!G9-平成13年度!F9</f>
        <v>37471</v>
      </c>
      <c r="F9" s="46">
        <v>2213</v>
      </c>
      <c r="G9" s="47">
        <v>6309</v>
      </c>
      <c r="H9" s="48">
        <f>平成13年度!I9+平成13年度!L9</f>
        <v>88999</v>
      </c>
      <c r="I9" s="45">
        <f>平成13年度!J9+平成13年度!K9</f>
        <v>75311</v>
      </c>
      <c r="J9" s="46">
        <v>52111</v>
      </c>
      <c r="K9" s="49">
        <v>23200</v>
      </c>
      <c r="L9" s="45">
        <f>平成13年度!M9+平成13年度!N9</f>
        <v>13688</v>
      </c>
      <c r="M9" s="46">
        <v>9548</v>
      </c>
      <c r="N9" s="47">
        <v>4140</v>
      </c>
      <c r="O9" s="44">
        <v>27723</v>
      </c>
      <c r="P9" s="45">
        <f>平成13年度!O9-平成13年度!Q9</f>
        <v>21041</v>
      </c>
      <c r="Q9" s="47">
        <v>6682</v>
      </c>
      <c r="R9" s="44">
        <v>108385</v>
      </c>
      <c r="S9" s="46">
        <v>295002</v>
      </c>
      <c r="T9" s="50">
        <f>平成13年度!C9/平成13年度!R9</f>
        <v>0.42434838769202382</v>
      </c>
      <c r="U9" s="51">
        <f>平成13年度!H9/平成13年度!S9</f>
        <v>0.30168948007132157</v>
      </c>
      <c r="V9" s="52">
        <f>平成13年度!L9/平成13年度!H9</f>
        <v>0.15379948089304374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1748</v>
      </c>
      <c r="AK9" s="31">
        <f>平成11年度!H21</f>
        <v>83847.916666666672</v>
      </c>
      <c r="AL9" s="32">
        <f>平成11年度!C21</f>
        <v>42852.25</v>
      </c>
      <c r="AM9" s="33">
        <f>平成11年度!P21</f>
        <v>292958.75</v>
      </c>
      <c r="AN9" s="33">
        <f>平成11年度!O21</f>
        <v>105725.41666666667</v>
      </c>
      <c r="AO9" s="34">
        <f>ROUND(+平成13年度!AK9/平成13年度!AM9,4)</f>
        <v>0.28620000000000001</v>
      </c>
      <c r="AP9" s="35">
        <f>ROUND(+平成13年度!AL9/平成13年度!AN9,4)</f>
        <v>0.40529999999999999</v>
      </c>
      <c r="AQ9" s="36" t="e">
        <f>ROUND((+平成13年度!AO9-平成13年度!AO8),4)</f>
        <v>#VALUE!</v>
      </c>
      <c r="AR9" s="36" t="e">
        <f>ROUND((+平成13年度!AP9-平成13年度!AP8),4)</f>
        <v>#VALUE!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 t="s">
        <v>1749</v>
      </c>
      <c r="B10" s="53" t="s">
        <v>1750</v>
      </c>
      <c r="C10" s="54">
        <v>46154</v>
      </c>
      <c r="D10" s="55">
        <f>平成13年度!E10+平成13年度!F10</f>
        <v>39773</v>
      </c>
      <c r="E10" s="55">
        <f>平成13年度!C10-平成13年度!G10-平成13年度!F10</f>
        <v>37542</v>
      </c>
      <c r="F10" s="56">
        <v>2231</v>
      </c>
      <c r="G10" s="57">
        <v>6381</v>
      </c>
      <c r="H10" s="58">
        <f>平成13年度!I10+平成13年度!L10</f>
        <v>89186</v>
      </c>
      <c r="I10" s="55">
        <f>平成13年度!J10+平成13年度!K10</f>
        <v>75353</v>
      </c>
      <c r="J10" s="56">
        <v>52076</v>
      </c>
      <c r="K10" s="59">
        <v>23277</v>
      </c>
      <c r="L10" s="55">
        <f>平成13年度!M10+平成13年度!N10</f>
        <v>13833</v>
      </c>
      <c r="M10" s="56">
        <v>9647</v>
      </c>
      <c r="N10" s="57">
        <v>4186</v>
      </c>
      <c r="O10" s="54">
        <v>27797</v>
      </c>
      <c r="P10" s="55">
        <f>平成13年度!O10-平成13年度!Q10</f>
        <v>21070</v>
      </c>
      <c r="Q10" s="57">
        <v>6727</v>
      </c>
      <c r="R10" s="54">
        <v>108498</v>
      </c>
      <c r="S10" s="56">
        <v>295036</v>
      </c>
      <c r="T10" s="60">
        <f>平成13年度!C10/平成13年度!R10</f>
        <v>0.42539032977566404</v>
      </c>
      <c r="U10" s="61">
        <f>平成13年度!H10/平成13年度!S10</f>
        <v>0.30228853428056235</v>
      </c>
      <c r="V10" s="62">
        <f>平成13年度!L10/平成13年度!H10</f>
        <v>0.15510281882806717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1751</v>
      </c>
      <c r="AK10" s="64" t="e">
        <f>平成12年度!H21</f>
        <v>#VALUE!</v>
      </c>
      <c r="AL10" s="65">
        <f>平成12年度!C21</f>
        <v>44687.75</v>
      </c>
      <c r="AM10" s="66" t="e">
        <f>平成12年度!P21</f>
        <v>#VALUE!</v>
      </c>
      <c r="AN10" s="66">
        <f>平成12年度!O21</f>
        <v>27409.75</v>
      </c>
      <c r="AO10" s="67" t="e">
        <f>ROUND(+平成13年度!AK10/平成13年度!AM10,4)</f>
        <v>#VALUE!</v>
      </c>
      <c r="AP10" s="68">
        <f>ROUND(+平成13年度!AL10/平成13年度!AN10,4)</f>
        <v>1.6304000000000001</v>
      </c>
      <c r="AQ10" s="36" t="e">
        <f>ROUND((+平成13年度!AO10-平成13年度!AO9),4)</f>
        <v>#VALUE!</v>
      </c>
      <c r="AR10" s="36">
        <f>ROUND((+平成13年度!AP10-平成13年度!AP9),4)</f>
        <v>1.2251000000000001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 t="s">
        <v>1752</v>
      </c>
      <c r="B11" s="53" t="s">
        <v>1753</v>
      </c>
      <c r="C11" s="54">
        <v>46409</v>
      </c>
      <c r="D11" s="55">
        <f>平成13年度!E11+平成13年度!F11</f>
        <v>39970</v>
      </c>
      <c r="E11" s="55">
        <f>平成13年度!C11-平成13年度!G11-平成13年度!F11</f>
        <v>37701</v>
      </c>
      <c r="F11" s="56">
        <v>2269</v>
      </c>
      <c r="G11" s="57">
        <v>6439</v>
      </c>
      <c r="H11" s="58">
        <f>平成13年度!I11+平成13年度!L11</f>
        <v>89690</v>
      </c>
      <c r="I11" s="55">
        <f>平成13年度!J11+平成13年度!K11</f>
        <v>75688</v>
      </c>
      <c r="J11" s="56">
        <v>52301</v>
      </c>
      <c r="K11" s="59">
        <v>23387</v>
      </c>
      <c r="L11" s="55">
        <f>平成13年度!M11+平成13年度!N11</f>
        <v>14002</v>
      </c>
      <c r="M11" s="56">
        <v>9738</v>
      </c>
      <c r="N11" s="57">
        <v>4264</v>
      </c>
      <c r="O11" s="54">
        <v>27998</v>
      </c>
      <c r="P11" s="55">
        <f>平成13年度!O11-平成13年度!Q11</f>
        <v>21034</v>
      </c>
      <c r="Q11" s="57">
        <v>6964</v>
      </c>
      <c r="R11" s="54">
        <v>108655</v>
      </c>
      <c r="S11" s="56">
        <v>295267</v>
      </c>
      <c r="T11" s="60">
        <f>平成13年度!C11/平成13年度!R11</f>
        <v>0.42712254383139292</v>
      </c>
      <c r="U11" s="61">
        <f>平成13年度!H11/平成13年度!S11</f>
        <v>0.30375897069432073</v>
      </c>
      <c r="V11" s="62">
        <f>平成13年度!L11/平成13年度!H11</f>
        <v>0.15611550897535958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1754</v>
      </c>
      <c r="AK11" s="70" t="e">
        <f>平成13年度!H21</f>
        <v>#VALUE!</v>
      </c>
      <c r="AL11" s="71">
        <f>平成13年度!C21</f>
        <v>46751.916666666664</v>
      </c>
      <c r="AM11" s="72">
        <f>平成13年度!S21</f>
        <v>295558.66666666669</v>
      </c>
      <c r="AN11" s="72">
        <f>平成13年度!R21</f>
        <v>108970.5</v>
      </c>
      <c r="AO11" s="73" t="e">
        <f>ROUND(+平成13年度!AK11/平成13年度!AM11,4)</f>
        <v>#VALUE!</v>
      </c>
      <c r="AP11" s="74">
        <f>ROUND(+平成13年度!AL11/平成13年度!AN11,4)</f>
        <v>0.42899999999999999</v>
      </c>
      <c r="AQ11" s="36" t="e">
        <f>ROUND((+平成13年度!AO11-平成13年度!AO10),4)</f>
        <v>#VALUE!</v>
      </c>
      <c r="AR11" s="36">
        <f>ROUND((+平成13年度!AP11-平成13年度!AP10),4)</f>
        <v>-1.2014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 t="s">
        <v>1755</v>
      </c>
      <c r="B12" s="53" t="s">
        <v>1756</v>
      </c>
      <c r="C12" s="54">
        <v>46542</v>
      </c>
      <c r="D12" s="55">
        <f>平成13年度!E12+平成13年度!F12</f>
        <v>40121</v>
      </c>
      <c r="E12" s="55">
        <f>平成13年度!C12-平成13年度!G12-平成13年度!F12</f>
        <v>37845</v>
      </c>
      <c r="F12" s="56">
        <v>2276</v>
      </c>
      <c r="G12" s="57">
        <v>6421</v>
      </c>
      <c r="H12" s="58">
        <f>平成13年度!I12+平成13年度!L12</f>
        <v>89896</v>
      </c>
      <c r="I12" s="55">
        <f>平成13年度!J12+平成13年度!K12</f>
        <v>75921</v>
      </c>
      <c r="J12" s="56">
        <v>52400</v>
      </c>
      <c r="K12" s="59">
        <v>23521</v>
      </c>
      <c r="L12" s="55">
        <f>平成13年度!M12+平成13年度!N12</f>
        <v>13975</v>
      </c>
      <c r="M12" s="56">
        <v>9719</v>
      </c>
      <c r="N12" s="57">
        <v>4256</v>
      </c>
      <c r="O12" s="54">
        <v>27966</v>
      </c>
      <c r="P12" s="55">
        <f>平成13年度!O12-平成13年度!Q12</f>
        <v>21034</v>
      </c>
      <c r="Q12" s="57">
        <v>6932</v>
      </c>
      <c r="R12" s="54">
        <v>108838</v>
      </c>
      <c r="S12" s="56">
        <v>295517</v>
      </c>
      <c r="T12" s="60">
        <f>平成13年度!C12/平成13年度!R12</f>
        <v>0.42762638049210755</v>
      </c>
      <c r="U12" s="61">
        <f>平成13年度!H12/平成13年度!S12</f>
        <v>0.30419908160951825</v>
      </c>
      <c r="V12" s="62">
        <f>平成13年度!L12/平成13年度!H12</f>
        <v>0.15545741746017622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1757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 t="s">
        <v>1758</v>
      </c>
      <c r="B13" s="43" t="s">
        <v>1759</v>
      </c>
      <c r="C13" s="44">
        <v>46687</v>
      </c>
      <c r="D13" s="45">
        <f>平成13年度!E13+平成13年度!F13</f>
        <v>40308</v>
      </c>
      <c r="E13" s="45">
        <f>平成13年度!C13-平成13年度!G13-平成13年度!F13</f>
        <v>38031</v>
      </c>
      <c r="F13" s="46">
        <v>2277</v>
      </c>
      <c r="G13" s="47">
        <v>6379</v>
      </c>
      <c r="H13" s="58">
        <f>平成13年度!I13+平成13年度!L13</f>
        <v>90173</v>
      </c>
      <c r="I13" s="45">
        <f>平成13年度!J13+平成13年度!K13</f>
        <v>76263</v>
      </c>
      <c r="J13" s="46">
        <v>52630</v>
      </c>
      <c r="K13" s="49">
        <v>23633</v>
      </c>
      <c r="L13" s="45">
        <f>平成13年度!M13+平成13年度!N13</f>
        <v>13910</v>
      </c>
      <c r="M13" s="46">
        <v>9668</v>
      </c>
      <c r="N13" s="47">
        <v>4242</v>
      </c>
      <c r="O13" s="44">
        <v>27962</v>
      </c>
      <c r="P13" s="45">
        <f>平成13年度!O13-平成13年度!Q13</f>
        <v>21070</v>
      </c>
      <c r="Q13" s="47">
        <v>6892</v>
      </c>
      <c r="R13" s="44">
        <v>108948</v>
      </c>
      <c r="S13" s="46">
        <v>295654</v>
      </c>
      <c r="T13" s="50">
        <f>平成13年度!C13/平成13年度!R13</f>
        <v>0.42852553511767083</v>
      </c>
      <c r="U13" s="51">
        <f>平成13年度!H13/平成13年度!S13</f>
        <v>0.30499502797188605</v>
      </c>
      <c r="V13" s="52">
        <f>平成13年度!L13/平成13年度!H13</f>
        <v>0.15425903540971245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1760</v>
      </c>
      <c r="AK13" s="76" t="e">
        <f>平成13年度!AK10/平成13年度!AK4</f>
        <v>#VALUE!</v>
      </c>
      <c r="AL13" s="77">
        <f>平成13年度!AL10/平成13年度!AL4</f>
        <v>1.2187041923189681</v>
      </c>
      <c r="AM13" s="77" t="e">
        <f>平成13年度!AM10/平成13年度!AM4</f>
        <v>#VALUE!</v>
      </c>
      <c r="AN13" s="77">
        <f>平成13年度!AN10/平成13年度!AN4</f>
        <v>0.27526370054464083</v>
      </c>
      <c r="AO13" s="78" t="e">
        <f>平成13年度!AO10/平成13年度!AO4</f>
        <v>#VALUE!</v>
      </c>
      <c r="AP13" s="74">
        <f>平成13年度!AP10/平成13年度!AP4</f>
        <v>4.4280282455187399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 t="s">
        <v>1761</v>
      </c>
      <c r="B14" s="43" t="s">
        <v>1762</v>
      </c>
      <c r="C14" s="44">
        <v>46928</v>
      </c>
      <c r="D14" s="45">
        <f>平成13年度!E14+平成13年度!F14</f>
        <v>40522</v>
      </c>
      <c r="E14" s="45">
        <f>平成13年度!C14-平成13年度!G14-平成13年度!F14</f>
        <v>38237</v>
      </c>
      <c r="F14" s="46">
        <v>2285</v>
      </c>
      <c r="G14" s="47">
        <v>6406</v>
      </c>
      <c r="H14" s="48">
        <f>平成13年度!I14+平成13年度!L14</f>
        <v>90552</v>
      </c>
      <c r="I14" s="45">
        <f>平成13年度!J14+平成13年度!K14</f>
        <v>76558</v>
      </c>
      <c r="J14" s="46">
        <v>52780</v>
      </c>
      <c r="K14" s="49">
        <v>23778</v>
      </c>
      <c r="L14" s="45">
        <f>平成13年度!M14+平成13年度!N14</f>
        <v>13994</v>
      </c>
      <c r="M14" s="46">
        <v>9705</v>
      </c>
      <c r="N14" s="47">
        <v>4289</v>
      </c>
      <c r="O14" s="44">
        <v>28068</v>
      </c>
      <c r="P14" s="45">
        <f>平成13年度!O14-平成13年度!Q14</f>
        <v>21128</v>
      </c>
      <c r="Q14" s="47">
        <v>6940</v>
      </c>
      <c r="R14" s="44">
        <v>109102</v>
      </c>
      <c r="S14" s="46">
        <v>295835</v>
      </c>
      <c r="T14" s="50">
        <f>平成13年度!C14/平成13年度!R14</f>
        <v>0.43012960349031182</v>
      </c>
      <c r="U14" s="51">
        <f>平成13年度!H14/平成13年度!S14</f>
        <v>0.30608954315750336</v>
      </c>
      <c r="V14" s="52">
        <f>平成13年度!L14/平成13年度!H14</f>
        <v>0.15454103719409842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 t="s">
        <v>1763</v>
      </c>
      <c r="B15" s="53" t="s">
        <v>1764</v>
      </c>
      <c r="C15" s="54">
        <v>47044</v>
      </c>
      <c r="D15" s="55">
        <f>平成13年度!E15+平成13年度!F15</f>
        <v>40638</v>
      </c>
      <c r="E15" s="55">
        <f>平成13年度!C15-平成13年度!G15-平成13年度!F15</f>
        <v>38361</v>
      </c>
      <c r="F15" s="56">
        <v>2277</v>
      </c>
      <c r="G15" s="57">
        <v>6406</v>
      </c>
      <c r="H15" s="58">
        <f>平成13年度!I15+平成13年度!L15</f>
        <v>90616</v>
      </c>
      <c r="I15" s="55">
        <f>平成13年度!J15+平成13年度!K15</f>
        <v>76629</v>
      </c>
      <c r="J15" s="56">
        <v>52762</v>
      </c>
      <c r="K15" s="59">
        <v>23867</v>
      </c>
      <c r="L15" s="55">
        <f>平成13年度!M15+平成13年度!N15</f>
        <v>13987</v>
      </c>
      <c r="M15" s="56">
        <v>9695</v>
      </c>
      <c r="N15" s="57">
        <v>4292</v>
      </c>
      <c r="O15" s="54">
        <v>28045</v>
      </c>
      <c r="P15" s="55">
        <f>平成13年度!O15-平成13年度!Q15</f>
        <v>21125</v>
      </c>
      <c r="Q15" s="57">
        <v>6920</v>
      </c>
      <c r="R15" s="54">
        <v>109282</v>
      </c>
      <c r="S15" s="56">
        <v>295968</v>
      </c>
      <c r="T15" s="60">
        <f>平成13年度!C15/平成13年度!R15</f>
        <v>0.43048260463754323</v>
      </c>
      <c r="U15" s="61">
        <f>平成13年度!H15/平成13年度!S15</f>
        <v>0.30616823440371932</v>
      </c>
      <c r="V15" s="62">
        <f>平成13年度!L15/平成13年度!H15</f>
        <v>0.15435463935728791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1765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 t="s">
        <v>1766</v>
      </c>
      <c r="B16" s="43" t="s">
        <v>1767</v>
      </c>
      <c r="C16" s="44">
        <v>47183</v>
      </c>
      <c r="D16" s="45">
        <f>平成13年度!E16+平成13年度!F16</f>
        <v>40790</v>
      </c>
      <c r="E16" s="45">
        <f>平成13年度!C16-平成13年度!G16-平成13年度!F16</f>
        <v>38505</v>
      </c>
      <c r="F16" s="46">
        <v>2285</v>
      </c>
      <c r="G16" s="47">
        <v>6393</v>
      </c>
      <c r="H16" s="48">
        <f>平成13年度!I16+平成13年度!L16</f>
        <v>90868</v>
      </c>
      <c r="I16" s="45">
        <f>平成13年度!J16+平成13年度!K16</f>
        <v>76878</v>
      </c>
      <c r="J16" s="46">
        <v>52923</v>
      </c>
      <c r="K16" s="49">
        <v>23955</v>
      </c>
      <c r="L16" s="45">
        <f>平成13年度!M16+平成13年度!N16</f>
        <v>13990</v>
      </c>
      <c r="M16" s="46">
        <v>9693</v>
      </c>
      <c r="N16" s="47">
        <v>4297</v>
      </c>
      <c r="O16" s="44">
        <v>28071</v>
      </c>
      <c r="P16" s="45">
        <f>平成13年度!O16-平成13年度!Q16</f>
        <v>21176</v>
      </c>
      <c r="Q16" s="47">
        <v>6895</v>
      </c>
      <c r="R16" s="44">
        <v>109378</v>
      </c>
      <c r="S16" s="46">
        <v>296037</v>
      </c>
      <c r="T16" s="50">
        <f>平成13年度!C16/平成13年度!R16</f>
        <v>0.43137559655506591</v>
      </c>
      <c r="U16" s="51">
        <f>平成13年度!H16/平成13年度!S16</f>
        <v>0.30694811797174004</v>
      </c>
      <c r="V16" s="52">
        <f>平成13年度!L16/平成13年度!H16</f>
        <v>0.15395958973456003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1768</v>
      </c>
      <c r="C17" s="44">
        <v>47362</v>
      </c>
      <c r="D17" s="45">
        <f>平成13年度!E17+平成13年度!F17</f>
        <v>40947</v>
      </c>
      <c r="E17" s="45">
        <f>平成13年度!C17-平成13年度!G17-平成13年度!F17</f>
        <v>38625</v>
      </c>
      <c r="F17" s="46">
        <v>2322</v>
      </c>
      <c r="G17" s="47">
        <v>6415</v>
      </c>
      <c r="H17" s="58">
        <f>平成13年度!I17+平成13年度!L17</f>
        <v>91119</v>
      </c>
      <c r="I17" s="45">
        <f>平成13年度!J17+平成13年度!K17</f>
        <v>77062</v>
      </c>
      <c r="J17" s="46">
        <v>53019</v>
      </c>
      <c r="K17" s="49">
        <v>24043</v>
      </c>
      <c r="L17" s="45">
        <f>平成13年度!M17+平成13年度!N17</f>
        <v>14057</v>
      </c>
      <c r="M17" s="46">
        <v>9741</v>
      </c>
      <c r="N17" s="47">
        <v>4316</v>
      </c>
      <c r="O17" s="44">
        <v>27970</v>
      </c>
      <c r="P17" s="45">
        <f>平成13年度!O17-平成13年度!Q17</f>
        <v>21110</v>
      </c>
      <c r="Q17" s="47">
        <v>6860</v>
      </c>
      <c r="R17" s="44">
        <v>109487</v>
      </c>
      <c r="S17" s="46">
        <v>296131</v>
      </c>
      <c r="T17" s="50">
        <f>平成13年度!C17/平成13年度!R17</f>
        <v>0.43258103701809347</v>
      </c>
      <c r="U17" s="51">
        <f>平成13年度!H17/平成13年度!S17</f>
        <v>0.30769828217917072</v>
      </c>
      <c r="V17" s="52">
        <f>平成13年度!L17/平成13年度!H17</f>
        <v>0.15427078874877906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1769</v>
      </c>
      <c r="AL17" s="6" t="s">
        <v>1770</v>
      </c>
      <c r="AM17" s="7" t="s">
        <v>1771</v>
      </c>
      <c r="AN17" s="7" t="s">
        <v>1772</v>
      </c>
      <c r="AO17" s="7" t="s">
        <v>1773</v>
      </c>
      <c r="AP17" s="8" t="s">
        <v>1774</v>
      </c>
      <c r="AQ17" s="1" t="s">
        <v>1775</v>
      </c>
      <c r="AR17" s="1" t="s">
        <v>1776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1777</v>
      </c>
      <c r="C18" s="54">
        <v>47362</v>
      </c>
      <c r="D18" s="55">
        <f>平成13年度!E18+平成13年度!F18</f>
        <v>40968</v>
      </c>
      <c r="E18" s="55">
        <f>平成13年度!C18-平成13年度!G18-平成13年度!F18</f>
        <v>38651</v>
      </c>
      <c r="F18" s="56">
        <v>2317</v>
      </c>
      <c r="G18" s="57">
        <v>6394</v>
      </c>
      <c r="H18" s="58">
        <f>平成13年度!I18+平成13年度!L18</f>
        <v>91184</v>
      </c>
      <c r="I18" s="55">
        <f>平成13年度!J18+平成13年度!K18</f>
        <v>77152</v>
      </c>
      <c r="J18" s="56">
        <v>52914</v>
      </c>
      <c r="K18" s="59">
        <v>24238</v>
      </c>
      <c r="L18" s="55">
        <f>平成13年度!M18+平成13年度!N18</f>
        <v>14032</v>
      </c>
      <c r="M18" s="56">
        <v>9715</v>
      </c>
      <c r="N18" s="57">
        <v>4317</v>
      </c>
      <c r="O18" s="54">
        <v>27864</v>
      </c>
      <c r="P18" s="55">
        <f>平成13年度!O18-平成13年度!Q18</f>
        <v>21036</v>
      </c>
      <c r="Q18" s="57">
        <v>6828</v>
      </c>
      <c r="R18" s="54">
        <v>109442</v>
      </c>
      <c r="S18" s="56">
        <v>296072</v>
      </c>
      <c r="T18" s="60">
        <f>平成13年度!C18/平成13年度!R18</f>
        <v>0.43275890425979058</v>
      </c>
      <c r="U18" s="61">
        <f>平成13年度!H18/平成13年度!S18</f>
        <v>0.3079791402091383</v>
      </c>
      <c r="V18" s="62">
        <f>平成13年度!L18/平成13年度!H18</f>
        <v>0.15388664678013686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1778</v>
      </c>
      <c r="AK18" s="18">
        <f>平成7年度!H19</f>
        <v>75303</v>
      </c>
      <c r="AL18" s="19">
        <f>平成7年度!C19</f>
        <v>37108</v>
      </c>
      <c r="AM18" s="20">
        <f>平成7年度!P19</f>
        <v>288713</v>
      </c>
      <c r="AN18" s="20">
        <f>平成7年度!O19</f>
        <v>99950</v>
      </c>
      <c r="AO18" s="21">
        <f>ROUND(+平成13年度!AK18/平成13年度!AM18,4)</f>
        <v>0.26079999999999998</v>
      </c>
      <c r="AP18" s="22">
        <f>ROUND(+平成13年度!AL18/平成13年度!AN18,4)</f>
        <v>0.37130000000000002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1779</v>
      </c>
      <c r="C19" s="54">
        <v>47502</v>
      </c>
      <c r="D19" s="55">
        <f>平成13年度!E19+平成13年度!F19</f>
        <v>41042</v>
      </c>
      <c r="E19" s="55">
        <f>平成13年度!C19-平成13年度!G19-平成13年度!F19</f>
        <v>38733</v>
      </c>
      <c r="F19" s="56">
        <v>2309</v>
      </c>
      <c r="G19" s="57">
        <v>6460</v>
      </c>
      <c r="H19" s="58">
        <f>平成13年度!I19+平成13年度!L19</f>
        <v>91363</v>
      </c>
      <c r="I19" s="55">
        <f>平成13年度!J19+平成13年度!K19</f>
        <v>77214</v>
      </c>
      <c r="J19" s="56">
        <v>52869</v>
      </c>
      <c r="K19" s="59">
        <v>24345</v>
      </c>
      <c r="L19" s="55">
        <f>平成13年度!M19+平成13年度!N19</f>
        <v>14149</v>
      </c>
      <c r="M19" s="56">
        <v>9782</v>
      </c>
      <c r="N19" s="57">
        <v>4367</v>
      </c>
      <c r="O19" s="54">
        <v>27824</v>
      </c>
      <c r="P19" s="55">
        <f>平成13年度!O19-平成13年度!Q19</f>
        <v>21019</v>
      </c>
      <c r="Q19" s="57">
        <v>6805</v>
      </c>
      <c r="R19" s="54">
        <v>109424</v>
      </c>
      <c r="S19" s="56">
        <v>295419</v>
      </c>
      <c r="T19" s="60">
        <f>平成13年度!C19/平成13年度!R19</f>
        <v>0.43410951893551691</v>
      </c>
      <c r="U19" s="61">
        <f>平成13年度!H19/平成13年度!S19</f>
        <v>0.309265822442023</v>
      </c>
      <c r="V19" s="62">
        <f>平成13年度!L19/平成13年度!H19</f>
        <v>0.15486575528386765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1780</v>
      </c>
      <c r="AK19" s="31">
        <f>平成８年度!H19</f>
        <v>76694</v>
      </c>
      <c r="AL19" s="32">
        <f>平成８年度!C19</f>
        <v>38366</v>
      </c>
      <c r="AM19" s="33">
        <f>平成８年度!P19</f>
        <v>290105</v>
      </c>
      <c r="AN19" s="33">
        <f>平成８年度!O19</f>
        <v>101745</v>
      </c>
      <c r="AO19" s="34">
        <f>ROUND(+平成13年度!AK19/平成13年度!AM19,4)</f>
        <v>0.26440000000000002</v>
      </c>
      <c r="AP19" s="35">
        <f>ROUND(+平成13年度!AL19/平成13年度!AN19,4)</f>
        <v>0.37709999999999999</v>
      </c>
      <c r="AQ19" s="36">
        <f>ROUND((+平成13年度!AO19-平成13年度!AO18),4)</f>
        <v>3.5999999999999999E-3</v>
      </c>
      <c r="AR19" s="36">
        <f>ROUND((+平成13年度!AP19-平成13年度!AP18),4)</f>
        <v>5.7999999999999996E-3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1781</v>
      </c>
      <c r="C20" s="48">
        <f>SUM(平成13年度!C8:C19)</f>
        <v>561023</v>
      </c>
      <c r="D20" s="45">
        <f>SUM(平成13年度!D8:D19)</f>
        <v>484328</v>
      </c>
      <c r="E20" s="79">
        <f>SUM(平成13年度!E8:E19)</f>
        <v>457055</v>
      </c>
      <c r="F20" s="79">
        <f>SUM(平成13年度!F8:F19)</f>
        <v>27273</v>
      </c>
      <c r="G20" s="80">
        <f>SUM(平成13年度!G8:G19)</f>
        <v>76695</v>
      </c>
      <c r="H20" s="48">
        <f>SUM(平成13年度!H8:H19)</f>
        <v>1082473</v>
      </c>
      <c r="I20" s="45">
        <f>SUM(平成13年度!I8:I19)</f>
        <v>915196</v>
      </c>
      <c r="J20" s="79">
        <f>SUM(平成13年度!J8:J19)</f>
        <v>630845</v>
      </c>
      <c r="K20" s="79">
        <f>SUM(平成13年度!K8:K19)</f>
        <v>284351</v>
      </c>
      <c r="L20" s="79">
        <f>SUM(平成13年度!L8:L19)</f>
        <v>167277</v>
      </c>
      <c r="M20" s="79">
        <f>SUM(平成13年度!M8:M19)</f>
        <v>116179</v>
      </c>
      <c r="N20" s="80">
        <f>SUM(平成13年度!N8:N19)</f>
        <v>51098</v>
      </c>
      <c r="O20" s="48">
        <f>SUM(平成13年度!O8:O19)</f>
        <v>335024</v>
      </c>
      <c r="P20" s="45">
        <f>SUM(平成13年度!P8:P19)</f>
        <v>252902</v>
      </c>
      <c r="Q20" s="80">
        <f>SUM(平成13年度!Q8:Q19)</f>
        <v>82122</v>
      </c>
      <c r="R20" s="48">
        <f>SUM(平成13年度!R8:R19)</f>
        <v>1307646</v>
      </c>
      <c r="S20" s="45">
        <f>SUM(平成13年度!S8:S19)</f>
        <v>3546704</v>
      </c>
      <c r="T20" s="50">
        <f>平成13年度!C20/平成13年度!R20</f>
        <v>0.42903278104318754</v>
      </c>
      <c r="U20" s="51">
        <f>平成13年度!H20/平成13年度!S20</f>
        <v>0.30520533994379007</v>
      </c>
      <c r="V20" s="52">
        <f>平成13年度!L20/平成13年度!H20</f>
        <v>0.15453226085084801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1782</v>
      </c>
      <c r="AK20" s="31">
        <f>平成９年度!H19</f>
        <v>78843</v>
      </c>
      <c r="AL20" s="32">
        <f>平成９年度!C19</f>
        <v>39808</v>
      </c>
      <c r="AM20" s="33">
        <f>平成９年度!P19</f>
        <v>291366</v>
      </c>
      <c r="AN20" s="33">
        <f>平成９年度!O19</f>
        <v>103255</v>
      </c>
      <c r="AO20" s="34">
        <f>ROUND(+平成13年度!AK20/平成13年度!AM20,4)</f>
        <v>0.27060000000000001</v>
      </c>
      <c r="AP20" s="35">
        <f>ROUND(+平成13年度!AL20/平成13年度!AN20,4)</f>
        <v>0.38550000000000001</v>
      </c>
      <c r="AQ20" s="36">
        <f>ROUND((+平成13年度!AO20-平成13年度!AO19),4)</f>
        <v>6.1999999999999998E-3</v>
      </c>
      <c r="AR20" s="36">
        <f>ROUND((+平成13年度!AP20-平成13年度!AP19),4)</f>
        <v>8.3999999999999995E-3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1783</v>
      </c>
      <c r="C21" s="48">
        <f>C20/COUNTA(C8:C19)</f>
        <v>46751.916666666664</v>
      </c>
      <c r="D21" s="45" t="e">
        <f>#VALUE!</f>
        <v>#VALUE!</v>
      </c>
      <c r="E21" s="79" t="e">
        <f>#VALUE!</f>
        <v>#VALUE!</v>
      </c>
      <c r="F21" s="79">
        <f>F20/COUNTA(F8:F19)</f>
        <v>2272.75</v>
      </c>
      <c r="G21" s="80">
        <f>G20/COUNTA(G8:G19)</f>
        <v>6391.25</v>
      </c>
      <c r="H21" s="48" t="e">
        <f>#VALUE!</f>
        <v>#VALUE!</v>
      </c>
      <c r="I21" s="45" t="e">
        <f>#VALUE!</f>
        <v>#VALUE!</v>
      </c>
      <c r="J21" s="79">
        <f>J20/COUNTA(J8:J19)</f>
        <v>52570.416666666664</v>
      </c>
      <c r="K21" s="79">
        <f>K20/COUNTA(K8:K19)</f>
        <v>23695.916666666668</v>
      </c>
      <c r="L21" s="79" t="e">
        <f>#VALUE!</f>
        <v>#VALUE!</v>
      </c>
      <c r="M21" s="79">
        <f>M20/COUNTA(M8:M19)</f>
        <v>9681.5833333333339</v>
      </c>
      <c r="N21" s="80">
        <f>N20/COUNTA(N8:N19)</f>
        <v>4258.166666666667</v>
      </c>
      <c r="O21" s="48">
        <f>O20/COUNTA(O8:O19)</f>
        <v>27918.666666666668</v>
      </c>
      <c r="P21" s="45" t="e">
        <f>#VALUE!</f>
        <v>#VALUE!</v>
      </c>
      <c r="Q21" s="80">
        <f>Q20/COUNTA(Q8:Q19)</f>
        <v>6843.5</v>
      </c>
      <c r="R21" s="48">
        <f>R20/COUNTA(R8:R19)</f>
        <v>108970.5</v>
      </c>
      <c r="S21" s="45">
        <f>S20/COUNTA(S8:S19)</f>
        <v>295558.66666666669</v>
      </c>
      <c r="T21" s="50">
        <f>平成13年度!C21/平成13年度!R21</f>
        <v>0.42903278104318748</v>
      </c>
      <c r="U21" s="51" t="e">
        <f>平成13年度!H21/平成13年度!S21</f>
        <v>#VALUE!</v>
      </c>
      <c r="V21" s="52" t="e">
        <f>平成13年度!L21/平成13年度!H21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1784</v>
      </c>
      <c r="AK21" s="31">
        <f>平成10年度!H19</f>
        <v>81903</v>
      </c>
      <c r="AL21" s="32">
        <f>平成10年度!C19</f>
        <v>41659</v>
      </c>
      <c r="AM21" s="33">
        <f>平成10年度!P19</f>
        <v>291953</v>
      </c>
      <c r="AN21" s="33">
        <f>平成10年度!O19</f>
        <v>104651</v>
      </c>
      <c r="AO21" s="34">
        <f>ROUND(+平成13年度!AK21/平成13年度!AM21,4)</f>
        <v>0.28050000000000003</v>
      </c>
      <c r="AP21" s="35">
        <f>ROUND(+平成13年度!AL21/平成13年度!AN21,4)</f>
        <v>0.39810000000000001</v>
      </c>
      <c r="AQ21" s="36">
        <f>ROUND((+平成13年度!AO21-平成13年度!AO20),4)</f>
        <v>9.9000000000000008E-3</v>
      </c>
      <c r="AR21" s="36">
        <f>ROUND((+平成13年度!AP21-平成13年度!AP20),4)</f>
        <v>1.26E-2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1785</v>
      </c>
      <c r="AK22" s="31">
        <f>平成11年度!H19</f>
        <v>85006</v>
      </c>
      <c r="AL22" s="32">
        <f>平成11年度!C19</f>
        <v>43579</v>
      </c>
      <c r="AM22" s="33">
        <f>平成11年度!P19</f>
        <v>292833</v>
      </c>
      <c r="AN22" s="33">
        <f>平成11年度!O19</f>
        <v>106170</v>
      </c>
      <c r="AO22" s="34">
        <f>ROUND(+平成13年度!AK22/平成13年度!AM22,4)</f>
        <v>0.2903</v>
      </c>
      <c r="AP22" s="35">
        <f>ROUND(+平成13年度!AL22/平成13年度!AN22,4)</f>
        <v>0.41049999999999998</v>
      </c>
      <c r="AQ22" s="36">
        <f>ROUND((+平成13年度!AO22-平成13年度!AO21),4)</f>
        <v>9.7999999999999997E-3</v>
      </c>
      <c r="AR22" s="36">
        <f>ROUND((+平成13年度!AP22-平成13年度!AP21),4)</f>
        <v>1.24E-2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1786</v>
      </c>
      <c r="C23" s="48">
        <f>平成13年度!C8</f>
        <v>45857</v>
      </c>
      <c r="D23" s="45">
        <f>平成13年度!D8</f>
        <v>39565</v>
      </c>
      <c r="E23" s="79">
        <f>平成13年度!E8</f>
        <v>37353</v>
      </c>
      <c r="F23" s="79">
        <f>平成13年度!F8</f>
        <v>2212</v>
      </c>
      <c r="G23" s="80">
        <f>平成13年度!G8</f>
        <v>6292</v>
      </c>
      <c r="H23" s="48">
        <f>平成13年度!H8</f>
        <v>88827</v>
      </c>
      <c r="I23" s="45">
        <f>平成13年度!I8</f>
        <v>75167</v>
      </c>
      <c r="J23" s="79">
        <f>平成13年度!J8</f>
        <v>52060</v>
      </c>
      <c r="K23" s="79">
        <f>平成13年度!K8</f>
        <v>23107</v>
      </c>
      <c r="L23" s="79">
        <f>平成13年度!L8</f>
        <v>13660</v>
      </c>
      <c r="M23" s="79">
        <f>平成13年度!M8</f>
        <v>9528</v>
      </c>
      <c r="N23" s="80">
        <f>平成13年度!N8</f>
        <v>4132</v>
      </c>
      <c r="O23" s="48">
        <f>平成13年度!O8</f>
        <v>27736</v>
      </c>
      <c r="P23" s="45">
        <f>平成13年度!P8</f>
        <v>21059</v>
      </c>
      <c r="Q23" s="80">
        <f>平成13年度!Q8</f>
        <v>6677</v>
      </c>
      <c r="R23" s="48">
        <f>平成13年度!R8</f>
        <v>108207</v>
      </c>
      <c r="S23" s="45">
        <f>平成13年度!S8</f>
        <v>294766</v>
      </c>
      <c r="T23" s="50">
        <f>平成13年度!C23/平成13年度!R23</f>
        <v>0.42378958847394343</v>
      </c>
      <c r="U23" s="51">
        <f>平成13年度!H23/平成13年度!S23</f>
        <v>0.3013475095499481</v>
      </c>
      <c r="V23" s="52">
        <f>平成13年度!L23/平成13年度!H23</f>
        <v>0.15378207076677136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1787</v>
      </c>
      <c r="AK23" s="64">
        <f>平成12年度!H19</f>
        <v>87854</v>
      </c>
      <c r="AL23" s="65">
        <f>平成12年度!C19</f>
        <v>45290</v>
      </c>
      <c r="AM23" s="66">
        <f>平成12年度!P19</f>
        <v>20917</v>
      </c>
      <c r="AN23" s="66">
        <f>平成12年度!O19</f>
        <v>27178</v>
      </c>
      <c r="AO23" s="67">
        <f>ROUND(+平成13年度!AK23/平成13年度!AM23,4)</f>
        <v>4.2000999999999999</v>
      </c>
      <c r="AP23" s="68">
        <f>ROUND(+平成13年度!AL23/平成13年度!AN23,4)</f>
        <v>1.6664000000000001</v>
      </c>
      <c r="AQ23" s="36">
        <f>ROUND((+平成13年度!AO23-平成13年度!AO22),4)</f>
        <v>3.9098000000000002</v>
      </c>
      <c r="AR23" s="36">
        <f>ROUND((+平成13年度!AP23-平成13年度!AP22),4)</f>
        <v>1.2559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1788</v>
      </c>
      <c r="C24" s="58">
        <f>SUM(平成13年度!C8:C9)</f>
        <v>91850</v>
      </c>
      <c r="D24" s="55">
        <f>SUM(平成13年度!D8:D9)</f>
        <v>79249</v>
      </c>
      <c r="E24" s="89">
        <f>SUM(平成13年度!E8:E9)</f>
        <v>74824</v>
      </c>
      <c r="F24" s="89">
        <f>SUM(平成13年度!F8:F9)</f>
        <v>4425</v>
      </c>
      <c r="G24" s="90">
        <f>SUM(平成13年度!G8:G9)</f>
        <v>12601</v>
      </c>
      <c r="H24" s="58">
        <f>SUM(平成13年度!H8:H9)</f>
        <v>177826</v>
      </c>
      <c r="I24" s="55">
        <f>SUM(平成13年度!I8:I9)</f>
        <v>150478</v>
      </c>
      <c r="J24" s="89">
        <f>SUM(平成13年度!J8:J9)</f>
        <v>104171</v>
      </c>
      <c r="K24" s="89">
        <f>SUM(平成13年度!K8:K9)</f>
        <v>46307</v>
      </c>
      <c r="L24" s="89">
        <f>SUM(平成13年度!L8:L9)</f>
        <v>27348</v>
      </c>
      <c r="M24" s="89">
        <f>SUM(平成13年度!M8:M9)</f>
        <v>19076</v>
      </c>
      <c r="N24" s="90">
        <f>SUM(平成13年度!N8:N9)</f>
        <v>8272</v>
      </c>
      <c r="O24" s="58">
        <f>SUM(平成13年度!O8:O9)</f>
        <v>55459</v>
      </c>
      <c r="P24" s="55">
        <f>SUM(平成13年度!P8:P9)</f>
        <v>42100</v>
      </c>
      <c r="Q24" s="90">
        <f>SUM(平成13年度!Q8:Q9)</f>
        <v>13359</v>
      </c>
      <c r="R24" s="58">
        <f>SUM(平成13年度!R8:R9)</f>
        <v>216592</v>
      </c>
      <c r="S24" s="55">
        <f>SUM(平成13年度!S8:S9)</f>
        <v>589768</v>
      </c>
      <c r="T24" s="60">
        <f>平成13年度!C24/平成13年度!R24</f>
        <v>0.42406921769963801</v>
      </c>
      <c r="U24" s="61">
        <f>平成13年度!H24/平成13年度!S24</f>
        <v>0.30151856323164361</v>
      </c>
      <c r="V24" s="62">
        <f>平成13年度!L24/平成13年度!H24</f>
        <v>0.15379078424977224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1789</v>
      </c>
      <c r="AK24" s="70">
        <f>平成13年度!H14</f>
        <v>90552</v>
      </c>
      <c r="AL24" s="71">
        <f>平成13年度!C14</f>
        <v>46928</v>
      </c>
      <c r="AM24" s="72">
        <f>平成13年度!S14</f>
        <v>295835</v>
      </c>
      <c r="AN24" s="72">
        <f>平成13年度!R14</f>
        <v>109102</v>
      </c>
      <c r="AO24" s="73">
        <f>ROUND(+平成13年度!AK24/平成13年度!AM24,4)</f>
        <v>0.30609999999999998</v>
      </c>
      <c r="AP24" s="74">
        <f>ROUND(+平成13年度!AL24/平成13年度!AN24,4)</f>
        <v>0.43009999999999998</v>
      </c>
      <c r="AQ24" s="36">
        <f>ROUND((+平成13年度!AO24-平成13年度!AO23),4)</f>
        <v>-3.8940000000000001</v>
      </c>
      <c r="AR24" s="36">
        <f>ROUND((+平成13年度!AP24-平成13年度!AP23),4)</f>
        <v>-1.2363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1790</v>
      </c>
      <c r="C25" s="58">
        <f>SUM(平成13年度!C8:C10)</f>
        <v>138004</v>
      </c>
      <c r="D25" s="55">
        <f>SUM(平成13年度!D8:D10)</f>
        <v>119022</v>
      </c>
      <c r="E25" s="89">
        <f>SUM(平成13年度!E8:E10)</f>
        <v>112366</v>
      </c>
      <c r="F25" s="89">
        <f>SUM(平成13年度!F8:F10)</f>
        <v>6656</v>
      </c>
      <c r="G25" s="90">
        <f>SUM(平成13年度!G8:G10)</f>
        <v>18982</v>
      </c>
      <c r="H25" s="58">
        <f>SUM(平成13年度!H8:H10)</f>
        <v>267012</v>
      </c>
      <c r="I25" s="55">
        <f>SUM(平成13年度!I8:I10)</f>
        <v>225831</v>
      </c>
      <c r="J25" s="89">
        <f>SUM(平成13年度!J8:J10)</f>
        <v>156247</v>
      </c>
      <c r="K25" s="89">
        <f>SUM(平成13年度!K8:K10)</f>
        <v>69584</v>
      </c>
      <c r="L25" s="89">
        <f>SUM(平成13年度!L8:L10)</f>
        <v>41181</v>
      </c>
      <c r="M25" s="89">
        <f>SUM(平成13年度!M8:M10)</f>
        <v>28723</v>
      </c>
      <c r="N25" s="90">
        <f>SUM(平成13年度!N8:N10)</f>
        <v>12458</v>
      </c>
      <c r="O25" s="58">
        <f>SUM(平成13年度!O8:O10)</f>
        <v>83256</v>
      </c>
      <c r="P25" s="55">
        <f>SUM(平成13年度!P8:P10)</f>
        <v>63170</v>
      </c>
      <c r="Q25" s="90">
        <f>SUM(平成13年度!Q8:Q10)</f>
        <v>20086</v>
      </c>
      <c r="R25" s="58">
        <f>SUM(平成13年度!R8:R10)</f>
        <v>325090</v>
      </c>
      <c r="S25" s="55">
        <f>SUM(平成13年度!S8:S10)</f>
        <v>884804</v>
      </c>
      <c r="T25" s="60">
        <f>平成13年度!C25/平成13年度!R25</f>
        <v>0.42451013565474177</v>
      </c>
      <c r="U25" s="61">
        <f>平成13年度!H25/平成13年度!S25</f>
        <v>0.30177530842988953</v>
      </c>
      <c r="V25" s="62">
        <f>平成13年度!L25/平成13年度!H25</f>
        <v>0.15422902341467798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1791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1792</v>
      </c>
      <c r="C26" s="58">
        <f>SUM(平成13年度!C8:C11)</f>
        <v>184413</v>
      </c>
      <c r="D26" s="55">
        <f>SUM(平成13年度!D8:D11)</f>
        <v>158992</v>
      </c>
      <c r="E26" s="89">
        <f>SUM(平成13年度!E8:E11)</f>
        <v>150067</v>
      </c>
      <c r="F26" s="89">
        <f>SUM(平成13年度!F8:F11)</f>
        <v>8925</v>
      </c>
      <c r="G26" s="90">
        <f>SUM(平成13年度!G8:G11)</f>
        <v>25421</v>
      </c>
      <c r="H26" s="58">
        <f>SUM(平成13年度!H8:H11)</f>
        <v>356702</v>
      </c>
      <c r="I26" s="55">
        <f>SUM(平成13年度!I8:I11)</f>
        <v>301519</v>
      </c>
      <c r="J26" s="89">
        <f>SUM(平成13年度!J8:J11)</f>
        <v>208548</v>
      </c>
      <c r="K26" s="89">
        <f>SUM(平成13年度!K8:K11)</f>
        <v>92971</v>
      </c>
      <c r="L26" s="89">
        <f>SUM(平成13年度!L8:L11)</f>
        <v>55183</v>
      </c>
      <c r="M26" s="89">
        <f>SUM(平成13年度!M8:M11)</f>
        <v>38461</v>
      </c>
      <c r="N26" s="90">
        <f>SUM(平成13年度!N8:N11)</f>
        <v>16722</v>
      </c>
      <c r="O26" s="58">
        <f>SUM(平成13年度!O8:O11)</f>
        <v>111254</v>
      </c>
      <c r="P26" s="55">
        <f>SUM(平成13年度!P8:P11)</f>
        <v>84204</v>
      </c>
      <c r="Q26" s="90">
        <f>SUM(平成13年度!Q8:Q11)</f>
        <v>27050</v>
      </c>
      <c r="R26" s="58">
        <f>SUM(平成13年度!R8:R11)</f>
        <v>433745</v>
      </c>
      <c r="S26" s="55">
        <f>SUM(平成13年度!S8:S11)</f>
        <v>1180071</v>
      </c>
      <c r="T26" s="60">
        <f>平成13年度!C26/平成13年度!R26</f>
        <v>0.4251645552110111</v>
      </c>
      <c r="U26" s="61">
        <f>平成13年度!H26/平成13年度!S26</f>
        <v>0.30227164297741405</v>
      </c>
      <c r="V26" s="62">
        <f>平成13年度!L26/平成13年度!H26</f>
        <v>0.15470336583478647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1793</v>
      </c>
      <c r="AK26" s="76">
        <f>平成13年度!AK23/平成13年度!AK18</f>
        <v>1.1666733065083728</v>
      </c>
      <c r="AL26" s="77">
        <f>平成13年度!AL23/平成13年度!AL18</f>
        <v>1.2204915382127843</v>
      </c>
      <c r="AM26" s="77">
        <f>平成13年度!AM23/平成13年度!AM18</f>
        <v>7.2449110362193592E-2</v>
      </c>
      <c r="AN26" s="77">
        <f>平成13年度!AN23/平成13年度!AN18</f>
        <v>0.27191595797898949</v>
      </c>
      <c r="AO26" s="78">
        <f>平成13年度!AO23/平成13年度!AO18</f>
        <v>16.104677914110432</v>
      </c>
      <c r="AP26" s="74">
        <f>平成13年度!AP23/平成13年度!AP18</f>
        <v>4.4880150821438187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1794</v>
      </c>
      <c r="C27" s="58">
        <f>SUM(平成13年度!C8:C12)</f>
        <v>230955</v>
      </c>
      <c r="D27" s="55">
        <f>SUM(平成13年度!D8:D12)</f>
        <v>199113</v>
      </c>
      <c r="E27" s="89">
        <f>SUM(平成13年度!E8:E12)</f>
        <v>187912</v>
      </c>
      <c r="F27" s="89">
        <f>SUM(平成13年度!F8:F12)</f>
        <v>11201</v>
      </c>
      <c r="G27" s="90">
        <f>SUM(平成13年度!G8:G12)</f>
        <v>31842</v>
      </c>
      <c r="H27" s="58">
        <f>SUM(平成13年度!H8:H12)</f>
        <v>446598</v>
      </c>
      <c r="I27" s="55">
        <f>SUM(平成13年度!I8:I12)</f>
        <v>377440</v>
      </c>
      <c r="J27" s="89">
        <f>SUM(平成13年度!J8:J12)</f>
        <v>260948</v>
      </c>
      <c r="K27" s="89">
        <f>SUM(平成13年度!K8:K12)</f>
        <v>116492</v>
      </c>
      <c r="L27" s="89">
        <f>SUM(平成13年度!L8:L12)</f>
        <v>69158</v>
      </c>
      <c r="M27" s="89">
        <f>SUM(平成13年度!M8:M12)</f>
        <v>48180</v>
      </c>
      <c r="N27" s="90">
        <f>SUM(平成13年度!N8:N12)</f>
        <v>20978</v>
      </c>
      <c r="O27" s="58">
        <f>SUM(平成13年度!O8:O12)</f>
        <v>139220</v>
      </c>
      <c r="P27" s="55">
        <f>SUM(平成13年度!P8:P12)</f>
        <v>105238</v>
      </c>
      <c r="Q27" s="90">
        <f>SUM(平成13年度!Q8:Q12)</f>
        <v>33982</v>
      </c>
      <c r="R27" s="58">
        <f>SUM(平成13年度!R8:R12)</f>
        <v>542583</v>
      </c>
      <c r="S27" s="55">
        <f>SUM(平成13年度!S8:S12)</f>
        <v>1475588</v>
      </c>
      <c r="T27" s="60">
        <f>平成13年度!C27/平成13年度!R27</f>
        <v>0.42565837853379113</v>
      </c>
      <c r="U27" s="61">
        <f>平成13年度!H27/平成13年度!S27</f>
        <v>0.30265765240704046</v>
      </c>
      <c r="V27" s="62">
        <f>平成13年度!L27/平成13年度!H27</f>
        <v>0.1548551493737097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1795</v>
      </c>
      <c r="C28" s="58">
        <f>SUM(平成13年度!C8:C13)</f>
        <v>277642</v>
      </c>
      <c r="D28" s="55">
        <f>SUM(平成13年度!D8:D13)</f>
        <v>239421</v>
      </c>
      <c r="E28" s="89">
        <f>SUM(平成13年度!E8:E13)</f>
        <v>225943</v>
      </c>
      <c r="F28" s="89">
        <f>SUM(平成13年度!F8:F13)</f>
        <v>13478</v>
      </c>
      <c r="G28" s="90">
        <f>SUM(平成13年度!G8:G13)</f>
        <v>38221</v>
      </c>
      <c r="H28" s="58">
        <f>SUM(平成13年度!H8:H13)</f>
        <v>536771</v>
      </c>
      <c r="I28" s="55">
        <f>SUM(平成13年度!I8:I13)</f>
        <v>453703</v>
      </c>
      <c r="J28" s="89">
        <f>SUM(平成13年度!J8:J13)</f>
        <v>313578</v>
      </c>
      <c r="K28" s="89">
        <f>SUM(平成13年度!K8:K13)</f>
        <v>140125</v>
      </c>
      <c r="L28" s="89">
        <f>SUM(平成13年度!L8:L13)</f>
        <v>83068</v>
      </c>
      <c r="M28" s="89">
        <f>SUM(平成13年度!M8:M13)</f>
        <v>57848</v>
      </c>
      <c r="N28" s="90">
        <f>SUM(平成13年度!N8:N13)</f>
        <v>25220</v>
      </c>
      <c r="O28" s="58">
        <f>SUM(平成13年度!O8:O13)</f>
        <v>167182</v>
      </c>
      <c r="P28" s="55">
        <f>SUM(平成13年度!P8:P13)</f>
        <v>126308</v>
      </c>
      <c r="Q28" s="90">
        <f>SUM(平成13年度!Q8:Q13)</f>
        <v>40874</v>
      </c>
      <c r="R28" s="58">
        <f>SUM(平成13年度!R8:R13)</f>
        <v>651531</v>
      </c>
      <c r="S28" s="55">
        <f>SUM(平成13年度!S8:S13)</f>
        <v>1771242</v>
      </c>
      <c r="T28" s="60">
        <f>平成13年度!C28/平成13年度!R28</f>
        <v>0.42613781999628569</v>
      </c>
      <c r="U28" s="61">
        <f>平成13年度!H28/平成13年度!S28</f>
        <v>0.30304780487364236</v>
      </c>
      <c r="V28" s="62">
        <f>平成13年度!L28/平成13年度!H28</f>
        <v>0.15475500725635327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1796</v>
      </c>
      <c r="C29" s="58">
        <f>SUM(平成13年度!C8:C14)</f>
        <v>324570</v>
      </c>
      <c r="D29" s="55">
        <f>SUM(平成13年度!D8:D14)</f>
        <v>279943</v>
      </c>
      <c r="E29" s="89">
        <f>SUM(平成13年度!E8:E14)</f>
        <v>264180</v>
      </c>
      <c r="F29" s="89">
        <f>SUM(平成13年度!F8:F14)</f>
        <v>15763</v>
      </c>
      <c r="G29" s="90">
        <f>SUM(平成13年度!G8:G14)</f>
        <v>44627</v>
      </c>
      <c r="H29" s="58">
        <f>SUM(平成13年度!H8:H14)</f>
        <v>627323</v>
      </c>
      <c r="I29" s="55">
        <f>SUM(平成13年度!I8:I14)</f>
        <v>530261</v>
      </c>
      <c r="J29" s="89">
        <f>SUM(平成13年度!J8:J14)</f>
        <v>366358</v>
      </c>
      <c r="K29" s="89">
        <f>SUM(平成13年度!K8:K14)</f>
        <v>163903</v>
      </c>
      <c r="L29" s="89">
        <f>SUM(平成13年度!L8:L14)</f>
        <v>97062</v>
      </c>
      <c r="M29" s="89">
        <f>SUM(平成13年度!M8:M14)</f>
        <v>67553</v>
      </c>
      <c r="N29" s="90">
        <f>SUM(平成13年度!N8:N14)</f>
        <v>29509</v>
      </c>
      <c r="O29" s="58">
        <f>SUM(平成13年度!O8:O14)</f>
        <v>195250</v>
      </c>
      <c r="P29" s="55">
        <f>SUM(平成13年度!P8:P14)</f>
        <v>147436</v>
      </c>
      <c r="Q29" s="90">
        <f>SUM(平成13年度!Q8:Q14)</f>
        <v>47814</v>
      </c>
      <c r="R29" s="58">
        <f>SUM(平成13年度!R8:R14)</f>
        <v>760633</v>
      </c>
      <c r="S29" s="55">
        <f>SUM(平成13年度!S8:S14)</f>
        <v>2067077</v>
      </c>
      <c r="T29" s="60">
        <f>平成13年度!C29/平成13年度!R29</f>
        <v>0.42671038464016153</v>
      </c>
      <c r="U29" s="61">
        <f>平成13年度!H29/平成13年度!S29</f>
        <v>0.30348313101060098</v>
      </c>
      <c r="V29" s="62">
        <f>平成13年度!L29/平成13年度!H29</f>
        <v>0.15472412138563388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1797</v>
      </c>
      <c r="C30" s="58">
        <f>SUM(平成13年度!C8:C15)</f>
        <v>371614</v>
      </c>
      <c r="D30" s="55">
        <f>SUM(平成13年度!D8:D15)</f>
        <v>320581</v>
      </c>
      <c r="E30" s="89">
        <f>SUM(平成13年度!E8:E15)</f>
        <v>302541</v>
      </c>
      <c r="F30" s="89">
        <f>SUM(平成13年度!F8:F15)</f>
        <v>18040</v>
      </c>
      <c r="G30" s="90">
        <f>SUM(平成13年度!G8:G15)</f>
        <v>51033</v>
      </c>
      <c r="H30" s="58">
        <f>SUM(平成13年度!H8:H15)</f>
        <v>717939</v>
      </c>
      <c r="I30" s="55">
        <f>SUM(平成13年度!I8:I15)</f>
        <v>606890</v>
      </c>
      <c r="J30" s="89">
        <f>SUM(平成13年度!J8:J15)</f>
        <v>419120</v>
      </c>
      <c r="K30" s="89">
        <f>SUM(平成13年度!K8:K15)</f>
        <v>187770</v>
      </c>
      <c r="L30" s="89">
        <f>SUM(平成13年度!L8:L15)</f>
        <v>111049</v>
      </c>
      <c r="M30" s="89">
        <f>SUM(平成13年度!M8:M15)</f>
        <v>77248</v>
      </c>
      <c r="N30" s="90">
        <f>SUM(平成13年度!N8:N15)</f>
        <v>33801</v>
      </c>
      <c r="O30" s="58">
        <f>SUM(平成13年度!O8:O15)</f>
        <v>223295</v>
      </c>
      <c r="P30" s="55">
        <f>SUM(平成13年度!P8:P15)</f>
        <v>168561</v>
      </c>
      <c r="Q30" s="90">
        <f>SUM(平成13年度!Q8:Q15)</f>
        <v>54734</v>
      </c>
      <c r="R30" s="58">
        <f>SUM(平成13年度!R8:R15)</f>
        <v>869915</v>
      </c>
      <c r="S30" s="55">
        <f>SUM(平成13年度!S8:S15)</f>
        <v>2363045</v>
      </c>
      <c r="T30" s="60">
        <f>平成13年度!C30/平成13年度!R30</f>
        <v>0.4271842651293517</v>
      </c>
      <c r="U30" s="61">
        <f>平成13年度!H30/平成13年度!S30</f>
        <v>0.30381943636282849</v>
      </c>
      <c r="V30" s="62">
        <f>平成13年度!L30/平成13年度!H30</f>
        <v>0.15467748652740693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1798</v>
      </c>
      <c r="C31" s="58">
        <f>SUM(平成13年度!C8:C16)</f>
        <v>418797</v>
      </c>
      <c r="D31" s="55">
        <f>SUM(平成13年度!D8:D16)</f>
        <v>361371</v>
      </c>
      <c r="E31" s="89">
        <f>SUM(平成13年度!E8:E16)</f>
        <v>341046</v>
      </c>
      <c r="F31" s="89">
        <f>SUM(平成13年度!F8:F16)</f>
        <v>20325</v>
      </c>
      <c r="G31" s="90">
        <f>SUM(平成13年度!G8:G16)</f>
        <v>57426</v>
      </c>
      <c r="H31" s="58">
        <f>SUM(平成13年度!H8:H16)</f>
        <v>808807</v>
      </c>
      <c r="I31" s="55">
        <f>SUM(平成13年度!I8:I16)</f>
        <v>683768</v>
      </c>
      <c r="J31" s="89">
        <f>SUM(平成13年度!J8:J16)</f>
        <v>472043</v>
      </c>
      <c r="K31" s="89">
        <f>SUM(平成13年度!K8:K16)</f>
        <v>211725</v>
      </c>
      <c r="L31" s="89">
        <f>SUM(平成13年度!L8:L16)</f>
        <v>125039</v>
      </c>
      <c r="M31" s="89">
        <f>SUM(平成13年度!M8:M16)</f>
        <v>86941</v>
      </c>
      <c r="N31" s="90">
        <f>SUM(平成13年度!N8:N16)</f>
        <v>38098</v>
      </c>
      <c r="O31" s="58">
        <f>SUM(平成13年度!O8:O16)</f>
        <v>251366</v>
      </c>
      <c r="P31" s="55">
        <f>SUM(平成13年度!P8:P16)</f>
        <v>189737</v>
      </c>
      <c r="Q31" s="90">
        <f>SUM(平成13年度!Q8:Q16)</f>
        <v>61629</v>
      </c>
      <c r="R31" s="58">
        <f>SUM(平成13年度!R8:R16)</f>
        <v>979293</v>
      </c>
      <c r="S31" s="55">
        <f>SUM(平成13年度!S8:S16)</f>
        <v>2659082</v>
      </c>
      <c r="T31" s="60">
        <f>平成13年度!C31/平成13年度!R31</f>
        <v>0.42765239820972883</v>
      </c>
      <c r="U31" s="61">
        <f>平成13年度!H31/平成13年度!S31</f>
        <v>0.3041677541346976</v>
      </c>
      <c r="V31" s="62">
        <f>平成13年度!L31/平成13年度!H31</f>
        <v>0.15459683212435105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1799</v>
      </c>
      <c r="C32" s="58">
        <f>SUM(平成13年度!C8:C17)</f>
        <v>466159</v>
      </c>
      <c r="D32" s="55">
        <f>SUM(平成13年度!D8:D17)</f>
        <v>402318</v>
      </c>
      <c r="E32" s="89">
        <f>SUM(平成13年度!E8:E17)</f>
        <v>379671</v>
      </c>
      <c r="F32" s="89">
        <f>SUM(平成13年度!F8:F17)</f>
        <v>22647</v>
      </c>
      <c r="G32" s="90">
        <f>SUM(平成13年度!G8:G17)</f>
        <v>63841</v>
      </c>
      <c r="H32" s="58">
        <f>SUM(平成13年度!H8:H17)</f>
        <v>899926</v>
      </c>
      <c r="I32" s="55">
        <f>SUM(平成13年度!I8:I17)</f>
        <v>760830</v>
      </c>
      <c r="J32" s="89">
        <f>SUM(平成13年度!J8:J17)</f>
        <v>525062</v>
      </c>
      <c r="K32" s="89">
        <f>SUM(平成13年度!K8:K17)</f>
        <v>235768</v>
      </c>
      <c r="L32" s="89">
        <f>SUM(平成13年度!L8:L17)</f>
        <v>139096</v>
      </c>
      <c r="M32" s="89">
        <f>SUM(平成13年度!M8:M17)</f>
        <v>96682</v>
      </c>
      <c r="N32" s="90">
        <f>SUM(平成13年度!N8:N17)</f>
        <v>42414</v>
      </c>
      <c r="O32" s="58">
        <f>SUM(平成13年度!O8:O17)</f>
        <v>279336</v>
      </c>
      <c r="P32" s="55">
        <f>SUM(平成13年度!P8:P17)</f>
        <v>210847</v>
      </c>
      <c r="Q32" s="90">
        <f>SUM(平成13年度!Q8:Q17)</f>
        <v>68489</v>
      </c>
      <c r="R32" s="58">
        <f>SUM(平成13年度!R8:R17)</f>
        <v>1088780</v>
      </c>
      <c r="S32" s="55">
        <f>SUM(平成13年度!S8:S17)</f>
        <v>2955213</v>
      </c>
      <c r="T32" s="60">
        <f>平成13年度!C32/平成13年度!R32</f>
        <v>0.428148018883521</v>
      </c>
      <c r="U32" s="61">
        <f>平成13年度!H32/平成13年度!S32</f>
        <v>0.30452153533433968</v>
      </c>
      <c r="V32" s="62">
        <f>平成13年度!L32/平成13年度!H32</f>
        <v>0.15456381969184133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1800</v>
      </c>
      <c r="C33" s="58">
        <f>SUM(平成13年度!C8:C18)</f>
        <v>513521</v>
      </c>
      <c r="D33" s="55">
        <f>SUM(平成13年度!D8:D18)</f>
        <v>443286</v>
      </c>
      <c r="E33" s="89">
        <f>SUM(平成13年度!E8:E18)</f>
        <v>418322</v>
      </c>
      <c r="F33" s="89">
        <f>SUM(平成13年度!F8:F18)</f>
        <v>24964</v>
      </c>
      <c r="G33" s="90">
        <f>SUM(平成13年度!G8:G18)</f>
        <v>70235</v>
      </c>
      <c r="H33" s="58">
        <f>SUM(平成13年度!H8:H18)</f>
        <v>991110</v>
      </c>
      <c r="I33" s="55">
        <f>SUM(平成13年度!I8:I18)</f>
        <v>837982</v>
      </c>
      <c r="J33" s="89">
        <f>SUM(平成13年度!J8:J18)</f>
        <v>577976</v>
      </c>
      <c r="K33" s="89">
        <f>SUM(平成13年度!K8:K18)</f>
        <v>260006</v>
      </c>
      <c r="L33" s="89">
        <f>SUM(平成13年度!L8:L18)</f>
        <v>153128</v>
      </c>
      <c r="M33" s="89">
        <f>SUM(平成13年度!M8:M18)</f>
        <v>106397</v>
      </c>
      <c r="N33" s="90">
        <f>SUM(平成13年度!N8:N18)</f>
        <v>46731</v>
      </c>
      <c r="O33" s="58">
        <f>SUM(平成13年度!O8:O18)</f>
        <v>307200</v>
      </c>
      <c r="P33" s="55">
        <f>SUM(平成13年度!P8:P18)</f>
        <v>231883</v>
      </c>
      <c r="Q33" s="90">
        <f>SUM(平成13年度!Q8:Q18)</f>
        <v>75317</v>
      </c>
      <c r="R33" s="58">
        <f>SUM(平成13年度!R8:R18)</f>
        <v>1198222</v>
      </c>
      <c r="S33" s="55">
        <f>SUM(平成13年度!S8:S18)</f>
        <v>3251285</v>
      </c>
      <c r="T33" s="60">
        <f>平成13年度!C33/平成13年度!R33</f>
        <v>0.42856916331030476</v>
      </c>
      <c r="U33" s="61">
        <f>平成13年度!H33/平成13年度!S33</f>
        <v>0.30483639545595048</v>
      </c>
      <c r="V33" s="62">
        <f>平成13年度!L33/平成13年度!H33</f>
        <v>0.1545015184994602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1801</v>
      </c>
      <c r="C34" s="58">
        <f>SUM(平成13年度!C8:C19)</f>
        <v>561023</v>
      </c>
      <c r="D34" s="55">
        <f>SUM(平成13年度!D8:D19)</f>
        <v>484328</v>
      </c>
      <c r="E34" s="89">
        <f>SUM(平成13年度!E8:E19)</f>
        <v>457055</v>
      </c>
      <c r="F34" s="89">
        <f>SUM(平成13年度!F8:F19)</f>
        <v>27273</v>
      </c>
      <c r="G34" s="90">
        <f>SUM(平成13年度!G8:G19)</f>
        <v>76695</v>
      </c>
      <c r="H34" s="58">
        <f>SUM(平成13年度!H8:H19)</f>
        <v>1082473</v>
      </c>
      <c r="I34" s="55">
        <f>SUM(平成13年度!I8:I19)</f>
        <v>915196</v>
      </c>
      <c r="J34" s="89">
        <f>SUM(平成13年度!J8:J19)</f>
        <v>630845</v>
      </c>
      <c r="K34" s="89">
        <f>SUM(平成13年度!K8:K19)</f>
        <v>284351</v>
      </c>
      <c r="L34" s="89">
        <f>SUM(平成13年度!L8:L19)</f>
        <v>167277</v>
      </c>
      <c r="M34" s="89">
        <f>SUM(平成13年度!M8:M19)</f>
        <v>116179</v>
      </c>
      <c r="N34" s="90">
        <f>SUM(平成13年度!N8:N19)</f>
        <v>51098</v>
      </c>
      <c r="O34" s="58">
        <f>SUM(平成13年度!O8:O19)</f>
        <v>335024</v>
      </c>
      <c r="P34" s="55">
        <f>SUM(平成13年度!P8:P19)</f>
        <v>252902</v>
      </c>
      <c r="Q34" s="90">
        <f>SUM(平成13年度!Q8:Q19)</f>
        <v>82122</v>
      </c>
      <c r="R34" s="58">
        <f>SUM(平成13年度!R8:R19)</f>
        <v>1307646</v>
      </c>
      <c r="S34" s="55">
        <f>SUM(平成13年度!S8:S19)</f>
        <v>3546704</v>
      </c>
      <c r="T34" s="60">
        <f>平成13年度!C34/平成13年度!R34</f>
        <v>0.42903278104318754</v>
      </c>
      <c r="U34" s="61">
        <f>平成13年度!H34/平成13年度!S34</f>
        <v>0.30520533994379007</v>
      </c>
      <c r="V34" s="62">
        <f>平成13年度!L34/平成13年度!H34</f>
        <v>0.15453226085084801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1802</v>
      </c>
      <c r="C35" s="92">
        <f>平成12年度!C19+SUM(平成13年度!C8:C18)</f>
        <v>558811</v>
      </c>
      <c r="D35" s="93">
        <f>平成12年度!D19+SUM(平成13年度!D8:D18)</f>
        <v>482441</v>
      </c>
      <c r="E35" s="94">
        <f>平成12年度!E19+SUM(平成13年度!E8:E18)</f>
        <v>455319</v>
      </c>
      <c r="F35" s="94">
        <f>平成12年度!F19+SUM(平成13年度!F8:F18)</f>
        <v>27122</v>
      </c>
      <c r="G35" s="95">
        <f>平成12年度!G19+SUM(平成13年度!G8:G18)</f>
        <v>76370</v>
      </c>
      <c r="H35" s="92">
        <f>平成12年度!H19+SUM(平成13年度!H8:H18)</f>
        <v>1078964</v>
      </c>
      <c r="I35" s="93">
        <f>平成12年度!I19+SUM(平成13年度!I8:I18)</f>
        <v>912577</v>
      </c>
      <c r="J35" s="94">
        <f>平成12年度!J19+SUM(平成13年度!J8:J18)</f>
        <v>629721</v>
      </c>
      <c r="K35" s="94">
        <f>平成12年度!K19+SUM(平成13年度!K8:K18)</f>
        <v>282856</v>
      </c>
      <c r="L35" s="94">
        <f>平成12年度!L19+SUM(平成13年度!L8:L18)</f>
        <v>166387</v>
      </c>
      <c r="M35" s="94">
        <f>平成12年度!M19+SUM(平成13年度!M8:M18)</f>
        <v>115696</v>
      </c>
      <c r="N35" s="95">
        <f>平成12年度!N19+SUM(平成13年度!N8:N18)</f>
        <v>50691</v>
      </c>
      <c r="O35" s="92"/>
      <c r="P35" s="93"/>
      <c r="Q35" s="95"/>
      <c r="R35" s="92">
        <f>平成12年度!O19+SUM(平成13年度!R8:R18)</f>
        <v>1225400</v>
      </c>
      <c r="S35" s="93">
        <f>平成12年度!P19+SUM(平成13年度!S8:S18)</f>
        <v>3272202</v>
      </c>
      <c r="T35" s="96">
        <f>平成13年度!C35/平成13年度!R35</f>
        <v>0.45602333931777378</v>
      </c>
      <c r="U35" s="97">
        <f>平成13年度!H35/平成13年度!S35</f>
        <v>0.329736367131369</v>
      </c>
      <c r="V35" s="98">
        <f>平成13年度!L35/平成13年度!H35</f>
        <v>0.15420996437323209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平成13年度!K35/12</f>
        <v>23571.333333333332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1803</v>
      </c>
      <c r="C37" s="102">
        <f>平成13年度!C2+平成13年度!C31</f>
        <v>554433</v>
      </c>
      <c r="D37" s="103">
        <f>平成13年度!D2+平成13年度!D31</f>
        <v>478819</v>
      </c>
      <c r="E37" s="104">
        <f>平成13年度!E2+平成13年度!E31</f>
        <v>452084</v>
      </c>
      <c r="F37" s="104">
        <f>平成13年度!F2+平成13年度!F31</f>
        <v>26735</v>
      </c>
      <c r="G37" s="105">
        <f>平成13年度!G2+平成13年度!G31</f>
        <v>75614</v>
      </c>
      <c r="H37" s="102">
        <f>平成13年度!H2+平成13年度!H31</f>
        <v>1071980</v>
      </c>
      <c r="I37" s="103">
        <f>平成13年度!I2+平成13年度!I31</f>
        <v>907637</v>
      </c>
      <c r="J37" s="104">
        <f>平成13年度!J2+平成13年度!J31</f>
        <v>627699</v>
      </c>
      <c r="K37" s="104">
        <f>平成13年度!K2+平成13年度!K31</f>
        <v>279938</v>
      </c>
      <c r="L37" s="104">
        <f>平成13年度!L2+平成13年度!L31</f>
        <v>164343</v>
      </c>
      <c r="M37" s="104">
        <f>平成13年度!M2+平成13年度!M31</f>
        <v>114547</v>
      </c>
      <c r="N37" s="106">
        <f>平成13年度!N2+平成13年度!N31</f>
        <v>49796</v>
      </c>
      <c r="O37" s="106">
        <f>平成13年度!O2+平成13年度!O31</f>
        <v>333072</v>
      </c>
      <c r="P37" s="106">
        <f>平成13年度!P2+平成13年度!P31</f>
        <v>252711</v>
      </c>
      <c r="Q37" s="106">
        <f>平成13年度!Q2+平成13年度!Q31</f>
        <v>80361</v>
      </c>
      <c r="R37" s="106">
        <f>平成13年度!R2+平成13年度!R31</f>
        <v>1060999</v>
      </c>
      <c r="S37" s="103">
        <f>平成13年度!S2+平成13年度!S31</f>
        <v>2722056</v>
      </c>
      <c r="T37" s="107">
        <f>平成13年度!C37/平成13年度!R37</f>
        <v>0.52255751419181351</v>
      </c>
      <c r="U37" s="107">
        <f>平成13年度!H37/平成13年度!S37</f>
        <v>0.39381261810925272</v>
      </c>
      <c r="V37" s="108">
        <f>平成13年度!L37/平成13年度!H37</f>
        <v>0.15330789753540178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1804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#VALUE!</f>
        <v>#VALUE!</v>
      </c>
      <c r="R38" s="114" t="e">
        <f>#VALUE!</f>
        <v>#VALUE!</v>
      </c>
      <c r="S38" s="111" t="e">
        <f>#VALUE!</f>
        <v>#VALUE!</v>
      </c>
      <c r="T38" s="115" t="e">
        <f>平成13年度!C38/平成13年度!R38</f>
        <v>#VALUE!</v>
      </c>
      <c r="U38" s="115" t="e">
        <f>平成13年度!H38/平成13年度!S38</f>
        <v>#VALUE!</v>
      </c>
      <c r="V38" s="116" t="e">
        <f>平成13年度!L38/平成13年度!H38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1805</v>
      </c>
      <c r="C40" s="1"/>
      <c r="D40" s="1"/>
      <c r="E40" s="1"/>
      <c r="F40" s="1"/>
      <c r="G40" s="1"/>
      <c r="H40" s="1"/>
      <c r="I40" s="1"/>
      <c r="J40" s="1" t="s">
        <v>1806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1807</v>
      </c>
      <c r="D41" s="1" t="s">
        <v>1808</v>
      </c>
      <c r="E41" s="1" t="s">
        <v>1809</v>
      </c>
      <c r="F41" s="1" t="s">
        <v>1810</v>
      </c>
      <c r="G41" s="1" t="s">
        <v>1811</v>
      </c>
      <c r="H41" s="1" t="s">
        <v>1812</v>
      </c>
      <c r="I41" s="1"/>
      <c r="J41" s="1"/>
      <c r="K41" s="1" t="s">
        <v>1813</v>
      </c>
      <c r="L41" s="1" t="s">
        <v>1814</v>
      </c>
      <c r="M41" s="1" t="s">
        <v>1815</v>
      </c>
      <c r="N41" s="1" t="s">
        <v>1816</v>
      </c>
      <c r="O41" s="1"/>
      <c r="P41" s="1"/>
      <c r="Q41" s="1"/>
      <c r="R41" s="1" t="s">
        <v>1817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1818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ROUND(+平成13年度!R43*平成13年度!N42,0)</f>
        <v>27605</v>
      </c>
      <c r="S42" s="1" t="s">
        <v>1819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1820</v>
      </c>
      <c r="C43" s="1">
        <f>(+平成８年度!K19+平成９年度!K27)/6</f>
        <v>17542.666666666668</v>
      </c>
      <c r="D43" s="1">
        <f>(+平成９年度!K19+平成10年度!K27)/6</f>
        <v>18744</v>
      </c>
      <c r="E43" s="1">
        <f>(+平成10年度!K19+平成11年度!K27)/6</f>
        <v>20106.166666666668</v>
      </c>
      <c r="F43" s="120">
        <f>ROUND((+平成11年度!K19+平成12年度!K27)/6,0)</f>
        <v>21677</v>
      </c>
      <c r="G43" s="120">
        <f>ROUND((+平成12年度!K19+平成13年度!K27)/6,0)</f>
        <v>23224</v>
      </c>
      <c r="H43" s="1"/>
      <c r="I43" s="1"/>
      <c r="J43" s="1"/>
      <c r="K43" s="1"/>
      <c r="L43" s="1">
        <f>ROUND(+平成13年度!L42/平成13年度!K42,4)</f>
        <v>0.99850000000000005</v>
      </c>
      <c r="M43" s="1">
        <f>ROUND(+平成13年度!M42/平成13年度!L42,4)</f>
        <v>1.0199</v>
      </c>
      <c r="N43" s="1">
        <f>平成13年度!M43</f>
        <v>1.0199</v>
      </c>
      <c r="O43" s="1"/>
      <c r="P43" s="1"/>
      <c r="Q43" s="1"/>
      <c r="R43" s="1">
        <f>ROUND((平成13年度!M43+平成13年度!N43)/2,4)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1821</v>
      </c>
      <c r="C44" s="121"/>
      <c r="D44" s="122">
        <f>平成13年度!D43/平成13年度!C43</f>
        <v>1.0684806566846545</v>
      </c>
      <c r="E44" s="122">
        <f>平成13年度!E43/平成13年度!D43</f>
        <v>1.0726721439749609</v>
      </c>
      <c r="F44" s="123">
        <f>ROUND(+平成13年度!F43/平成13年度!E43,4)</f>
        <v>1.0781000000000001</v>
      </c>
      <c r="G44" s="123">
        <f>ROUND(+平成13年度!G43/平成13年度!F43,4)</f>
        <v>1.0713999999999999</v>
      </c>
      <c r="H44" s="1"/>
      <c r="I44" s="1"/>
      <c r="J44" s="1" t="s">
        <v>1822</v>
      </c>
      <c r="K44" s="1">
        <f>ROUND(+平成13年度!K46/平成13年度!K42,4)</f>
        <v>0.99309999999999998</v>
      </c>
      <c r="L44" s="1">
        <f>ROUND(+平成13年度!L46/平成13年度!L42,4)</f>
        <v>0.99739999999999995</v>
      </c>
      <c r="M44" s="1">
        <f>ROUND(+平成13年度!M46/平成13年度!M42,4)</f>
        <v>1.0001</v>
      </c>
      <c r="N44" s="1">
        <f>平成13年度!M44</f>
        <v>1.0001</v>
      </c>
      <c r="O44" s="1"/>
      <c r="P44" s="1"/>
      <c r="Q44" s="1"/>
      <c r="R44" s="1">
        <f>ROUND((+平成13年度!N44+平成13年度!M44)/2,4)</f>
        <v>1.0001</v>
      </c>
      <c r="S44" s="1"/>
      <c r="T44" s="1"/>
      <c r="U44" s="1"/>
      <c r="V44" s="1"/>
      <c r="W44" s="117"/>
      <c r="X44" s="124" t="s">
        <v>1823</v>
      </c>
      <c r="Y44" s="1"/>
      <c r="Z44" s="125" t="str">
        <f>平成13年度!C3</f>
        <v>平成13年度</v>
      </c>
      <c r="AA44" s="117"/>
      <c r="AB44" s="117"/>
      <c r="AC44" s="117"/>
      <c r="AD44" s="117"/>
      <c r="AE44" s="117"/>
      <c r="AF44" s="117"/>
      <c r="AG44" s="117" t="s">
        <v>1824</v>
      </c>
      <c r="AH44" s="119" t="s">
        <v>1825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1826</v>
      </c>
      <c r="C45" s="1">
        <f>平成９年度!K36</f>
        <v>17827.916666666668</v>
      </c>
      <c r="D45" s="1">
        <f>平成10年度!K36</f>
        <v>19061.583333333332</v>
      </c>
      <c r="E45" s="1">
        <f>平成11年度!K36</f>
        <v>20475.5</v>
      </c>
      <c r="F45" s="126">
        <f>平成12年度!K36</f>
        <v>22050</v>
      </c>
      <c r="G45" s="126">
        <f>ROUND(+平成13年度!F46*平成13年度!G43,0)</f>
        <v>23623</v>
      </c>
      <c r="H45" s="126">
        <f>平成13年度!G45*平成13年度!G47</f>
        <v>25307.319899999999</v>
      </c>
      <c r="I45" s="1"/>
      <c r="J45" s="1"/>
      <c r="K45" s="1"/>
      <c r="L45" s="1"/>
      <c r="M45" s="1"/>
      <c r="N45" s="3">
        <f>ROUND(+平成13年度!N44*平成13年度!N42,0)</f>
        <v>27069</v>
      </c>
      <c r="O45" s="3"/>
      <c r="P45" s="3"/>
      <c r="Q45" s="3"/>
      <c r="R45" s="3">
        <f>ROUND(+平成13年度!R42*平成13年度!R44,0)</f>
        <v>27608</v>
      </c>
      <c r="S45" s="1"/>
      <c r="T45" s="118"/>
      <c r="U45" s="118"/>
      <c r="V45" s="118"/>
      <c r="W45" s="118"/>
      <c r="X45" s="127"/>
      <c r="Y45" s="128" t="s">
        <v>1827</v>
      </c>
      <c r="Z45" s="129" t="s">
        <v>1828</v>
      </c>
      <c r="AA45" s="129" t="s">
        <v>1829</v>
      </c>
      <c r="AB45" s="129" t="s">
        <v>1830</v>
      </c>
      <c r="AC45" s="129" t="s">
        <v>1831</v>
      </c>
      <c r="AD45" s="130" t="s">
        <v>1832</v>
      </c>
      <c r="AE45" s="130" t="s">
        <v>1833</v>
      </c>
      <c r="AF45" s="130" t="s">
        <v>1834</v>
      </c>
      <c r="AG45" s="131" t="s">
        <v>1835</v>
      </c>
      <c r="AH45" s="131" t="s">
        <v>1836</v>
      </c>
      <c r="AI45" s="132" t="s">
        <v>1837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1838</v>
      </c>
      <c r="C46" s="122">
        <f>平成13年度!C45/平成13年度!C43</f>
        <v>1.0162603557041878</v>
      </c>
      <c r="D46" s="122">
        <f>平成13年度!D45/平成13年度!D43</f>
        <v>1.0169431996016502</v>
      </c>
      <c r="E46" s="122">
        <f>平成13年度!E45/平成13年度!E43</f>
        <v>1.0183691570579507</v>
      </c>
      <c r="F46" s="122">
        <f>ROUND(+平成13年度!F45/平成13年度!F43,4)</f>
        <v>1.0172000000000001</v>
      </c>
      <c r="G46" s="122">
        <f>ROUND((+平成13年度!E46+平成13年度!F46)/2,4)</f>
        <v>1.0178</v>
      </c>
      <c r="H46" s="1"/>
      <c r="I46" s="1"/>
      <c r="J46" s="1" t="s">
        <v>1839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1840</v>
      </c>
      <c r="Z46" s="136" t="s">
        <v>1841</v>
      </c>
      <c r="AA46" s="137" t="s">
        <v>1842</v>
      </c>
      <c r="AB46" s="137" t="s">
        <v>1843</v>
      </c>
      <c r="AC46" s="138" t="s">
        <v>1844</v>
      </c>
      <c r="AD46" s="139"/>
      <c r="AE46" s="140" t="s">
        <v>1845</v>
      </c>
      <c r="AF46" s="140" t="s">
        <v>1846</v>
      </c>
      <c r="AG46" s="140" t="s">
        <v>1847</v>
      </c>
      <c r="AH46" s="140" t="s">
        <v>1848</v>
      </c>
      <c r="AI46" s="141" t="s">
        <v>1849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1850</v>
      </c>
      <c r="C47" s="121"/>
      <c r="D47" s="122">
        <f>平成13年度!D45/平成13年度!C45</f>
        <v>1.0691985883562762</v>
      </c>
      <c r="E47" s="122">
        <f>平成13年度!E45/平成13年度!D45</f>
        <v>1.0741762445407212</v>
      </c>
      <c r="F47" s="122">
        <f>ROUND(+平成13年度!F45/平成13年度!E45,4)</f>
        <v>1.0769</v>
      </c>
      <c r="G47" s="122">
        <f>ROUND(+平成13年度!G45/平成13年度!F45,4)</f>
        <v>1.0712999999999999</v>
      </c>
      <c r="H47" s="1"/>
      <c r="I47" s="1"/>
      <c r="J47" s="1"/>
      <c r="K47" s="1"/>
      <c r="L47" s="1">
        <f>ROUND(+平成13年度!L46/平成13年度!K46,4)</f>
        <v>1.0027999999999999</v>
      </c>
      <c r="M47" s="1">
        <f>ROUND(+平成13年度!M46/平成13年度!L46,4)</f>
        <v>1.0226</v>
      </c>
      <c r="N47" s="1">
        <f>平成13年度!M47</f>
        <v>1.0226</v>
      </c>
      <c r="O47" s="1"/>
      <c r="P47" s="1"/>
      <c r="Q47" s="1"/>
      <c r="R47" s="1">
        <f>平成13年度!N47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平成13年度!M8</f>
        <v>9528</v>
      </c>
      <c r="AE47" s="144" t="s">
        <v>1851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1852</v>
      </c>
      <c r="K48" s="1"/>
      <c r="L48" s="1"/>
      <c r="M48" s="1"/>
      <c r="N48" s="3">
        <f>ROUND(+平成13年度!M46*平成13年度!N47,0)</f>
        <v>27209</v>
      </c>
      <c r="O48" s="3"/>
      <c r="P48" s="3"/>
      <c r="Q48" s="3"/>
      <c r="R48" s="149">
        <f>ROUND(+平成13年度!N48*平成13年度!R47,0)</f>
        <v>27824</v>
      </c>
      <c r="S48" s="1"/>
      <c r="T48" s="1"/>
      <c r="U48" s="1"/>
      <c r="V48" s="1"/>
      <c r="W48" s="117" t="s">
        <v>1853</v>
      </c>
      <c r="X48" s="134" t="s">
        <v>1854</v>
      </c>
      <c r="Y48" s="150">
        <f>平成13年度!C8</f>
        <v>45857</v>
      </c>
      <c r="Z48" s="151">
        <f>平成13年度!H8</f>
        <v>88827</v>
      </c>
      <c r="AA48" s="151">
        <f>平成13年度!Z48-平成13年度!AB48-平成13年度!AC48</f>
        <v>52060</v>
      </c>
      <c r="AB48" s="151">
        <f>平成13年度!K8</f>
        <v>23107</v>
      </c>
      <c r="AC48" s="152">
        <f>平成13年度!AD47+平成13年度!AD48</f>
        <v>13660</v>
      </c>
      <c r="AD48" s="153">
        <f>平成13年度!N8</f>
        <v>4132</v>
      </c>
      <c r="AE48" s="151">
        <f>平成13年度!R8</f>
        <v>108207</v>
      </c>
      <c r="AF48" s="150">
        <f>平成13年度!S8</f>
        <v>294766</v>
      </c>
      <c r="AG48" s="154">
        <f>平成13年度!Y48/+平成13年度!AE48</f>
        <v>0.42378958847394343</v>
      </c>
      <c r="AH48" s="155">
        <f>平成13年度!Z48/+平成13年度!AF48</f>
        <v>0.3013475095499481</v>
      </c>
      <c r="AI48" s="156">
        <f>平成13年度!AC48/+平成13年度!Z48</f>
        <v>0.15378207076677136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 t="s">
        <v>1855</v>
      </c>
      <c r="H49" s="99" t="s">
        <v>1856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1857</v>
      </c>
      <c r="Z49" s="144"/>
      <c r="AA49" s="144"/>
      <c r="AB49" s="144"/>
      <c r="AC49" s="157"/>
      <c r="AD49" s="146">
        <f>平成13年度!M9</f>
        <v>9548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>
        <f>IF(+平成13年度!G45&gt;0,ROUNDUP(+平成13年度!G45,-2),ROUNDDOWN(+平成13年度!G45,-2))</f>
        <v>23700</v>
      </c>
      <c r="H50" s="160">
        <f>IF(+平成13年度!H45&gt;0,ROUNDUP(+平成13年度!H45,-2),ROUNDDOWN(+平成13年度!H45,-2))</f>
        <v>25400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1858</v>
      </c>
      <c r="Y50" s="150">
        <f>平成13年度!C9</f>
        <v>45993</v>
      </c>
      <c r="Z50" s="151">
        <f>平成13年度!H9</f>
        <v>88999</v>
      </c>
      <c r="AA50" s="151">
        <f>平成13年度!Z50-平成13年度!AB50-平成13年度!AC50</f>
        <v>52111</v>
      </c>
      <c r="AB50" s="151">
        <f>平成13年度!K9</f>
        <v>23200</v>
      </c>
      <c r="AC50" s="152">
        <f>平成13年度!AD49+平成13年度!AD50</f>
        <v>13688</v>
      </c>
      <c r="AD50" s="153">
        <f>平成13年度!N9</f>
        <v>4140</v>
      </c>
      <c r="AE50" s="151">
        <f>平成13年度!R9</f>
        <v>108385</v>
      </c>
      <c r="AF50" s="150">
        <f>平成13年度!S9</f>
        <v>295002</v>
      </c>
      <c r="AG50" s="154">
        <f>平成13年度!Y50/+平成13年度!AE50</f>
        <v>0.42434838769202382</v>
      </c>
      <c r="AH50" s="155">
        <f>平成13年度!Z50/+平成13年度!AF50</f>
        <v>0.30168948007132157</v>
      </c>
      <c r="AI50" s="156">
        <f>平成13年度!AC50/+平成13年度!Z50</f>
        <v>0.15379948089304374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 t="s">
        <v>1859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1860</v>
      </c>
      <c r="L51" s="1" t="s">
        <v>1861</v>
      </c>
      <c r="M51" s="1" t="s">
        <v>1862</v>
      </c>
      <c r="N51" s="1" t="s">
        <v>1863</v>
      </c>
      <c r="O51" s="1"/>
      <c r="P51" s="1"/>
      <c r="Q51" s="1"/>
      <c r="R51" s="1" t="s">
        <v>1864</v>
      </c>
      <c r="S51" s="1"/>
      <c r="T51" s="1"/>
      <c r="U51" s="1"/>
      <c r="V51" s="1"/>
      <c r="W51" s="117"/>
      <c r="X51" s="142"/>
      <c r="Y51" s="143" t="s">
        <v>1865</v>
      </c>
      <c r="Z51" s="144" t="s">
        <v>1866</v>
      </c>
      <c r="AA51" s="144" t="s">
        <v>1867</v>
      </c>
      <c r="AB51" s="144"/>
      <c r="AC51" s="145"/>
      <c r="AD51" s="146">
        <f>平成13年度!M10</f>
        <v>9647</v>
      </c>
      <c r="AE51" s="144"/>
      <c r="AF51" s="144"/>
      <c r="AG51" s="147" t="s">
        <v>1868</v>
      </c>
      <c r="AH51" s="147" t="s">
        <v>1869</v>
      </c>
      <c r="AI51" s="148" t="s">
        <v>1870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 t="s">
        <v>1871</v>
      </c>
      <c r="B52" s="1"/>
      <c r="C52" s="1" t="s">
        <v>1872</v>
      </c>
      <c r="D52" s="1" t="s">
        <v>1873</v>
      </c>
      <c r="E52" s="1" t="s">
        <v>1874</v>
      </c>
      <c r="F52" s="1" t="s">
        <v>1875</v>
      </c>
      <c r="G52" s="1" t="s">
        <v>1876</v>
      </c>
      <c r="H52" s="1" t="s">
        <v>1877</v>
      </c>
      <c r="I52" s="1"/>
      <c r="J52" s="1" t="s">
        <v>1878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1879</v>
      </c>
      <c r="Y52" s="150">
        <f>平成13年度!C10</f>
        <v>46154</v>
      </c>
      <c r="Z52" s="151">
        <f>平成13年度!H10</f>
        <v>89186</v>
      </c>
      <c r="AA52" s="151">
        <f>平成13年度!Z52-平成13年度!AB52-平成13年度!AC52</f>
        <v>52076</v>
      </c>
      <c r="AB52" s="151">
        <f>平成13年度!K10</f>
        <v>23277</v>
      </c>
      <c r="AC52" s="152">
        <f>平成13年度!AD51+平成13年度!AD52</f>
        <v>13833</v>
      </c>
      <c r="AD52" s="153">
        <f>平成13年度!N10</f>
        <v>4186</v>
      </c>
      <c r="AE52" s="151">
        <f>平成13年度!R10</f>
        <v>108498</v>
      </c>
      <c r="AF52" s="150">
        <f>平成13年度!S10</f>
        <v>295036</v>
      </c>
      <c r="AG52" s="154">
        <f>平成13年度!Y52/+平成13年度!AE52</f>
        <v>0.42539032977566404</v>
      </c>
      <c r="AH52" s="155">
        <f>平成13年度!Z52/+平成13年度!AF52</f>
        <v>0.30228853428056235</v>
      </c>
      <c r="AI52" s="156">
        <f>平成13年度!AC52/+平成13年度!Z52</f>
        <v>0.15510281882806717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1880</v>
      </c>
      <c r="AB53" s="144"/>
      <c r="AC53" s="157"/>
      <c r="AD53" s="146">
        <f>平成13年度!M11</f>
        <v>9738</v>
      </c>
      <c r="AE53" s="144"/>
      <c r="AF53" s="143"/>
      <c r="AG53" s="158" t="s">
        <v>1881</v>
      </c>
      <c r="AH53" s="147" t="s">
        <v>1882</v>
      </c>
      <c r="AI53" s="159" t="s">
        <v>1883</v>
      </c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 t="s">
        <v>1884</v>
      </c>
      <c r="C54" s="1" t="e">
        <f>ROUND(SUM(+平成８年度!P8:P12)/5,0)</f>
        <v>#VALUE!</v>
      </c>
      <c r="D54" s="1" t="e">
        <f>ROUND(SUM(+平成９年度!P8:P12)/5,0)</f>
        <v>#VALUE!</v>
      </c>
      <c r="E54" s="1" t="e">
        <f>ROUND(SUM(+平成10年度!P8:P12)/5,0)</f>
        <v>#VALUE!</v>
      </c>
      <c r="F54" s="120" t="e">
        <f>ROUND(SUM(+平成11年度!P8:P12)/5,0)</f>
        <v>#VALUE!</v>
      </c>
      <c r="G54" s="120" t="e">
        <f>ROUND(SUM(+平成12年度!P8:P12)/5,0)</f>
        <v>#VALUE!</v>
      </c>
      <c r="H54" s="1" t="e">
        <f>ROUND(SUM(+平成13年度!S8:S12)/5,0)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1885</v>
      </c>
      <c r="Y54" s="150">
        <f>平成13年度!C11</f>
        <v>46409</v>
      </c>
      <c r="Z54" s="151">
        <f>平成13年度!H11</f>
        <v>89690</v>
      </c>
      <c r="AA54" s="151">
        <f>平成13年度!Z54-平成13年度!AB54-平成13年度!AC54</f>
        <v>52301</v>
      </c>
      <c r="AB54" s="151">
        <f>平成13年度!K11</f>
        <v>23387</v>
      </c>
      <c r="AC54" s="152">
        <f>平成13年度!AD53+平成13年度!AD54</f>
        <v>14002</v>
      </c>
      <c r="AD54" s="153">
        <f>平成13年度!N11</f>
        <v>4264</v>
      </c>
      <c r="AE54" s="151">
        <f>平成13年度!R11</f>
        <v>108655</v>
      </c>
      <c r="AF54" s="150">
        <f>平成13年度!S11</f>
        <v>295267</v>
      </c>
      <c r="AG54" s="154">
        <f>平成13年度!Y54/+平成13年度!AE54</f>
        <v>0.42712254383139292</v>
      </c>
      <c r="AH54" s="155">
        <f>平成13年度!Z54/+平成13年度!AF54</f>
        <v>0.30375897069432073</v>
      </c>
      <c r="AI54" s="156">
        <f>平成13年度!AC54/+平成13年度!Z54</f>
        <v>0.15611550897535958</v>
      </c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 t="s">
        <v>1886</v>
      </c>
      <c r="C55" s="121"/>
      <c r="D55" s="122" t="e">
        <f>平成13年度!D54/平成13年度!C54</f>
        <v>#VALUE!</v>
      </c>
      <c r="E55" s="122" t="e">
        <f>平成13年度!E54/平成13年度!D54</f>
        <v>#VALUE!</v>
      </c>
      <c r="F55" s="123" t="e">
        <f>ROUND(+平成13年度!F54/平成13年度!E54,4)</f>
        <v>#VALUE!</v>
      </c>
      <c r="G55" s="123" t="e">
        <f>ROUND(+平成13年度!G54/平成13年度!F54,4)</f>
        <v>#VALUE!</v>
      </c>
      <c r="H55" s="123" t="e">
        <f>ROUND(+平成13年度!H54/平成13年度!G54,4)</f>
        <v>#VALUE!</v>
      </c>
      <c r="I55" s="1"/>
      <c r="J55" s="1" t="s">
        <v>1887</v>
      </c>
      <c r="K55" s="118">
        <v>25949</v>
      </c>
      <c r="L55" s="118">
        <v>26021</v>
      </c>
      <c r="M55" s="118">
        <v>26608</v>
      </c>
      <c r="N55" s="1">
        <f>ROUND(ROUND(+平成13年度!M55/平成13年度!L55,4)*平成13年度!M55,0)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1888</v>
      </c>
      <c r="AB55" s="144"/>
      <c r="AC55" s="145"/>
      <c r="AD55" s="146">
        <f>平成13年度!M12</f>
        <v>9719</v>
      </c>
      <c r="AE55" s="144"/>
      <c r="AF55" s="144"/>
      <c r="AG55" s="147" t="s">
        <v>1889</v>
      </c>
      <c r="AH55" s="147" t="s">
        <v>1890</v>
      </c>
      <c r="AI55" s="148" t="s">
        <v>1891</v>
      </c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 t="s">
        <v>1892</v>
      </c>
      <c r="C56" s="1">
        <f>平成８年度!P21</f>
        <v>290091.16666666669</v>
      </c>
      <c r="D56" s="1" t="e">
        <f>平成９年度!P21</f>
        <v>#VALUE!</v>
      </c>
      <c r="E56" s="1" t="e">
        <f>平成10年度!P21</f>
        <v>#VALUE!</v>
      </c>
      <c r="F56" s="126">
        <f>平成11年度!P21</f>
        <v>292958.75</v>
      </c>
      <c r="G56" s="126" t="e">
        <f>平成12年度!P21</f>
        <v>#VALUE!</v>
      </c>
      <c r="H56" s="126" t="s">
        <v>1893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ROUND(ROUND(+平成13年度!M56/平成13年度!L56,4)*平成13年度!M56,0)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1894</v>
      </c>
      <c r="Y56" s="150">
        <f>平成13年度!C12</f>
        <v>46542</v>
      </c>
      <c r="Z56" s="151">
        <f>平成13年度!H12</f>
        <v>89896</v>
      </c>
      <c r="AA56" s="151">
        <f>平成13年度!Z56-平成13年度!AB56-平成13年度!AC56</f>
        <v>52400</v>
      </c>
      <c r="AB56" s="151">
        <f>平成13年度!K12</f>
        <v>23521</v>
      </c>
      <c r="AC56" s="152">
        <f>平成13年度!AD55+平成13年度!AD56</f>
        <v>13975</v>
      </c>
      <c r="AD56" s="153">
        <f>平成13年度!N12</f>
        <v>4256</v>
      </c>
      <c r="AE56" s="151">
        <f>平成13年度!R12</f>
        <v>108838</v>
      </c>
      <c r="AF56" s="150">
        <f>平成13年度!S12</f>
        <v>295517</v>
      </c>
      <c r="AG56" s="154">
        <f>平成13年度!Y56/+平成13年度!AE56</f>
        <v>0.42762638049210755</v>
      </c>
      <c r="AH56" s="155">
        <f>平成13年度!Z56/+平成13年度!AF56</f>
        <v>0.30419908160951825</v>
      </c>
      <c r="AI56" s="156">
        <f>平成13年度!AC56/+平成13年度!Z56</f>
        <v>0.15545741746017622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 t="s">
        <v>1895</v>
      </c>
      <c r="C57" s="122" t="e">
        <f>平成13年度!C56/平成13年度!C54</f>
        <v>#VALUE!</v>
      </c>
      <c r="D57" s="122" t="e">
        <f>平成13年度!D56/平成13年度!D54</f>
        <v>#VALUE!</v>
      </c>
      <c r="E57" s="122" t="e">
        <f>平成13年度!E56/平成13年度!E54</f>
        <v>#VALUE!</v>
      </c>
      <c r="F57" s="122" t="e">
        <f>ROUND(+平成13年度!F56/平成13年度!F54,4)</f>
        <v>#VALUE!</v>
      </c>
      <c r="G57" s="122" t="e">
        <f>ROUND((+平成13年度!E57+平成13年度!F57)/2,4)</f>
        <v>#VALUE!</v>
      </c>
      <c r="H57" s="1"/>
      <c r="I57" s="1"/>
      <c r="J57" s="1" t="s">
        <v>1896</v>
      </c>
      <c r="K57" s="1" t="s">
        <v>1897</v>
      </c>
      <c r="L57" s="1" t="s">
        <v>1898</v>
      </c>
      <c r="M57" s="1" t="s">
        <v>1899</v>
      </c>
      <c r="N57" s="1" t="s">
        <v>1900</v>
      </c>
      <c r="O57" s="1"/>
      <c r="P57" s="1"/>
      <c r="Q57" s="1"/>
      <c r="R57" s="1" t="s">
        <v>1901</v>
      </c>
      <c r="S57" s="1" t="s">
        <v>1902</v>
      </c>
      <c r="T57" s="1"/>
      <c r="U57" s="1"/>
      <c r="V57" s="1"/>
      <c r="W57" s="117"/>
      <c r="X57" s="142"/>
      <c r="Y57" s="143"/>
      <c r="Z57" s="144"/>
      <c r="AA57" s="144" t="s">
        <v>1903</v>
      </c>
      <c r="AB57" s="144"/>
      <c r="AC57" s="145"/>
      <c r="AD57" s="146">
        <f>平成13年度!M13</f>
        <v>9668</v>
      </c>
      <c r="AE57" s="144"/>
      <c r="AF57" s="144"/>
      <c r="AG57" s="147" t="s">
        <v>1904</v>
      </c>
      <c r="AH57" s="147" t="s">
        <v>1905</v>
      </c>
      <c r="AI57" s="148" t="s">
        <v>1906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 t="s">
        <v>1907</v>
      </c>
      <c r="C58" s="121"/>
      <c r="D58" s="122" t="e">
        <f>平成13年度!D56/平成13年度!C56</f>
        <v>#VALUE!</v>
      </c>
      <c r="E58" s="122" t="e">
        <f>平成13年度!E56/平成13年度!D56</f>
        <v>#VALUE!</v>
      </c>
      <c r="F58" s="122" t="e">
        <f>ROUND(+平成13年度!F56/平成13年度!E56,4)</f>
        <v>#VALUE!</v>
      </c>
      <c r="G58" s="122" t="e">
        <f>ROUND(+平成13年度!G56/平成13年度!F56,4)</f>
        <v>#VALUE!</v>
      </c>
      <c r="H58" s="1"/>
      <c r="I58" s="1" t="s">
        <v>1908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1909</v>
      </c>
      <c r="Y58" s="150">
        <f>平成13年度!C13</f>
        <v>46687</v>
      </c>
      <c r="Z58" s="151">
        <f>平成13年度!H13</f>
        <v>90173</v>
      </c>
      <c r="AA58" s="151">
        <f>平成13年度!Z58-平成13年度!AB58-平成13年度!AC58</f>
        <v>52630</v>
      </c>
      <c r="AB58" s="151">
        <f>平成13年度!K13</f>
        <v>23633</v>
      </c>
      <c r="AC58" s="152">
        <f>平成13年度!AD57+平成13年度!AD58</f>
        <v>13910</v>
      </c>
      <c r="AD58" s="153">
        <f>平成13年度!N13</f>
        <v>4242</v>
      </c>
      <c r="AE58" s="151">
        <f>平成13年度!R13</f>
        <v>108948</v>
      </c>
      <c r="AF58" s="150">
        <f>平成13年度!S13</f>
        <v>295654</v>
      </c>
      <c r="AG58" s="154">
        <f>平成13年度!Y58/+平成13年度!AE58</f>
        <v>0.42852553511767083</v>
      </c>
      <c r="AH58" s="155">
        <f>平成13年度!Z58/+平成13年度!AF58</f>
        <v>0.30499502797188605</v>
      </c>
      <c r="AI58" s="156">
        <f>平成13年度!AC58/+平成13年度!Z58</f>
        <v>0.15425903540971245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ROUND(+平成13年度!K58/平成13年度!J58,4)</f>
        <v>0.99309999999999998</v>
      </c>
      <c r="L59" s="36">
        <f>ROUND(+平成13年度!L58/平成13年度!K58,4)</f>
        <v>1.0054000000000001</v>
      </c>
      <c r="M59" s="36">
        <f>ROUND(+平成13年度!M58/平成13年度!L58,4)</f>
        <v>0.99739999999999995</v>
      </c>
      <c r="N59" s="36">
        <f>ROUND(+平成13年度!N58/平成13年度!M58,4)</f>
        <v>1.0225</v>
      </c>
      <c r="O59" s="36"/>
      <c r="P59" s="36"/>
      <c r="Q59" s="36"/>
      <c r="R59" s="36">
        <f>ROUND(+平成13年度!R58/平成13年度!N58,4)</f>
        <v>1.0001</v>
      </c>
      <c r="S59" s="36">
        <f>ROUND(+平成13年度!S58/平成13年度!R58,4)</f>
        <v>1.0172000000000001</v>
      </c>
      <c r="T59" s="1"/>
      <c r="U59" s="1"/>
      <c r="V59" s="1" t="s">
        <v>1910</v>
      </c>
      <c r="W59" s="117"/>
      <c r="X59" s="142"/>
      <c r="Y59" s="143"/>
      <c r="Z59" s="144"/>
      <c r="AA59" s="144" t="s">
        <v>1911</v>
      </c>
      <c r="AB59" s="144"/>
      <c r="AC59" s="145"/>
      <c r="AD59" s="146">
        <f>平成13年度!M14</f>
        <v>9705</v>
      </c>
      <c r="AE59" s="144"/>
      <c r="AF59" s="144"/>
      <c r="AG59" s="147" t="s">
        <v>1912</v>
      </c>
      <c r="AH59" s="147" t="s">
        <v>1913</v>
      </c>
      <c r="AI59" s="148" t="s">
        <v>1914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 t="e">
        <f>平成13年度!C57*平成13年度!D54</f>
        <v>#VALUE!</v>
      </c>
      <c r="E60" s="1" t="e">
        <f>平成13年度!D57*平成13年度!E54</f>
        <v>#VALUE!</v>
      </c>
      <c r="F60" s="1" t="e">
        <f>平成13年度!E57*平成13年度!F54</f>
        <v>#VALUE!</v>
      </c>
      <c r="G60" s="1" t="e">
        <f>平成13年度!F57*平成13年度!G54</f>
        <v>#VALUE!</v>
      </c>
      <c r="H60" s="162" t="e">
        <f>IF(+平成13年度!G57*平成13年度!H54&gt;0,ROUNDDOWN(+平成13年度!G57*平成13年度!H54,-2),ROUNDUP(+平成13年度!G57*平成13年度!H54,-2))</f>
        <v>#VALUE!</v>
      </c>
      <c r="I60" s="1" t="s">
        <v>1915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1916</v>
      </c>
      <c r="Y60" s="150">
        <f>平成13年度!C14</f>
        <v>46928</v>
      </c>
      <c r="Z60" s="151">
        <f>平成13年度!H14</f>
        <v>90552</v>
      </c>
      <c r="AA60" s="151">
        <f>平成13年度!Z60-平成13年度!AB60-平成13年度!AC60</f>
        <v>52780</v>
      </c>
      <c r="AB60" s="151">
        <f>平成13年度!K14</f>
        <v>23778</v>
      </c>
      <c r="AC60" s="152">
        <f>平成13年度!AD59+平成13年度!AD60</f>
        <v>13994</v>
      </c>
      <c r="AD60" s="153">
        <f>平成13年度!N14</f>
        <v>4289</v>
      </c>
      <c r="AE60" s="151">
        <f>平成13年度!R14</f>
        <v>109102</v>
      </c>
      <c r="AF60" s="150">
        <f>平成13年度!S14</f>
        <v>295835</v>
      </c>
      <c r="AG60" s="154">
        <f>平成13年度!Y60/+平成13年度!AE60</f>
        <v>0.43012960349031182</v>
      </c>
      <c r="AH60" s="155">
        <f>平成13年度!Z60/+平成13年度!AF60</f>
        <v>0.30608954315750336</v>
      </c>
      <c r="AI60" s="156">
        <f>平成13年度!AC60/+平成13年度!Z60</f>
        <v>0.15454103719409842</v>
      </c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ROUND(+平成13年度!K60/平成13年度!J60,4)</f>
        <v>0.99850000000000005</v>
      </c>
      <c r="L61" s="36">
        <f>ROUND(+平成13年度!L60/平成13年度!K60,4)</f>
        <v>1.0005999999999999</v>
      </c>
      <c r="M61" s="36">
        <f>ROUND(+平成13年度!M60/平成13年度!L60,4)</f>
        <v>1.0077</v>
      </c>
      <c r="N61" s="36">
        <f>ROUND(+平成13年度!N60/平成13年度!M60,4)</f>
        <v>1.0170999999999999</v>
      </c>
      <c r="O61" s="36"/>
      <c r="P61" s="36"/>
      <c r="Q61" s="36"/>
      <c r="R61" s="36">
        <f>ROUND(+平成13年度!R60/平成13年度!N60,4)</f>
        <v>1.0059</v>
      </c>
      <c r="S61" s="36">
        <f>ROUND(+平成13年度!S60/平成13年度!R60,4)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1917</v>
      </c>
      <c r="AB61" s="144"/>
      <c r="AC61" s="145"/>
      <c r="AD61" s="146">
        <f>平成13年度!M15</f>
        <v>9695</v>
      </c>
      <c r="AE61" s="144"/>
      <c r="AF61" s="144"/>
      <c r="AG61" s="147" t="s">
        <v>1918</v>
      </c>
      <c r="AH61" s="147" t="s">
        <v>1919</v>
      </c>
      <c r="AI61" s="148" t="s">
        <v>1920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 t="s">
        <v>1921</v>
      </c>
      <c r="B62" s="1"/>
      <c r="C62" s="1" t="s">
        <v>1922</v>
      </c>
      <c r="D62" s="1" t="s">
        <v>1923</v>
      </c>
      <c r="E62" s="1" t="s">
        <v>1924</v>
      </c>
      <c r="F62" s="1" t="s">
        <v>1925</v>
      </c>
      <c r="G62" s="1" t="s">
        <v>1926</v>
      </c>
      <c r="H62" s="1" t="s">
        <v>1927</v>
      </c>
      <c r="I62" s="1" t="s">
        <v>1928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1929</v>
      </c>
      <c r="Y62" s="150">
        <f>平成13年度!C15</f>
        <v>47044</v>
      </c>
      <c r="Z62" s="151">
        <f>平成13年度!H15</f>
        <v>90616</v>
      </c>
      <c r="AA62" s="151">
        <f>平成13年度!Z62-平成13年度!AB62-平成13年度!AC62</f>
        <v>52762</v>
      </c>
      <c r="AB62" s="151">
        <f>平成13年度!K15</f>
        <v>23867</v>
      </c>
      <c r="AC62" s="152">
        <f>平成13年度!AD61+平成13年度!AD62</f>
        <v>13987</v>
      </c>
      <c r="AD62" s="153">
        <f>平成13年度!N15</f>
        <v>4292</v>
      </c>
      <c r="AE62" s="151">
        <f>平成13年度!R15</f>
        <v>109282</v>
      </c>
      <c r="AF62" s="150">
        <f>平成13年度!S15</f>
        <v>295968</v>
      </c>
      <c r="AG62" s="154">
        <f>平成13年度!Y62/+平成13年度!AE62</f>
        <v>0.43048260463754323</v>
      </c>
      <c r="AH62" s="155">
        <f>平成13年度!Z62/+平成13年度!AF62</f>
        <v>0.30616823440371932</v>
      </c>
      <c r="AI62" s="156">
        <f>平成13年度!AC62/+平成13年度!Z62</f>
        <v>0.15435463935728791</v>
      </c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ROUND(+平成13年度!K62/平成13年度!J62,4)</f>
        <v>1.0068999999999999</v>
      </c>
      <c r="L63" s="36">
        <f>ROUND(+平成13年度!L62/平成13年度!K62,4)</f>
        <v>1.0145</v>
      </c>
      <c r="M63" s="36">
        <f>ROUND(+平成13年度!M62/平成13年度!L62,4)</f>
        <v>1.0133000000000001</v>
      </c>
      <c r="N63" s="36">
        <f>ROUND(+平成13年度!N62/平成13年度!M62,4)</f>
        <v>1.0256000000000001</v>
      </c>
      <c r="O63" s="36"/>
      <c r="P63" s="36"/>
      <c r="Q63" s="36"/>
      <c r="R63" s="36">
        <f>ROUND(+平成13年度!R62/平成13年度!N62,4)</f>
        <v>1.0128999999999999</v>
      </c>
      <c r="S63" s="36">
        <f>ROUND(+平成13年度!S62/平成13年度!R62,4)</f>
        <v>1.0219</v>
      </c>
      <c r="T63" s="1"/>
      <c r="U63" s="1"/>
      <c r="V63" s="1"/>
      <c r="W63" s="117"/>
      <c r="X63" s="142"/>
      <c r="Y63" s="143" t="s">
        <v>1930</v>
      </c>
      <c r="Z63" s="144"/>
      <c r="AA63" s="144" t="s">
        <v>1931</v>
      </c>
      <c r="AB63" s="144"/>
      <c r="AC63" s="157"/>
      <c r="AD63" s="146">
        <f>平成13年度!M16</f>
        <v>9693</v>
      </c>
      <c r="AE63" s="144"/>
      <c r="AF63" s="143"/>
      <c r="AG63" s="158" t="s">
        <v>1932</v>
      </c>
      <c r="AH63" s="147" t="s">
        <v>1933</v>
      </c>
      <c r="AI63" s="159" t="s">
        <v>1934</v>
      </c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 t="s">
        <v>1935</v>
      </c>
      <c r="C64" s="1" t="e">
        <f>ROUND(SUM(+平成８年度!O8:O12)/5,0)</f>
        <v>#VALUE!</v>
      </c>
      <c r="D64" s="1" t="e">
        <f>ROUND(SUM(+平成９年度!O8:O12)/5,0)</f>
        <v>#VALUE!</v>
      </c>
      <c r="E64" s="1" t="e">
        <f>ROUND(SUM(+平成10年度!O8:O12)/5,0)</f>
        <v>#VALUE!</v>
      </c>
      <c r="F64" s="120" t="e">
        <f>ROUND(SUM(+平成11年度!O8:O12)/5,0)</f>
        <v>#VALUE!</v>
      </c>
      <c r="G64" s="120" t="e">
        <f>ROUND(SUM(+平成12年度!O8:O12)/5,0)</f>
        <v>#VALUE!</v>
      </c>
      <c r="H64" s="1" t="e">
        <f>ROUND(SUM(+平成13年度!R8:R12)/5,0)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1936</v>
      </c>
      <c r="Y64" s="150">
        <f>平成13年度!C16</f>
        <v>47183</v>
      </c>
      <c r="Z64" s="151">
        <f>平成13年度!H16</f>
        <v>90868</v>
      </c>
      <c r="AA64" s="151">
        <f>平成13年度!Z64-平成13年度!AB64-平成13年度!AC64</f>
        <v>52923</v>
      </c>
      <c r="AB64" s="151">
        <f>平成13年度!K16</f>
        <v>23955</v>
      </c>
      <c r="AC64" s="152">
        <f>平成13年度!AD63+平成13年度!AD64</f>
        <v>13990</v>
      </c>
      <c r="AD64" s="153">
        <f>平成13年度!N16</f>
        <v>4297</v>
      </c>
      <c r="AE64" s="151">
        <f>平成13年度!R16</f>
        <v>109378</v>
      </c>
      <c r="AF64" s="150">
        <f>平成13年度!S16</f>
        <v>296037</v>
      </c>
      <c r="AG64" s="154">
        <f>平成13年度!Y64/+平成13年度!AE64</f>
        <v>0.43137559655506591</v>
      </c>
      <c r="AH64" s="155">
        <f>平成13年度!Z64/+平成13年度!AF64</f>
        <v>0.30694811797174004</v>
      </c>
      <c r="AI64" s="156">
        <f>平成13年度!AC64/+平成13年度!Z64</f>
        <v>0.15395958973456003</v>
      </c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 t="s">
        <v>1937</v>
      </c>
      <c r="C65" s="121"/>
      <c r="D65" s="122" t="e">
        <f>平成13年度!D64/平成13年度!C64</f>
        <v>#VALUE!</v>
      </c>
      <c r="E65" s="122" t="e">
        <f>平成13年度!E64/平成13年度!D64</f>
        <v>#VALUE!</v>
      </c>
      <c r="F65" s="123" t="e">
        <f>ROUND(+平成13年度!F64/平成13年度!E64,4)</f>
        <v>#VALUE!</v>
      </c>
      <c r="G65" s="123" t="e">
        <f>ROUND(+平成13年度!G64/平成13年度!F64,4)</f>
        <v>#VALUE!</v>
      </c>
      <c r="H65" s="123" t="e">
        <f>ROUND(+平成13年度!H64/平成13年度!G64,4)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1938</v>
      </c>
      <c r="Z65" s="144"/>
      <c r="AA65" s="144" t="s">
        <v>1939</v>
      </c>
      <c r="AB65" s="144"/>
      <c r="AC65" s="157"/>
      <c r="AD65" s="146">
        <f>平成13年度!M17</f>
        <v>9741</v>
      </c>
      <c r="AE65" s="144"/>
      <c r="AF65" s="143"/>
      <c r="AG65" s="158" t="s">
        <v>1940</v>
      </c>
      <c r="AH65" s="147" t="s">
        <v>1941</v>
      </c>
      <c r="AI65" s="159" t="s">
        <v>1942</v>
      </c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 t="s">
        <v>1943</v>
      </c>
      <c r="C66" s="1">
        <f>平成８年度!O21</f>
        <v>101328.25</v>
      </c>
      <c r="D66" s="1" t="e">
        <f>平成９年度!O21</f>
        <v>#VALUE!</v>
      </c>
      <c r="E66" s="1" t="e">
        <f>平成10年度!O21</f>
        <v>#VALUE!</v>
      </c>
      <c r="F66" s="126">
        <f>平成11年度!O21</f>
        <v>105725.41666666667</v>
      </c>
      <c r="G66" s="126">
        <f>平成12年度!O21</f>
        <v>27409.75</v>
      </c>
      <c r="H66" s="126" t="s">
        <v>1944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1945</v>
      </c>
      <c r="Y66" s="150">
        <f>平成13年度!C17</f>
        <v>47362</v>
      </c>
      <c r="Z66" s="151">
        <f>平成13年度!H17</f>
        <v>91119</v>
      </c>
      <c r="AA66" s="151">
        <f>平成13年度!Z66-平成13年度!AB66-平成13年度!AC66</f>
        <v>53019</v>
      </c>
      <c r="AB66" s="151">
        <f>平成13年度!K17</f>
        <v>24043</v>
      </c>
      <c r="AC66" s="152">
        <f>平成13年度!AD65+平成13年度!AD66</f>
        <v>14057</v>
      </c>
      <c r="AD66" s="153">
        <f>平成13年度!N17</f>
        <v>4316</v>
      </c>
      <c r="AE66" s="151">
        <f>平成13年度!R17</f>
        <v>109487</v>
      </c>
      <c r="AF66" s="150">
        <f>平成13年度!S17</f>
        <v>296131</v>
      </c>
      <c r="AG66" s="154">
        <f>平成13年度!Y66/+平成13年度!AE66</f>
        <v>0.43258103701809347</v>
      </c>
      <c r="AH66" s="155">
        <f>平成13年度!Z66/+平成13年度!AF66</f>
        <v>0.30769828217917072</v>
      </c>
      <c r="AI66" s="156">
        <f>平成13年度!AC66/+平成13年度!Z66</f>
        <v>0.15427078874877906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 t="s">
        <v>1946</v>
      </c>
      <c r="C67" s="122" t="e">
        <f>平成13年度!C66/平成13年度!C64</f>
        <v>#VALUE!</v>
      </c>
      <c r="D67" s="122" t="e">
        <f>平成13年度!D66/平成13年度!D64</f>
        <v>#VALUE!</v>
      </c>
      <c r="E67" s="122" t="e">
        <f>平成13年度!E66/平成13年度!E64</f>
        <v>#VALUE!</v>
      </c>
      <c r="F67" s="122" t="e">
        <f>ROUND(+平成13年度!F66/平成13年度!F64,4)</f>
        <v>#VALUE!</v>
      </c>
      <c r="G67" s="122" t="e">
        <f>ROUND((+平成13年度!E67+平成13年度!F67)/2,4)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1947</v>
      </c>
      <c r="Z67" s="144" t="s">
        <v>1948</v>
      </c>
      <c r="AA67" s="144" t="s">
        <v>1949</v>
      </c>
      <c r="AB67" s="144"/>
      <c r="AC67" s="157"/>
      <c r="AD67" s="146">
        <f>平成13年度!M18</f>
        <v>9715</v>
      </c>
      <c r="AE67" s="144"/>
      <c r="AF67" s="143"/>
      <c r="AG67" s="158" t="s">
        <v>1950</v>
      </c>
      <c r="AH67" s="147" t="s">
        <v>1951</v>
      </c>
      <c r="AI67" s="159" t="s">
        <v>1952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 t="s">
        <v>1953</v>
      </c>
      <c r="C68" s="121"/>
      <c r="D68" s="122" t="e">
        <f>平成13年度!D66/平成13年度!C66</f>
        <v>#VALUE!</v>
      </c>
      <c r="E68" s="122" t="e">
        <f>平成13年度!E66/平成13年度!D66</f>
        <v>#VALUE!</v>
      </c>
      <c r="F68" s="122" t="e">
        <f>ROUND(+平成13年度!F66/平成13年度!E66,4)</f>
        <v>#VALUE!</v>
      </c>
      <c r="G68" s="122">
        <f>ROUND(+平成13年度!G66/平成13年度!F66,4)</f>
        <v>0.25929999999999997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1954</v>
      </c>
      <c r="Y68" s="150">
        <f>平成13年度!C18</f>
        <v>47362</v>
      </c>
      <c r="Z68" s="151">
        <f>平成13年度!H18</f>
        <v>91184</v>
      </c>
      <c r="AA68" s="151">
        <f>平成13年度!Z68-平成13年度!AB68-平成13年度!AC68</f>
        <v>52914</v>
      </c>
      <c r="AB68" s="151">
        <f>平成13年度!K18</f>
        <v>24238</v>
      </c>
      <c r="AC68" s="152">
        <f>平成13年度!AD67+平成13年度!AD68</f>
        <v>14032</v>
      </c>
      <c r="AD68" s="153">
        <f>平成13年度!N18</f>
        <v>4317</v>
      </c>
      <c r="AE68" s="151">
        <f>平成13年度!R18</f>
        <v>109442</v>
      </c>
      <c r="AF68" s="150">
        <f>平成13年度!S18</f>
        <v>296072</v>
      </c>
      <c r="AG68" s="154">
        <f>平成13年度!Y68/+平成13年度!AE68</f>
        <v>0.43275890425979058</v>
      </c>
      <c r="AH68" s="155">
        <f>平成13年度!Z68/+平成13年度!AF68</f>
        <v>0.3079791402091383</v>
      </c>
      <c r="AI68" s="156">
        <f>平成13年度!AC68/+平成13年度!Z68</f>
        <v>0.15388664678013686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1955</v>
      </c>
      <c r="AB69" s="144"/>
      <c r="AC69" s="157"/>
      <c r="AD69" s="146">
        <f>平成13年度!M19</f>
        <v>9782</v>
      </c>
      <c r="AE69" s="144"/>
      <c r="AF69" s="143"/>
      <c r="AG69" s="158" t="s">
        <v>1956</v>
      </c>
      <c r="AH69" s="147" t="s">
        <v>1957</v>
      </c>
      <c r="AI69" s="159" t="s">
        <v>1958</v>
      </c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 t="e">
        <f>平成13年度!C67*平成13年度!D64</f>
        <v>#VALUE!</v>
      </c>
      <c r="E70" s="1" t="e">
        <f>平成13年度!D67*平成13年度!E64</f>
        <v>#VALUE!</v>
      </c>
      <c r="F70" s="1" t="e">
        <f>平成13年度!E67*平成13年度!F64</f>
        <v>#VALUE!</v>
      </c>
      <c r="G70" s="1" t="e">
        <f>平成13年度!F67*平成13年度!G64</f>
        <v>#VALUE!</v>
      </c>
      <c r="H70" s="162" t="e">
        <f>IF(+平成13年度!G67*平成13年度!H64&gt;0,ROUNDDOWN(+平成13年度!G67*平成13年度!H64,-2),ROUNDUP(+平成13年度!G67*平成13年度!H64,-2))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1959</v>
      </c>
      <c r="Y70" s="150">
        <f>平成13年度!C19</f>
        <v>47502</v>
      </c>
      <c r="Z70" s="151">
        <f>平成13年度!H19</f>
        <v>91363</v>
      </c>
      <c r="AA70" s="151">
        <f>平成13年度!Z70-平成13年度!AB70-平成13年度!AC70</f>
        <v>52869</v>
      </c>
      <c r="AB70" s="151">
        <f>平成13年度!K19</f>
        <v>24345</v>
      </c>
      <c r="AC70" s="152">
        <f>平成13年度!AD69+平成13年度!AD70</f>
        <v>14149</v>
      </c>
      <c r="AD70" s="153">
        <f>平成13年度!N19</f>
        <v>4367</v>
      </c>
      <c r="AE70" s="151">
        <f>平成13年度!R19</f>
        <v>109424</v>
      </c>
      <c r="AF70" s="150">
        <f>平成13年度!S19</f>
        <v>295419</v>
      </c>
      <c r="AG70" s="154">
        <f>平成13年度!Y70/+平成13年度!AE70</f>
        <v>0.43410951893551691</v>
      </c>
      <c r="AH70" s="155">
        <f>平成13年度!Z70/+平成13年度!AF70</f>
        <v>0.309265822442023</v>
      </c>
      <c r="AI70" s="156">
        <f>平成13年度!AC70/+平成13年度!Z70</f>
        <v>0.15486575528386765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1960</v>
      </c>
      <c r="Y71" s="143" t="s">
        <v>1961</v>
      </c>
      <c r="Z71" s="144" t="s">
        <v>1962</v>
      </c>
      <c r="AA71" s="144" t="s">
        <v>1963</v>
      </c>
      <c r="AB71" s="144" t="s">
        <v>1964</v>
      </c>
      <c r="AC71" s="157" t="s">
        <v>1965</v>
      </c>
      <c r="AD71" s="146">
        <f>平成13年度!AD47+平成13年度!AD49+平成13年度!AD51+平成13年度!AD53+平成13年度!AD55+平成13年度!AD57+平成13年度!AD59+平成13年度!AD61+平成13年度!AD63+平成13年度!AD65+平成13年度!AD67+平成13年度!AD69</f>
        <v>116179</v>
      </c>
      <c r="AE71" s="144" t="s">
        <v>1966</v>
      </c>
      <c r="AF71" s="143" t="s">
        <v>1967</v>
      </c>
      <c r="AG71" s="158" t="s">
        <v>1968</v>
      </c>
      <c r="AH71" s="147" t="s">
        <v>1969</v>
      </c>
      <c r="AI71" s="159" t="s">
        <v>1970</v>
      </c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1971</v>
      </c>
      <c r="Y72" s="150">
        <f>SUM(平成13年度!Y48:Y70)</f>
        <v>561023</v>
      </c>
      <c r="Z72" s="151">
        <f>SUM(平成13年度!Z48:Z70)</f>
        <v>1082473</v>
      </c>
      <c r="AA72" s="151">
        <f>SUM(平成13年度!AA48:AA70)</f>
        <v>630845</v>
      </c>
      <c r="AB72" s="151">
        <f>SUM(平成13年度!AB48:AB70)</f>
        <v>284351</v>
      </c>
      <c r="AC72" s="152">
        <f>SUM(平成13年度!AC48:AC70)</f>
        <v>167277</v>
      </c>
      <c r="AD72" s="153">
        <f>平成13年度!AD48+平成13年度!AD50+平成13年度!AD52+平成13年度!AD54+平成13年度!AD56+平成13年度!AD58+平成13年度!AD60+平成13年度!AD62+平成13年度!AD64+平成13年度!AD66+平成13年度!AD68+平成13年度!AD70</f>
        <v>51098</v>
      </c>
      <c r="AE72" s="150">
        <f>SUM(平成13年度!AE48:AE70)</f>
        <v>1307646</v>
      </c>
      <c r="AF72" s="151">
        <f>SUM(平成13年度!AF48:AF70)</f>
        <v>3546704</v>
      </c>
      <c r="AG72" s="154">
        <f>平成13年度!Y72/+平成13年度!AE72</f>
        <v>0.42903278104318754</v>
      </c>
      <c r="AH72" s="155">
        <f>平成13年度!Z72/+平成13年度!AF72</f>
        <v>0.30520533994379007</v>
      </c>
      <c r="AI72" s="156">
        <f>平成13年度!AC72/+平成13年度!Z72</f>
        <v>0.15453226085084801</v>
      </c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1972</v>
      </c>
      <c r="Y73" s="143" t="s">
        <v>1973</v>
      </c>
      <c r="Z73" s="144" t="s">
        <v>1974</v>
      </c>
      <c r="AA73" s="144" t="e">
        <f>平成13年度!AA74+平成13年度!AB74</f>
        <v>#VALUE!</v>
      </c>
      <c r="AB73" s="144" t="s">
        <v>1975</v>
      </c>
      <c r="AC73" s="157" t="s">
        <v>1976</v>
      </c>
      <c r="AD73" s="146" t="e">
        <f>#VALUE!</f>
        <v>#VALUE!</v>
      </c>
      <c r="AE73" s="144" t="s">
        <v>1977</v>
      </c>
      <c r="AF73" s="143" t="s">
        <v>1978</v>
      </c>
      <c r="AG73" s="158" t="s">
        <v>1979</v>
      </c>
      <c r="AH73" s="147" t="s">
        <v>1980</v>
      </c>
      <c r="AI73" s="159" t="s">
        <v>1981</v>
      </c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 t="s">
        <v>1982</v>
      </c>
      <c r="D74" s="1" t="s">
        <v>1983</v>
      </c>
      <c r="E74" s="1" t="s">
        <v>1984</v>
      </c>
      <c r="F74" s="1" t="s">
        <v>1985</v>
      </c>
      <c r="G74" s="1" t="s">
        <v>1986</v>
      </c>
      <c r="H74" s="1" t="s">
        <v>1987</v>
      </c>
      <c r="I74" s="1" t="s">
        <v>1988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1989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平成13年度!Y74/+平成13年度!AE74</f>
        <v>#VALUE!</v>
      </c>
      <c r="AH74" s="170" t="e">
        <f>平成13年度!Z74/+平成13年度!AF74</f>
        <v>#VALUE!</v>
      </c>
      <c r="AI74" s="171" t="e">
        <f>平成13年度!AC74/+平成13年度!Z74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 t="s">
        <v>1990</v>
      </c>
      <c r="B75" s="1">
        <v>1</v>
      </c>
      <c r="C75" s="1">
        <f>平成7年度!H19</f>
        <v>75303</v>
      </c>
      <c r="D75" s="1">
        <f>平成８年度!H19</f>
        <v>76694</v>
      </c>
      <c r="E75" s="1">
        <f>平成９年度!H19</f>
        <v>78843</v>
      </c>
      <c r="F75" s="1">
        <f>平成10年度!H19</f>
        <v>81903</v>
      </c>
      <c r="G75" s="1">
        <f>平成11年度!H19</f>
        <v>85006</v>
      </c>
      <c r="H75" s="1">
        <f>平成12年度!H19</f>
        <v>87854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1991</v>
      </c>
      <c r="X75" s="127" t="s">
        <v>1992</v>
      </c>
      <c r="Y75" s="173"/>
      <c r="Z75" s="174"/>
      <c r="AA75" s="174"/>
      <c r="AB75" s="174"/>
      <c r="AC75" s="175"/>
      <c r="AD75" s="176">
        <f>平成13年度!M2+平成13年度!AD47+平成13年度!AD49+平成13年度!AD51+平成13年度!AD53+平成13年度!AD55+平成13年度!AD57+平成13年度!AD59+平成13年度!AD61+平成13年度!AD63</f>
        <v>114547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 t="s">
        <v>1993</v>
      </c>
      <c r="B76" s="1">
        <v>2</v>
      </c>
      <c r="C76" s="1">
        <f>平成13年度!C75+平成13年度!C77</f>
        <v>454413</v>
      </c>
      <c r="D76" s="1">
        <f>平成13年度!D75+平成13年度!D77</f>
        <v>463287</v>
      </c>
      <c r="E76" s="1">
        <f>平成13年度!E75+平成13年度!E77</f>
        <v>478663</v>
      </c>
      <c r="F76" s="1">
        <f>平成13年度!F75+平成13年度!F77</f>
        <v>497118</v>
      </c>
      <c r="G76" s="1">
        <f>平成13年度!G75+平成13年度!G77</f>
        <v>515553</v>
      </c>
      <c r="H76" s="1">
        <f>平成13年度!H75+平成13年度!H77</f>
        <v>534452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1994</v>
      </c>
      <c r="X76" s="134" t="s">
        <v>1995</v>
      </c>
      <c r="Y76" s="181">
        <f>平成13年度!C2+SUM(平成13年度!Y48:Y64)</f>
        <v>554433</v>
      </c>
      <c r="Z76" s="182">
        <f>平成13年度!H2+SUM(平成13年度!Z48:Z64)</f>
        <v>1071980</v>
      </c>
      <c r="AA76" s="182">
        <f>平成13年度!J2+SUM(平成13年度!AA48:AA64)</f>
        <v>627699</v>
      </c>
      <c r="AB76" s="182">
        <f>平成13年度!K2+SUM(平成13年度!AB48:AB64)</f>
        <v>279938</v>
      </c>
      <c r="AC76" s="183">
        <f>平成13年度!L2+SUM(平成13年度!AC48:AC64)</f>
        <v>164343</v>
      </c>
      <c r="AD76" s="184">
        <f>平成13年度!N2+平成13年度!AD48+平成13年度!AD50+平成13年度!AD52+平成13年度!AD54+平成13年度!AD56+平成13年度!AD58+平成13年度!AD60+平成13年度!AD62+平成13年度!AD64</f>
        <v>49796</v>
      </c>
      <c r="AE76" s="181">
        <f>平成13年度!R2+SUM(平成13年度!AE48:AE64)</f>
        <v>1060999</v>
      </c>
      <c r="AF76" s="182">
        <f>平成13年度!S2+SUM(平成13年度!AF48:AF64)</f>
        <v>2722056</v>
      </c>
      <c r="AG76" s="185">
        <f>平成13年度!Y76/+平成13年度!AE76</f>
        <v>0.52255751419181351</v>
      </c>
      <c r="AH76" s="186">
        <f>平成13年度!Z76/+平成13年度!AF76</f>
        <v>0.39381261810925272</v>
      </c>
      <c r="AI76" s="187">
        <f>平成13年度!AC76/+平成13年度!Z76</f>
        <v>0.15330789753540178</v>
      </c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 t="s">
        <v>1996</v>
      </c>
      <c r="B77" s="1">
        <v>3</v>
      </c>
      <c r="C77" s="1">
        <f>平成８年度!H27</f>
        <v>379110</v>
      </c>
      <c r="D77" s="1">
        <f>平成９年度!H27</f>
        <v>386593</v>
      </c>
      <c r="E77" s="1">
        <f>平成10年度!H27</f>
        <v>399820</v>
      </c>
      <c r="F77" s="1">
        <f>平成11年度!H27</f>
        <v>415215</v>
      </c>
      <c r="G77" s="1">
        <f>平成12年度!H27</f>
        <v>430547</v>
      </c>
      <c r="H77" s="1">
        <f>平成13年度!H27</f>
        <v>446598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1997</v>
      </c>
      <c r="X77" s="142" t="s">
        <v>1998</v>
      </c>
      <c r="Y77" s="189"/>
      <c r="Z77" s="190"/>
      <c r="AA77" s="190" t="e">
        <f>平成13年度!AA78+平成13年度!AB78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 t="s">
        <v>1999</v>
      </c>
      <c r="B78" s="1">
        <v>4</v>
      </c>
      <c r="C78" s="1">
        <f>平成８年度!H20</f>
        <v>914620</v>
      </c>
      <c r="D78" s="1">
        <f>平成９年度!H20</f>
        <v>934976</v>
      </c>
      <c r="E78" s="1">
        <f>平成10年度!H20</f>
        <v>969433</v>
      </c>
      <c r="F78" s="1">
        <f>平成11年度!H20</f>
        <v>1006175</v>
      </c>
      <c r="G78" s="1">
        <f>平成12年度!H20</f>
        <v>1041789</v>
      </c>
      <c r="H78" s="1">
        <f>平成13年度!H20</f>
        <v>1082473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2000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平成13年度!Y78/+平成13年度!AE78</f>
        <v>#VALUE!</v>
      </c>
      <c r="AH78" s="202" t="e">
        <f>平成13年度!Z78/+平成13年度!AF78</f>
        <v>#VALUE!</v>
      </c>
      <c r="AI78" s="203" t="e">
        <f>平成13年度!AC78/+平成13年度!Z78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>
        <f>平成８年度!H21</f>
        <v>76218.333333333328</v>
      </c>
      <c r="D79" s="1" t="e">
        <f>平成９年度!H21</f>
        <v>#VALUE!</v>
      </c>
      <c r="E79" s="1" t="e">
        <f>平成10年度!H21</f>
        <v>#VALUE!</v>
      </c>
      <c r="F79" s="1">
        <f>平成11年度!H21</f>
        <v>83847.916666666672</v>
      </c>
      <c r="G79" s="1" t="e">
        <f>平成12年度!H21</f>
        <v>#VALUE!</v>
      </c>
      <c r="H79" s="1" t="e">
        <f>平成13年度!H21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 t="s">
        <v>2001</v>
      </c>
      <c r="B80" s="1"/>
      <c r="C80" s="204">
        <f>ROUND(+平成13年度!C78/平成13年度!C76,8)</f>
        <v>2.01275052</v>
      </c>
      <c r="D80" s="204">
        <f>ROUND(+平成13年度!D78/平成13年度!D76,8)</f>
        <v>2.0181356300000002</v>
      </c>
      <c r="E80" s="204">
        <f>ROUND(+平成13年度!E78/平成13年度!E76,8)</f>
        <v>2.02529337</v>
      </c>
      <c r="F80" s="204">
        <f>ROUND(+平成13年度!F78/平成13年度!F76,8)</f>
        <v>2.0240164300000001</v>
      </c>
      <c r="G80" s="204">
        <f>ROUND(+平成13年度!G78/平成13年度!G76,8)</f>
        <v>2.02072144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 t="s">
        <v>2002</v>
      </c>
      <c r="B81" s="1"/>
      <c r="C81" s="204">
        <f>ROUND(+平成13年度!C78/平成13年度!C77,8)</f>
        <v>2.41254517</v>
      </c>
      <c r="D81" s="204">
        <f>ROUND(+平成13年度!D78/平成13年度!D77,8)</f>
        <v>2.4185021500000001</v>
      </c>
      <c r="E81" s="204">
        <f>ROUND(+平成13年度!E78/平成13年度!E77,8)</f>
        <v>2.4246736000000002</v>
      </c>
      <c r="F81" s="204">
        <f>ROUND(+平成13年度!F78/平成13年度!F77,8)</f>
        <v>2.4232626499999999</v>
      </c>
      <c r="G81" s="204">
        <f>ROUND(+平成13年度!G78/平成13年度!G77,8)</f>
        <v>2.4196870499999998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 t="s">
        <v>2003</v>
      </c>
      <c r="B82" s="1"/>
      <c r="C82" s="1"/>
      <c r="D82" s="204">
        <f>ROUND(+平成13年度!D78/平成13年度!C78,8)</f>
        <v>1.0222562399999999</v>
      </c>
      <c r="E82" s="204">
        <f>ROUND(+平成13年度!E78/平成13年度!D78,8)</f>
        <v>1.0368533499999999</v>
      </c>
      <c r="F82" s="204">
        <f>ROUND(+平成13年度!F78/平成13年度!E78,8)</f>
        <v>1.0379004999999999</v>
      </c>
      <c r="G82" s="204">
        <f>ROUND(+平成13年度!G78/平成13年度!F78,8)</f>
        <v>1.0353954299999999</v>
      </c>
      <c r="H82" s="204" t="s">
        <v>2004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 t="s">
        <v>2005</v>
      </c>
      <c r="B83" s="1"/>
      <c r="C83" s="1"/>
      <c r="D83" s="1"/>
      <c r="E83" s="1">
        <f>(+平成13年度!C81+平成13年度!D81)/2*平成13年度!E77/12</f>
        <v>80481.222478433323</v>
      </c>
      <c r="F83" s="1">
        <f>(+平成13年度!D81+平成13年度!E81)/2*平成13年度!F77/12</f>
        <v>83789.967459843756</v>
      </c>
      <c r="G83" s="1">
        <f>(+平成13年度!E81+平成13年度!F81)/2*平成13年度!G77/12</f>
        <v>86969.35035953125</v>
      </c>
      <c r="H83" s="1">
        <f>(+平成13年度!F81+平成13年度!G81)/2*平成13年度!H77/12</f>
        <v>90118.818755025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 t="e">
        <f>(+平成13年度!D82+平成13年度!E82)/2*平成13年度!E79</f>
        <v>#VALUE!</v>
      </c>
      <c r="G86" s="1">
        <f>(+平成13年度!E82+平成13年度!F82)/2*平成13年度!F79</f>
        <v>86981.893959322901</v>
      </c>
      <c r="H86" s="1" t="e">
        <f>(+平成13年度!F82+平成13年度!G82)/2*平成13年度!G79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verticalDpi="300" r:id="rId1"/>
  <headerFooter alignWithMargins="0">
    <oddHeader>&amp;L</oddHeader>
    <oddFooter>&amp;L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2" width="10.83203125" style="205" customWidth="1"/>
    <col min="3" max="5" width="8" style="205" customWidth="1"/>
    <col min="6" max="7" width="7" style="205" customWidth="1"/>
    <col min="8" max="8" width="11.83203125" style="205" customWidth="1"/>
    <col min="9" max="9" width="9" style="205" customWidth="1"/>
    <col min="10" max="17" width="8" style="205" customWidth="1"/>
    <col min="18" max="18" width="10.83203125" style="205" customWidth="1"/>
    <col min="19" max="19" width="11.58203125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2006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2007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 t="s">
        <v>2008</v>
      </c>
      <c r="B2" s="1"/>
      <c r="C2" s="205">
        <f>SUM(平成13年度!C17:C19)</f>
        <v>142226</v>
      </c>
      <c r="D2" s="205">
        <f>SUM(平成13年度!D17:D19)</f>
        <v>122957</v>
      </c>
      <c r="E2" s="205">
        <f>SUM(平成13年度!E17:E19)</f>
        <v>116009</v>
      </c>
      <c r="F2" s="205">
        <f>SUM(平成13年度!F17:F19)</f>
        <v>6948</v>
      </c>
      <c r="G2" s="205">
        <f>SUM(平成13年度!G17:G19)</f>
        <v>19269</v>
      </c>
      <c r="H2" s="205">
        <f>SUM(平成13年度!H17:H19)</f>
        <v>273666</v>
      </c>
      <c r="I2" s="205">
        <f>SUM(平成13年度!I17:I19)</f>
        <v>231428</v>
      </c>
      <c r="J2" s="205">
        <f>SUM(平成13年度!J17:J19)</f>
        <v>158802</v>
      </c>
      <c r="K2" s="205">
        <f>SUM(平成13年度!K17:K19)</f>
        <v>72626</v>
      </c>
      <c r="L2" s="205">
        <f>SUM(平成13年度!L17:L19)</f>
        <v>42238</v>
      </c>
      <c r="M2" s="205">
        <f>SUM(平成13年度!M17:M19)</f>
        <v>29238</v>
      </c>
      <c r="N2" s="205">
        <f>SUM(平成13年度!N17:N19)</f>
        <v>13000</v>
      </c>
      <c r="O2" s="205">
        <f>SUM(平成13年度!O17:O19)</f>
        <v>83658</v>
      </c>
      <c r="P2" s="205">
        <f>SUM(平成13年度!P17:P19)</f>
        <v>63165</v>
      </c>
      <c r="Q2" s="205">
        <f>SUM(平成13年度!Q17:Q19)</f>
        <v>20493</v>
      </c>
      <c r="R2" s="205">
        <f>SUM(平成13年度!R17:R19)</f>
        <v>328353</v>
      </c>
      <c r="S2" s="205">
        <f>SUM(平成13年度!S17:S19)</f>
        <v>887622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 t="s">
        <v>2009</v>
      </c>
      <c r="B3" s="3"/>
      <c r="C3" s="3" t="s">
        <v>2010</v>
      </c>
      <c r="D3" s="3"/>
      <c r="E3" s="3" t="s">
        <v>2011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2012</v>
      </c>
      <c r="AL3" s="6" t="s">
        <v>2013</v>
      </c>
      <c r="AM3" s="7" t="s">
        <v>2014</v>
      </c>
      <c r="AN3" s="7" t="s">
        <v>2015</v>
      </c>
      <c r="AO3" s="7" t="s">
        <v>2016</v>
      </c>
      <c r="AP3" s="8" t="s">
        <v>2017</v>
      </c>
      <c r="AQ3" s="1" t="s">
        <v>2018</v>
      </c>
      <c r="AR3" s="1" t="s">
        <v>2019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 t="s">
        <v>2020</v>
      </c>
      <c r="B4" s="9" t="s">
        <v>2021</v>
      </c>
      <c r="C4" s="10" t="s">
        <v>2022</v>
      </c>
      <c r="D4" s="11"/>
      <c r="E4" s="11"/>
      <c r="F4" s="11"/>
      <c r="G4" s="12"/>
      <c r="H4" s="10" t="s">
        <v>2023</v>
      </c>
      <c r="I4" s="11"/>
      <c r="J4" s="11"/>
      <c r="K4" s="11"/>
      <c r="L4" s="11"/>
      <c r="M4" s="11"/>
      <c r="N4" s="11"/>
      <c r="O4" s="10" t="s">
        <v>2024</v>
      </c>
      <c r="P4" s="11"/>
      <c r="Q4" s="12"/>
      <c r="R4" s="13" t="s">
        <v>2025</v>
      </c>
      <c r="S4" s="14" t="s">
        <v>2026</v>
      </c>
      <c r="T4" s="15" t="s">
        <v>2027</v>
      </c>
      <c r="U4" s="15" t="s">
        <v>2028</v>
      </c>
      <c r="V4" s="16" t="s">
        <v>2029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2030</v>
      </c>
      <c r="AK4" s="18">
        <f>平成８年度!H21</f>
        <v>76218.333333333328</v>
      </c>
      <c r="AL4" s="19">
        <f>平成８年度!C21</f>
        <v>37947.583333333336</v>
      </c>
      <c r="AM4" s="20">
        <f>平成８年度!P21</f>
        <v>290091.16666666669</v>
      </c>
      <c r="AN4" s="20">
        <f>平成８年度!O21</f>
        <v>101328.25</v>
      </c>
      <c r="AO4" s="21">
        <f>ROUND(+平成14年度!AK4/平成14年度!AM4,4)</f>
        <v>0.26269999999999999</v>
      </c>
      <c r="AP4" s="22">
        <f>ROUND(+平成14年度!AL4/平成14年度!AN4,4)</f>
        <v>0.3745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 t="s">
        <v>2031</v>
      </c>
      <c r="B5" s="23"/>
      <c r="C5" s="24" t="s">
        <v>2032</v>
      </c>
      <c r="D5" s="25" t="s">
        <v>2033</v>
      </c>
      <c r="E5" s="26" t="s">
        <v>2034</v>
      </c>
      <c r="F5" s="26" t="s">
        <v>2035</v>
      </c>
      <c r="G5" s="27" t="s">
        <v>2036</v>
      </c>
      <c r="H5" s="24" t="s">
        <v>2037</v>
      </c>
      <c r="I5" s="25" t="s">
        <v>2038</v>
      </c>
      <c r="J5" s="26" t="s">
        <v>2039</v>
      </c>
      <c r="K5" s="26" t="s">
        <v>2040</v>
      </c>
      <c r="L5" s="26" t="s">
        <v>2041</v>
      </c>
      <c r="M5" s="26" t="s">
        <v>2042</v>
      </c>
      <c r="N5" s="27" t="s">
        <v>2043</v>
      </c>
      <c r="O5" s="24" t="s">
        <v>2044</v>
      </c>
      <c r="P5" s="25" t="s">
        <v>2045</v>
      </c>
      <c r="Q5" s="27" t="s">
        <v>2046</v>
      </c>
      <c r="R5" s="24" t="s">
        <v>2047</v>
      </c>
      <c r="S5" s="25" t="s">
        <v>2048</v>
      </c>
      <c r="T5" s="26" t="s">
        <v>2049</v>
      </c>
      <c r="U5" s="28" t="s">
        <v>2050</v>
      </c>
      <c r="V5" s="29" t="s">
        <v>2051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2052</v>
      </c>
      <c r="AK5" s="31" t="e">
        <f>平成９年度!H21</f>
        <v>#VALUE!</v>
      </c>
      <c r="AL5" s="32" t="e">
        <f>平成９年度!C21</f>
        <v>#VALUE!</v>
      </c>
      <c r="AM5" s="33" t="e">
        <f>平成９年度!P21</f>
        <v>#VALUE!</v>
      </c>
      <c r="AN5" s="33" t="e">
        <f>平成９年度!O21</f>
        <v>#VALUE!</v>
      </c>
      <c r="AO5" s="34" t="e">
        <f>ROUND(+平成14年度!AK5/平成14年度!AM5,4)</f>
        <v>#VALUE!</v>
      </c>
      <c r="AP5" s="35" t="e">
        <f>ROUND(+平成14年度!AL5/平成14年度!AN5,4)</f>
        <v>#VALUE!</v>
      </c>
      <c r="AQ5" s="36" t="e">
        <f>ROUND((+平成14年度!AO5-平成14年度!AO4),4)</f>
        <v>#VALUE!</v>
      </c>
      <c r="AR5" s="36" t="e">
        <f>ROUND((+平成14年度!AP5-平成14年度!AP4),4)</f>
        <v>#VALUE!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 t="s">
        <v>2053</v>
      </c>
      <c r="B6" s="37"/>
      <c r="C6" s="13" t="s">
        <v>2054</v>
      </c>
      <c r="D6" s="14" t="s">
        <v>2055</v>
      </c>
      <c r="E6" s="15" t="s">
        <v>2056</v>
      </c>
      <c r="F6" s="15" t="s">
        <v>2057</v>
      </c>
      <c r="G6" s="16" t="s">
        <v>2058</v>
      </c>
      <c r="H6" s="38" t="s">
        <v>2059</v>
      </c>
      <c r="I6" s="14" t="s">
        <v>2060</v>
      </c>
      <c r="J6" s="15" t="s">
        <v>2061</v>
      </c>
      <c r="K6" s="15" t="s">
        <v>2062</v>
      </c>
      <c r="L6" s="15" t="s">
        <v>2063</v>
      </c>
      <c r="M6" s="15" t="s">
        <v>2064</v>
      </c>
      <c r="N6" s="16" t="s">
        <v>2065</v>
      </c>
      <c r="O6" s="13" t="s">
        <v>2066</v>
      </c>
      <c r="P6" s="14" t="s">
        <v>2067</v>
      </c>
      <c r="Q6" s="16" t="s">
        <v>2068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2069</v>
      </c>
      <c r="AK6" s="31" t="e">
        <f>平成10年度!H21</f>
        <v>#VALUE!</v>
      </c>
      <c r="AL6" s="32" t="e">
        <f>平成10年度!C21</f>
        <v>#VALUE!</v>
      </c>
      <c r="AM6" s="33" t="e">
        <f>平成10年度!P21</f>
        <v>#VALUE!</v>
      </c>
      <c r="AN6" s="33" t="e">
        <f>平成10年度!O21</f>
        <v>#VALUE!</v>
      </c>
      <c r="AO6" s="34" t="e">
        <f>ROUND(+平成14年度!AK6/平成14年度!AM6,4)</f>
        <v>#VALUE!</v>
      </c>
      <c r="AP6" s="35" t="e">
        <f>ROUND(+平成14年度!AL6/平成14年度!AN6,4)</f>
        <v>#VALUE!</v>
      </c>
      <c r="AQ6" s="36" t="e">
        <f>ROUND((+平成14年度!AO6-平成14年度!AO5),4)</f>
        <v>#VALUE!</v>
      </c>
      <c r="AR6" s="36" t="e">
        <f>ROUND((+平成14年度!AP6-平成14年度!AP5),4)</f>
        <v>#VALUE!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 t="s">
        <v>2070</v>
      </c>
      <c r="B8" s="43" t="s">
        <v>2071</v>
      </c>
      <c r="C8" s="44">
        <v>48054</v>
      </c>
      <c r="D8" s="45">
        <f>平成14年度!E8+平成14年度!F8</f>
        <v>41476</v>
      </c>
      <c r="E8" s="45">
        <f>平成14年度!C8-平成14年度!G8-平成14年度!F8</f>
        <v>39128</v>
      </c>
      <c r="F8" s="46">
        <v>2348</v>
      </c>
      <c r="G8" s="47">
        <v>6578</v>
      </c>
      <c r="H8" s="48">
        <f>平成14年度!I8+平成14年度!L8</f>
        <v>92403</v>
      </c>
      <c r="I8" s="45">
        <f>平成14年度!J8+平成14年度!K8</f>
        <v>77920</v>
      </c>
      <c r="J8" s="46">
        <f>92403-39065</f>
        <v>53338</v>
      </c>
      <c r="K8" s="49">
        <v>24582</v>
      </c>
      <c r="L8" s="45">
        <f>平成14年度!M8+平成14年度!N8</f>
        <v>14483</v>
      </c>
      <c r="M8" s="46">
        <v>9971</v>
      </c>
      <c r="N8" s="47">
        <v>4512</v>
      </c>
      <c r="O8" s="44">
        <v>28391</v>
      </c>
      <c r="P8" s="45">
        <f>平成14年度!O8-平成14年度!Q8</f>
        <v>21259</v>
      </c>
      <c r="Q8" s="47">
        <v>7132</v>
      </c>
      <c r="R8" s="44">
        <v>109903</v>
      </c>
      <c r="S8" s="46">
        <v>295872</v>
      </c>
      <c r="T8" s="50">
        <f>平成14年度!C8/平成14年度!R8</f>
        <v>0.43724011173489352</v>
      </c>
      <c r="U8" s="51">
        <f>平成14年度!H8/平成14年度!S8</f>
        <v>0.31230734912394548</v>
      </c>
      <c r="V8" s="52">
        <f>平成14年度!L8/平成14年度!H8</f>
        <v>0.1567373353678993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2072</v>
      </c>
      <c r="AK8" s="31">
        <f>平成11年度!H21</f>
        <v>83847.916666666672</v>
      </c>
      <c r="AL8" s="32">
        <f>平成11年度!C21</f>
        <v>42852.25</v>
      </c>
      <c r="AM8" s="33">
        <f>平成11年度!P21</f>
        <v>292958.75</v>
      </c>
      <c r="AN8" s="33">
        <f>平成11年度!O21</f>
        <v>105725.41666666667</v>
      </c>
      <c r="AO8" s="34">
        <f>ROUND(+平成14年度!AK8/平成14年度!AM8,4)</f>
        <v>0.28620000000000001</v>
      </c>
      <c r="AP8" s="35">
        <f>ROUND(+平成14年度!AL8/平成14年度!AN8,4)</f>
        <v>0.40529999999999999</v>
      </c>
      <c r="AQ8" s="36" t="e">
        <f>ROUND((+平成14年度!AO8-平成14年度!AO6),4)</f>
        <v>#VALUE!</v>
      </c>
      <c r="AR8" s="36" t="e">
        <f>ROUND((+平成14年度!AP8-平成14年度!AP6),4)</f>
        <v>#VALUE!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 t="s">
        <v>2073</v>
      </c>
      <c r="B9" s="43" t="s">
        <v>2074</v>
      </c>
      <c r="C9" s="44">
        <v>48179</v>
      </c>
      <c r="D9" s="45">
        <f>平成14年度!E9+平成14年度!F9</f>
        <v>41592</v>
      </c>
      <c r="E9" s="45">
        <f>平成14年度!C9-平成14年度!G9-平成14年度!F9</f>
        <v>39245</v>
      </c>
      <c r="F9" s="46">
        <v>2347</v>
      </c>
      <c r="G9" s="47">
        <v>6587</v>
      </c>
      <c r="H9" s="48">
        <f>平成14年度!I9+平成14年度!L9</f>
        <v>92609</v>
      </c>
      <c r="I9" s="45">
        <f>平成14年度!J9+平成14年度!K9</f>
        <v>78101</v>
      </c>
      <c r="J9" s="46">
        <v>53397</v>
      </c>
      <c r="K9" s="49">
        <v>24704</v>
      </c>
      <c r="L9" s="45">
        <f>平成14年度!M9+平成14年度!N9</f>
        <v>14508</v>
      </c>
      <c r="M9" s="46">
        <v>9980</v>
      </c>
      <c r="N9" s="47">
        <v>4528</v>
      </c>
      <c r="O9" s="44">
        <v>28383</v>
      </c>
      <c r="P9" s="45">
        <f>平成14年度!O9-平成14年度!Q9</f>
        <v>21253</v>
      </c>
      <c r="Q9" s="47">
        <v>7130</v>
      </c>
      <c r="R9" s="44">
        <v>110134</v>
      </c>
      <c r="S9" s="46">
        <v>296165</v>
      </c>
      <c r="T9" s="50">
        <f>平成14年度!C9/平成14年度!R9</f>
        <v>0.43745800570214466</v>
      </c>
      <c r="U9" s="51">
        <f>平成14年度!H9/平成14年度!S9</f>
        <v>0.31269393750105517</v>
      </c>
      <c r="V9" s="52">
        <f>平成14年度!L9/平成14年度!H9</f>
        <v>0.15665864008897623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2075</v>
      </c>
      <c r="AK9" s="31" t="e">
        <f>平成12年度!H21</f>
        <v>#VALUE!</v>
      </c>
      <c r="AL9" s="32">
        <f>平成12年度!C21</f>
        <v>44687.75</v>
      </c>
      <c r="AM9" s="33" t="e">
        <f>平成12年度!P21</f>
        <v>#VALUE!</v>
      </c>
      <c r="AN9" s="33">
        <f>平成12年度!O21</f>
        <v>27409.75</v>
      </c>
      <c r="AO9" s="34" t="e">
        <f>ROUND(+平成14年度!AK9/平成14年度!AM9,4)</f>
        <v>#VALUE!</v>
      </c>
      <c r="AP9" s="35">
        <f>ROUND(+平成14年度!AL9/平成14年度!AN9,4)</f>
        <v>1.6304000000000001</v>
      </c>
      <c r="AQ9" s="36" t="e">
        <f>ROUND((+平成14年度!AO9-平成14年度!AO8),4)</f>
        <v>#VALUE!</v>
      </c>
      <c r="AR9" s="36">
        <f>ROUND((+平成14年度!AP9-平成14年度!AP8),4)</f>
        <v>1.2251000000000001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 t="s">
        <v>2076</v>
      </c>
      <c r="B10" s="53" t="s">
        <v>2077</v>
      </c>
      <c r="C10" s="54">
        <v>48309</v>
      </c>
      <c r="D10" s="55">
        <f>平成14年度!E10+平成14年度!F10</f>
        <v>41618</v>
      </c>
      <c r="E10" s="55">
        <f>平成14年度!C10-平成14年度!G10-平成14年度!F10</f>
        <v>39244</v>
      </c>
      <c r="F10" s="56">
        <v>2374</v>
      </c>
      <c r="G10" s="57">
        <v>6691</v>
      </c>
      <c r="H10" s="58">
        <f>平成14年度!I10+平成14年度!L10</f>
        <v>92813</v>
      </c>
      <c r="I10" s="55">
        <f>平成14年度!J10+平成14年度!K10</f>
        <v>78079</v>
      </c>
      <c r="J10" s="56">
        <v>53237</v>
      </c>
      <c r="K10" s="59">
        <v>24842</v>
      </c>
      <c r="L10" s="55">
        <f>平成14年度!M10+平成14年度!N10</f>
        <v>14734</v>
      </c>
      <c r="M10" s="56">
        <v>10130</v>
      </c>
      <c r="N10" s="57">
        <v>4604</v>
      </c>
      <c r="O10" s="54">
        <v>28486</v>
      </c>
      <c r="P10" s="55">
        <f>平成14年度!O10-平成14年度!Q10</f>
        <v>21247</v>
      </c>
      <c r="Q10" s="57">
        <v>7239</v>
      </c>
      <c r="R10" s="54">
        <v>110185</v>
      </c>
      <c r="S10" s="56">
        <v>296228</v>
      </c>
      <c r="T10" s="60">
        <f>平成14年度!C10/平成14年度!R10</f>
        <v>0.43843535871488859</v>
      </c>
      <c r="U10" s="61">
        <f>平成14年度!H10/平成14年度!S10</f>
        <v>0.31331609435974994</v>
      </c>
      <c r="V10" s="62">
        <f>平成14年度!L10/平成14年度!H10</f>
        <v>0.15874931313501342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2078</v>
      </c>
      <c r="AK10" s="64" t="e">
        <f>平成13年度!H21</f>
        <v>#VALUE!</v>
      </c>
      <c r="AL10" s="65">
        <f>平成13年度!C21</f>
        <v>46751.916666666664</v>
      </c>
      <c r="AM10" s="66" t="e">
        <f>平成13年度!P21</f>
        <v>#VALUE!</v>
      </c>
      <c r="AN10" s="66">
        <f>平成13年度!O21</f>
        <v>27918.666666666668</v>
      </c>
      <c r="AO10" s="67" t="e">
        <f>ROUND(+平成14年度!AK10/平成14年度!AM10,4)</f>
        <v>#VALUE!</v>
      </c>
      <c r="AP10" s="68">
        <f>ROUND(+平成14年度!AL10/平成14年度!AN10,4)</f>
        <v>1.6746000000000001</v>
      </c>
      <c r="AQ10" s="36" t="e">
        <f>ROUND((+平成14年度!AO10-平成14年度!AO9),4)</f>
        <v>#VALUE!</v>
      </c>
      <c r="AR10" s="36">
        <f>ROUND((+平成14年度!AP10-平成14年度!AP9),4)</f>
        <v>4.4200000000000003E-2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 t="s">
        <v>2079</v>
      </c>
      <c r="B11" s="53" t="s">
        <v>2080</v>
      </c>
      <c r="C11" s="54">
        <v>48571</v>
      </c>
      <c r="D11" s="55">
        <f>平成14年度!E11+平成14年度!F11</f>
        <v>41896</v>
      </c>
      <c r="E11" s="55">
        <f>平成14年度!C11-平成14年度!G11-平成14年度!F11</f>
        <v>39517</v>
      </c>
      <c r="F11" s="56">
        <v>2379</v>
      </c>
      <c r="G11" s="57">
        <v>6675</v>
      </c>
      <c r="H11" s="58">
        <f>平成14年度!I11+平成14年度!L11</f>
        <v>93283</v>
      </c>
      <c r="I11" s="55">
        <f>平成14年度!J11+平成14年度!K11</f>
        <v>78553</v>
      </c>
      <c r="J11" s="56">
        <v>53598</v>
      </c>
      <c r="K11" s="59">
        <v>24955</v>
      </c>
      <c r="L11" s="55">
        <f>平成14年度!M11+平成14年度!N11</f>
        <v>14730</v>
      </c>
      <c r="M11" s="56">
        <v>10110</v>
      </c>
      <c r="N11" s="57">
        <v>4620</v>
      </c>
      <c r="O11" s="54">
        <v>28631</v>
      </c>
      <c r="P11" s="55">
        <f>平成14年度!O11-平成14年度!Q11</f>
        <v>21333</v>
      </c>
      <c r="Q11" s="57">
        <v>7298</v>
      </c>
      <c r="R11" s="54">
        <v>110300</v>
      </c>
      <c r="S11" s="56">
        <v>296379</v>
      </c>
      <c r="T11" s="60">
        <f>平成14年度!C11/平成14年度!R11</f>
        <v>0.44035358114233908</v>
      </c>
      <c r="U11" s="61">
        <f>平成14年度!H11/平成14年度!S11</f>
        <v>0.31474227256317078</v>
      </c>
      <c r="V11" s="62">
        <f>平成14年度!L11/平成14年度!H11</f>
        <v>0.15790658533709251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2081</v>
      </c>
      <c r="AK11" s="70" t="e">
        <f>平成14年度!H21</f>
        <v>#VALUE!</v>
      </c>
      <c r="AL11" s="71">
        <f>平成14年度!C21</f>
        <v>48834.416666666664</v>
      </c>
      <c r="AM11" s="72">
        <f>平成14年度!S21</f>
        <v>296601.08333333331</v>
      </c>
      <c r="AN11" s="72">
        <f>平成14年度!R21</f>
        <v>110560.75</v>
      </c>
      <c r="AO11" s="73" t="e">
        <f>ROUND(+平成14年度!AK11/平成14年度!AM11,4)</f>
        <v>#VALUE!</v>
      </c>
      <c r="AP11" s="74">
        <f>ROUND(+平成14年度!AL11/平成14年度!AN11,4)</f>
        <v>0.44169999999999998</v>
      </c>
      <c r="AQ11" s="36" t="e">
        <f>ROUND((+平成14年度!AO11-平成14年度!AO10),4)</f>
        <v>#VALUE!</v>
      </c>
      <c r="AR11" s="36">
        <f>ROUND((+平成14年度!AP11-平成14年度!AP10),4)</f>
        <v>-1.2329000000000001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 t="s">
        <v>2082</v>
      </c>
      <c r="B12" s="53" t="s">
        <v>2083</v>
      </c>
      <c r="C12" s="54">
        <v>48708</v>
      </c>
      <c r="D12" s="55">
        <f>平成14年度!E12+平成14年度!F12</f>
        <v>42062</v>
      </c>
      <c r="E12" s="55">
        <f>平成14年度!C12-平成14年度!G12-平成14年度!F12</f>
        <v>39688</v>
      </c>
      <c r="F12" s="56">
        <v>2374</v>
      </c>
      <c r="G12" s="57">
        <v>6646</v>
      </c>
      <c r="H12" s="58">
        <f>平成14年度!I12+平成14年度!L12</f>
        <v>93501</v>
      </c>
      <c r="I12" s="55">
        <f>平成14年度!J12+平成14年度!K12</f>
        <v>78827</v>
      </c>
      <c r="J12" s="56">
        <v>53746</v>
      </c>
      <c r="K12" s="59">
        <v>25081</v>
      </c>
      <c r="L12" s="55">
        <f>平成14年度!M12+平成14年度!N12</f>
        <v>14674</v>
      </c>
      <c r="M12" s="56">
        <v>10066</v>
      </c>
      <c r="N12" s="57">
        <v>4608</v>
      </c>
      <c r="O12" s="54">
        <v>28622</v>
      </c>
      <c r="P12" s="55">
        <f>平成14年度!O12-平成14年度!Q12</f>
        <v>21360</v>
      </c>
      <c r="Q12" s="57">
        <v>7262</v>
      </c>
      <c r="R12" s="54">
        <v>110429</v>
      </c>
      <c r="S12" s="56">
        <v>296603</v>
      </c>
      <c r="T12" s="60">
        <f>平成14年度!C12/平成14年度!R12</f>
        <v>0.441079788823588</v>
      </c>
      <c r="U12" s="61">
        <f>平成14年度!H12/平成14年度!S12</f>
        <v>0.3152395626477143</v>
      </c>
      <c r="V12" s="62">
        <f>平成14年度!L12/平成14年度!H12</f>
        <v>0.15693949797328371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2084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 t="s">
        <v>2085</v>
      </c>
      <c r="B13" s="43" t="s">
        <v>2086</v>
      </c>
      <c r="C13" s="44">
        <v>48807</v>
      </c>
      <c r="D13" s="45">
        <f>平成14年度!E13+平成14年度!F13</f>
        <v>42195</v>
      </c>
      <c r="E13" s="45">
        <f>平成14年度!C13-平成14年度!G13-平成14年度!F13</f>
        <v>39830</v>
      </c>
      <c r="F13" s="46">
        <v>2365</v>
      </c>
      <c r="G13" s="47">
        <v>6612</v>
      </c>
      <c r="H13" s="58">
        <f>平成14年度!I13+平成14年度!L13</f>
        <v>93696</v>
      </c>
      <c r="I13" s="45">
        <f>平成14年度!J13+平成14年度!K13</f>
        <v>79089</v>
      </c>
      <c r="J13" s="46">
        <v>53867</v>
      </c>
      <c r="K13" s="49">
        <v>25222</v>
      </c>
      <c r="L13" s="45">
        <f>平成14年度!M13+平成14年度!N13</f>
        <v>14607</v>
      </c>
      <c r="M13" s="46">
        <v>10022</v>
      </c>
      <c r="N13" s="47">
        <v>4585</v>
      </c>
      <c r="O13" s="44">
        <v>28555</v>
      </c>
      <c r="P13" s="45">
        <f>平成14年度!O13-平成14年度!Q13</f>
        <v>21378</v>
      </c>
      <c r="Q13" s="47">
        <v>7177</v>
      </c>
      <c r="R13" s="44">
        <v>110515</v>
      </c>
      <c r="S13" s="46">
        <v>296651</v>
      </c>
      <c r="T13" s="50">
        <f>平成14年度!C13/平成14年度!R13</f>
        <v>0.44163235759851605</v>
      </c>
      <c r="U13" s="51">
        <f>平成14年度!H13/平成14年度!S13</f>
        <v>0.31584589298535992</v>
      </c>
      <c r="V13" s="52">
        <f>平成14年度!L13/平成14年度!H13</f>
        <v>0.15589779713114754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2087</v>
      </c>
      <c r="AK13" s="76" t="e">
        <f>平成14年度!AK10/平成14年度!AK4</f>
        <v>#VALUE!</v>
      </c>
      <c r="AL13" s="77">
        <f>平成14年度!AL10/平成14年度!AL4</f>
        <v>1.2320130179567867</v>
      </c>
      <c r="AM13" s="77" t="e">
        <f>平成14年度!AM10/平成14年度!AM4</f>
        <v>#VALUE!</v>
      </c>
      <c r="AN13" s="77">
        <f>平成14年度!AN10/平成14年度!AN4</f>
        <v>0.27552697956065231</v>
      </c>
      <c r="AO13" s="78" t="e">
        <f>平成14年度!AO10/平成14年度!AO4</f>
        <v>#VALUE!</v>
      </c>
      <c r="AP13" s="74">
        <f>平成14年度!AP10/平成14年度!AP4</f>
        <v>4.4715620827770364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 t="s">
        <v>2088</v>
      </c>
      <c r="B14" s="43" t="s">
        <v>2089</v>
      </c>
      <c r="C14" s="44">
        <v>49073</v>
      </c>
      <c r="D14" s="45">
        <f>平成14年度!E14+平成14年度!F14</f>
        <v>42385</v>
      </c>
      <c r="E14" s="45">
        <f>平成14年度!C14-平成14年度!G14-平成14年度!F14</f>
        <v>39989</v>
      </c>
      <c r="F14" s="46">
        <v>2396</v>
      </c>
      <c r="G14" s="47">
        <v>6688</v>
      </c>
      <c r="H14" s="48">
        <f>平成14年度!I14+平成14年度!L14</f>
        <v>94207</v>
      </c>
      <c r="I14" s="45">
        <f>平成14年度!J14+平成14年度!K14</f>
        <v>79411</v>
      </c>
      <c r="J14" s="46">
        <v>54014</v>
      </c>
      <c r="K14" s="49">
        <v>25397</v>
      </c>
      <c r="L14" s="45">
        <f>平成14年度!M14+平成14年度!N14</f>
        <v>14796</v>
      </c>
      <c r="M14" s="46">
        <v>10144</v>
      </c>
      <c r="N14" s="47">
        <v>4652</v>
      </c>
      <c r="O14" s="44">
        <v>28672</v>
      </c>
      <c r="P14" s="45">
        <f>平成14年度!O14-平成14年度!Q14</f>
        <v>21456</v>
      </c>
      <c r="Q14" s="47">
        <v>7216</v>
      </c>
      <c r="R14" s="44">
        <v>110676</v>
      </c>
      <c r="S14" s="46">
        <v>296783</v>
      </c>
      <c r="T14" s="50">
        <f>平成14年度!C14/平成14年度!R14</f>
        <v>0.44339332827351913</v>
      </c>
      <c r="U14" s="51">
        <f>平成14年度!H14/平成14年度!S14</f>
        <v>0.31742721112732197</v>
      </c>
      <c r="V14" s="52">
        <f>平成14年度!L14/平成14年度!H14</f>
        <v>0.15705839268844141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 t="s">
        <v>2090</v>
      </c>
      <c r="B15" s="53" t="s">
        <v>2091</v>
      </c>
      <c r="C15" s="54">
        <v>49123</v>
      </c>
      <c r="D15" s="55">
        <f>平成14年度!E15+平成14年度!F15</f>
        <v>42425</v>
      </c>
      <c r="E15" s="55">
        <f>平成14年度!C15-平成14年度!G15-平成14年度!F15</f>
        <v>40021</v>
      </c>
      <c r="F15" s="56">
        <v>2404</v>
      </c>
      <c r="G15" s="57">
        <v>6698</v>
      </c>
      <c r="H15" s="58">
        <f>平成14年度!I15+平成14年度!L15</f>
        <v>94275</v>
      </c>
      <c r="I15" s="55">
        <f>平成14年度!J15+平成14年度!K15</f>
        <v>79448</v>
      </c>
      <c r="J15" s="56">
        <v>54102</v>
      </c>
      <c r="K15" s="59">
        <v>25346</v>
      </c>
      <c r="L15" s="55">
        <f>平成14年度!M15+平成14年度!N15</f>
        <v>14827</v>
      </c>
      <c r="M15" s="56">
        <v>10171</v>
      </c>
      <c r="N15" s="57">
        <v>4656</v>
      </c>
      <c r="O15" s="54">
        <v>28635</v>
      </c>
      <c r="P15" s="55">
        <f>平成14年度!O15-平成14年度!Q15</f>
        <v>21512</v>
      </c>
      <c r="Q15" s="57">
        <v>7123</v>
      </c>
      <c r="R15" s="54">
        <v>110769</v>
      </c>
      <c r="S15" s="56">
        <v>296896</v>
      </c>
      <c r="T15" s="60">
        <f>平成14年度!C15/平成14年度!R15</f>
        <v>0.44347245167871879</v>
      </c>
      <c r="U15" s="61">
        <f>平成14年度!H15/平成14年度!S15</f>
        <v>0.31753543328303513</v>
      </c>
      <c r="V15" s="62">
        <f>平成14年度!L15/平成14年度!H15</f>
        <v>0.15727393264386105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2092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 t="s">
        <v>2093</v>
      </c>
      <c r="B16" s="43" t="s">
        <v>2094</v>
      </c>
      <c r="C16" s="44">
        <v>49226</v>
      </c>
      <c r="D16" s="45">
        <f>平成14年度!E16+平成14年度!F16</f>
        <v>42492</v>
      </c>
      <c r="E16" s="45">
        <f>平成14年度!C16-平成14年度!G16-平成14年度!F16</f>
        <v>40085</v>
      </c>
      <c r="F16" s="46">
        <v>2407</v>
      </c>
      <c r="G16" s="47">
        <v>6734</v>
      </c>
      <c r="H16" s="48">
        <f>平成14年度!I16+平成14年度!L16</f>
        <v>94411</v>
      </c>
      <c r="I16" s="45">
        <f>平成14年度!J16+平成14年度!K16</f>
        <v>79515</v>
      </c>
      <c r="J16" s="46">
        <v>54227</v>
      </c>
      <c r="K16" s="49">
        <v>25288</v>
      </c>
      <c r="L16" s="45">
        <f>平成14年度!M16+平成14年度!N16</f>
        <v>14896</v>
      </c>
      <c r="M16" s="46">
        <v>10215</v>
      </c>
      <c r="N16" s="47">
        <v>4681</v>
      </c>
      <c r="O16" s="44">
        <v>28644</v>
      </c>
      <c r="P16" s="45">
        <f>平成14年度!O16-平成14年度!Q16</f>
        <v>21555</v>
      </c>
      <c r="Q16" s="47">
        <v>7089</v>
      </c>
      <c r="R16" s="44">
        <v>110873</v>
      </c>
      <c r="S16" s="46">
        <v>297031</v>
      </c>
      <c r="T16" s="50">
        <f>平成14年度!C16/平成14年度!R16</f>
        <v>0.44398546084258567</v>
      </c>
      <c r="U16" s="51">
        <f>平成14年度!H16/平成14年度!S16</f>
        <v>0.31784897872612622</v>
      </c>
      <c r="V16" s="52">
        <f>平成14年度!L16/平成14年度!H16</f>
        <v>0.1577782249949688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2095</v>
      </c>
      <c r="C17" s="44">
        <v>49197</v>
      </c>
      <c r="D17" s="45">
        <f>平成14年度!E17+平成14年度!F17</f>
        <v>42412</v>
      </c>
      <c r="E17" s="45">
        <f>平成14年度!C17-平成14年度!G17-平成14年度!F17</f>
        <v>39997</v>
      </c>
      <c r="F17" s="46">
        <v>2415</v>
      </c>
      <c r="G17" s="47">
        <v>6785</v>
      </c>
      <c r="H17" s="58">
        <f>平成14年度!I17+平成14年度!L17</f>
        <v>94428</v>
      </c>
      <c r="I17" s="45">
        <f>平成14年度!J17+平成14年度!K17</f>
        <v>79421</v>
      </c>
      <c r="J17" s="46">
        <v>54245</v>
      </c>
      <c r="K17" s="49">
        <v>25176</v>
      </c>
      <c r="L17" s="45">
        <f>平成14年度!M17+平成14年度!N17</f>
        <v>15007</v>
      </c>
      <c r="M17" s="46">
        <v>10280</v>
      </c>
      <c r="N17" s="47">
        <v>4727</v>
      </c>
      <c r="O17" s="44">
        <v>28476</v>
      </c>
      <c r="P17" s="45">
        <f>平成14年度!O17-平成14年度!Q17</f>
        <v>21498</v>
      </c>
      <c r="Q17" s="47">
        <v>6978</v>
      </c>
      <c r="R17" s="44">
        <v>110888</v>
      </c>
      <c r="S17" s="46">
        <v>296946</v>
      </c>
      <c r="T17" s="50">
        <f>平成14年度!C17/平成14年度!R17</f>
        <v>0.44366387706514682</v>
      </c>
      <c r="U17" s="51">
        <f>平成14年度!H17/平成14年度!S17</f>
        <v>0.31799721161423289</v>
      </c>
      <c r="V17" s="52">
        <f>平成14年度!L17/平成14年度!H17</f>
        <v>0.15892531876138433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2096</v>
      </c>
      <c r="AL17" s="6" t="s">
        <v>2097</v>
      </c>
      <c r="AM17" s="7" t="s">
        <v>2098</v>
      </c>
      <c r="AN17" s="7" t="s">
        <v>2099</v>
      </c>
      <c r="AO17" s="7" t="s">
        <v>2100</v>
      </c>
      <c r="AP17" s="8" t="s">
        <v>2101</v>
      </c>
      <c r="AQ17" s="1" t="s">
        <v>2102</v>
      </c>
      <c r="AR17" s="1" t="s">
        <v>2103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2104</v>
      </c>
      <c r="C18" s="54">
        <v>49340</v>
      </c>
      <c r="D18" s="55">
        <f>平成14年度!E18+平成14年度!F18</f>
        <v>42422</v>
      </c>
      <c r="E18" s="55">
        <f>平成14年度!C18-平成14年度!G18-平成14年度!F18</f>
        <v>39971</v>
      </c>
      <c r="F18" s="56">
        <v>2451</v>
      </c>
      <c r="G18" s="57">
        <v>6918</v>
      </c>
      <c r="H18" s="58">
        <f>平成14年度!I18+平成14年度!L18</f>
        <v>94618</v>
      </c>
      <c r="I18" s="55">
        <f>平成14年度!J18+平成14年度!K18</f>
        <v>79331</v>
      </c>
      <c r="J18" s="56">
        <v>54228</v>
      </c>
      <c r="K18" s="59">
        <v>25103</v>
      </c>
      <c r="L18" s="55">
        <f>平成14年度!M18+平成14年度!N18</f>
        <v>15287</v>
      </c>
      <c r="M18" s="56">
        <v>10458</v>
      </c>
      <c r="N18" s="57">
        <v>4829</v>
      </c>
      <c r="O18" s="54">
        <v>28472</v>
      </c>
      <c r="P18" s="55">
        <f>平成14年度!O18-平成14年度!Q18</f>
        <v>21389</v>
      </c>
      <c r="Q18" s="57">
        <v>7083</v>
      </c>
      <c r="R18" s="54">
        <v>111012</v>
      </c>
      <c r="S18" s="56">
        <v>297096</v>
      </c>
      <c r="T18" s="60">
        <f>平成14年度!C18/平成14年度!R18</f>
        <v>0.44445645515800092</v>
      </c>
      <c r="U18" s="61">
        <f>平成14年度!H18/平成14年度!S18</f>
        <v>0.31847618278266959</v>
      </c>
      <c r="V18" s="62">
        <f>平成14年度!L18/平成14年度!H18</f>
        <v>0.16156545266228414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2105</v>
      </c>
      <c r="AK18" s="18">
        <f>平成８年度!H19</f>
        <v>76694</v>
      </c>
      <c r="AL18" s="19">
        <f>平成８年度!C19</f>
        <v>38366</v>
      </c>
      <c r="AM18" s="20">
        <f>平成８年度!P19</f>
        <v>290105</v>
      </c>
      <c r="AN18" s="20">
        <f>平成８年度!O19</f>
        <v>101745</v>
      </c>
      <c r="AO18" s="21">
        <f>ROUND(+平成14年度!AK18/平成14年度!AM18,4)</f>
        <v>0.26440000000000002</v>
      </c>
      <c r="AP18" s="22">
        <f>ROUND(+平成14年度!AL18/平成14年度!AN18,4)</f>
        <v>0.37709999999999999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2106</v>
      </c>
      <c r="C19" s="54">
        <v>49426</v>
      </c>
      <c r="D19" s="55">
        <f>平成14年度!E19+平成14年度!F19</f>
        <v>42468</v>
      </c>
      <c r="E19" s="55">
        <f>平成14年度!C19-平成14年度!G19-平成14年度!F19</f>
        <v>40000</v>
      </c>
      <c r="F19" s="56">
        <v>2468</v>
      </c>
      <c r="G19" s="57">
        <v>6958</v>
      </c>
      <c r="H19" s="58">
        <f>平成14年度!I19+平成14年度!L19</f>
        <v>94728</v>
      </c>
      <c r="I19" s="55">
        <f>平成14年度!J19+平成14年度!K19</f>
        <v>79350</v>
      </c>
      <c r="J19" s="56">
        <v>54315</v>
      </c>
      <c r="K19" s="59">
        <v>25035</v>
      </c>
      <c r="L19" s="55">
        <f>平成14年度!M19+平成14年度!N19</f>
        <v>15378</v>
      </c>
      <c r="M19" s="56">
        <v>10527</v>
      </c>
      <c r="N19" s="57">
        <v>4851</v>
      </c>
      <c r="O19" s="54">
        <v>28446</v>
      </c>
      <c r="P19" s="55">
        <f>平成14年度!O19-平成14年度!Q19</f>
        <v>21441</v>
      </c>
      <c r="Q19" s="57">
        <v>7005</v>
      </c>
      <c r="R19" s="54">
        <v>111045</v>
      </c>
      <c r="S19" s="56">
        <v>296563</v>
      </c>
      <c r="T19" s="60">
        <f>平成14年度!C19/平成14年度!R19</f>
        <v>0.44509883380611465</v>
      </c>
      <c r="U19" s="61">
        <f>平成14年度!H19/平成14年度!S19</f>
        <v>0.31941948253828023</v>
      </c>
      <c r="V19" s="62">
        <f>平成14年度!L19/平成14年度!H19</f>
        <v>0.16233848492525968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2107</v>
      </c>
      <c r="AK19" s="31">
        <f>平成９年度!H19</f>
        <v>78843</v>
      </c>
      <c r="AL19" s="32">
        <f>平成９年度!C19</f>
        <v>39808</v>
      </c>
      <c r="AM19" s="33">
        <f>平成９年度!P19</f>
        <v>291366</v>
      </c>
      <c r="AN19" s="33">
        <f>平成９年度!O19</f>
        <v>103255</v>
      </c>
      <c r="AO19" s="34">
        <f>ROUND(+平成14年度!AK19/平成14年度!AM19,4)</f>
        <v>0.27060000000000001</v>
      </c>
      <c r="AP19" s="35">
        <f>ROUND(+平成14年度!AL19/平成14年度!AN19,4)</f>
        <v>0.38550000000000001</v>
      </c>
      <c r="AQ19" s="36">
        <f>ROUND((+平成14年度!AO19-平成14年度!AO18),4)</f>
        <v>6.1999999999999998E-3</v>
      </c>
      <c r="AR19" s="36">
        <f>ROUND((+平成14年度!AP19-平成14年度!AP18),4)</f>
        <v>8.3999999999999995E-3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2108</v>
      </c>
      <c r="C20" s="48">
        <f>SUM(平成14年度!C8:C19)</f>
        <v>586013</v>
      </c>
      <c r="D20" s="45">
        <f>SUM(平成14年度!D8:D19)</f>
        <v>505443</v>
      </c>
      <c r="E20" s="79">
        <f>SUM(平成14年度!E8:E19)</f>
        <v>476715</v>
      </c>
      <c r="F20" s="79">
        <f>SUM(平成14年度!F8:F19)</f>
        <v>28728</v>
      </c>
      <c r="G20" s="80">
        <f>SUM(平成14年度!G8:G19)</f>
        <v>80570</v>
      </c>
      <c r="H20" s="48">
        <f>SUM(平成14年度!H8:H19)</f>
        <v>1124972</v>
      </c>
      <c r="I20" s="45">
        <f>SUM(平成14年度!I8:I19)</f>
        <v>947045</v>
      </c>
      <c r="J20" s="79">
        <f>SUM(平成14年度!J8:J19)</f>
        <v>646314</v>
      </c>
      <c r="K20" s="79">
        <f>SUM(平成14年度!K8:K19)</f>
        <v>300731</v>
      </c>
      <c r="L20" s="79">
        <f>SUM(平成14年度!L8:L19)</f>
        <v>177927</v>
      </c>
      <c r="M20" s="79">
        <f>SUM(平成14年度!M8:M19)</f>
        <v>122074</v>
      </c>
      <c r="N20" s="80">
        <f>SUM(平成14年度!N8:N19)</f>
        <v>55853</v>
      </c>
      <c r="O20" s="48">
        <f>SUM(平成14年度!O8:O19)</f>
        <v>342413</v>
      </c>
      <c r="P20" s="45">
        <f>SUM(平成14年度!P8:P19)</f>
        <v>256681</v>
      </c>
      <c r="Q20" s="80">
        <f>SUM(平成14年度!Q8:Q19)</f>
        <v>85732</v>
      </c>
      <c r="R20" s="48">
        <f>SUM(平成14年度!R8:R19)</f>
        <v>1326729</v>
      </c>
      <c r="S20" s="45">
        <f>SUM(平成14年度!S8:S19)</f>
        <v>3559213</v>
      </c>
      <c r="T20" s="50">
        <f>平成14年度!C20/平成14年度!R20</f>
        <v>0.44169758858063701</v>
      </c>
      <c r="U20" s="51">
        <f>平成14年度!H20/平成14年度!S20</f>
        <v>0.31607324428181172</v>
      </c>
      <c r="V20" s="52">
        <f>平成14年度!L20/平成14年度!H20</f>
        <v>0.15816126979160369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2109</v>
      </c>
      <c r="AK20" s="31">
        <f>平成10年度!H19</f>
        <v>81903</v>
      </c>
      <c r="AL20" s="32">
        <f>平成10年度!C19</f>
        <v>41659</v>
      </c>
      <c r="AM20" s="33">
        <f>平成10年度!P19</f>
        <v>291953</v>
      </c>
      <c r="AN20" s="33">
        <f>平成10年度!O19</f>
        <v>104651</v>
      </c>
      <c r="AO20" s="34">
        <f>ROUND(+平成14年度!AK20/平成14年度!AM20,4)</f>
        <v>0.28050000000000003</v>
      </c>
      <c r="AP20" s="35">
        <f>ROUND(+平成14年度!AL20/平成14年度!AN20,4)</f>
        <v>0.39810000000000001</v>
      </c>
      <c r="AQ20" s="36">
        <f>ROUND((+平成14年度!AO20-平成14年度!AO19),4)</f>
        <v>9.9000000000000008E-3</v>
      </c>
      <c r="AR20" s="36">
        <f>ROUND((+平成14年度!AP20-平成14年度!AP19),4)</f>
        <v>1.26E-2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2110</v>
      </c>
      <c r="C21" s="48">
        <f>C20/COUNTA(C8:C19)</f>
        <v>48834.416666666664</v>
      </c>
      <c r="D21" s="45" t="e">
        <f>#VALUE!</f>
        <v>#VALUE!</v>
      </c>
      <c r="E21" s="79" t="e">
        <f>#VALUE!</f>
        <v>#VALUE!</v>
      </c>
      <c r="F21" s="79">
        <f>F20/COUNTA(F8:F19)</f>
        <v>2394</v>
      </c>
      <c r="G21" s="80">
        <f>G20/COUNTA(G8:G19)</f>
        <v>6714.166666666667</v>
      </c>
      <c r="H21" s="48" t="e">
        <f>#VALUE!</f>
        <v>#VALUE!</v>
      </c>
      <c r="I21" s="45" t="e">
        <f>#VALUE!</f>
        <v>#VALUE!</v>
      </c>
      <c r="J21" s="79">
        <f>J20/COUNTA(J8:J19)</f>
        <v>53859.5</v>
      </c>
      <c r="K21" s="79">
        <f>K20/COUNTA(K8:K19)</f>
        <v>25060.916666666668</v>
      </c>
      <c r="L21" s="79" t="e">
        <f>#VALUE!</f>
        <v>#VALUE!</v>
      </c>
      <c r="M21" s="79">
        <f>M20/COUNTA(M8:M19)</f>
        <v>10172.833333333334</v>
      </c>
      <c r="N21" s="80">
        <f>N20/COUNTA(N8:N19)</f>
        <v>4654.416666666667</v>
      </c>
      <c r="O21" s="48">
        <f>O20/COUNTA(O8:O19)</f>
        <v>28534.416666666668</v>
      </c>
      <c r="P21" s="45" t="e">
        <f>#VALUE!</f>
        <v>#VALUE!</v>
      </c>
      <c r="Q21" s="80">
        <f>Q20/COUNTA(Q8:Q19)</f>
        <v>7144.333333333333</v>
      </c>
      <c r="R21" s="48">
        <f>R20/COUNTA(R8:R19)</f>
        <v>110560.75</v>
      </c>
      <c r="S21" s="45">
        <f>S20/COUNTA(S8:S19)</f>
        <v>296601.08333333331</v>
      </c>
      <c r="T21" s="50">
        <f>平成14年度!C21/平成14年度!R21</f>
        <v>0.44169758858063701</v>
      </c>
      <c r="U21" s="51" t="e">
        <f>平成14年度!H21/平成14年度!S21</f>
        <v>#VALUE!</v>
      </c>
      <c r="V21" s="52" t="e">
        <f>平成14年度!L21/平成14年度!H21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2111</v>
      </c>
      <c r="AK21" s="31">
        <f>平成11年度!H19</f>
        <v>85006</v>
      </c>
      <c r="AL21" s="32">
        <f>平成11年度!C19</f>
        <v>43579</v>
      </c>
      <c r="AM21" s="33">
        <f>平成11年度!P19</f>
        <v>292833</v>
      </c>
      <c r="AN21" s="33">
        <f>平成11年度!O19</f>
        <v>106170</v>
      </c>
      <c r="AO21" s="34">
        <f>ROUND(+平成14年度!AK21/平成14年度!AM21,4)</f>
        <v>0.2903</v>
      </c>
      <c r="AP21" s="35">
        <f>ROUND(+平成14年度!AL21/平成14年度!AN21,4)</f>
        <v>0.41049999999999998</v>
      </c>
      <c r="AQ21" s="36">
        <f>ROUND((+平成14年度!AO21-平成14年度!AO20),4)</f>
        <v>9.7999999999999997E-3</v>
      </c>
      <c r="AR21" s="36">
        <f>ROUND((+平成14年度!AP21-平成14年度!AP20),4)</f>
        <v>1.24E-2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2112</v>
      </c>
      <c r="AK22" s="31">
        <f>平成12年度!H19</f>
        <v>87854</v>
      </c>
      <c r="AL22" s="32">
        <f>平成12年度!C19</f>
        <v>45290</v>
      </c>
      <c r="AM22" s="33">
        <f>平成12年度!P19</f>
        <v>20917</v>
      </c>
      <c r="AN22" s="33">
        <f>平成12年度!O19</f>
        <v>27178</v>
      </c>
      <c r="AO22" s="34">
        <f>ROUND(+平成14年度!AK22/平成14年度!AM22,4)</f>
        <v>4.2000999999999999</v>
      </c>
      <c r="AP22" s="35">
        <f>ROUND(+平成14年度!AL22/平成14年度!AN22,4)</f>
        <v>1.6664000000000001</v>
      </c>
      <c r="AQ22" s="36">
        <f>ROUND((+平成14年度!AO22-平成14年度!AO21),4)</f>
        <v>3.9098000000000002</v>
      </c>
      <c r="AR22" s="36">
        <f>ROUND((+平成14年度!AP22-平成14年度!AP21),4)</f>
        <v>1.2559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2113</v>
      </c>
      <c r="C23" s="48">
        <f>平成14年度!C8</f>
        <v>48054</v>
      </c>
      <c r="D23" s="45">
        <f>平成14年度!D8</f>
        <v>41476</v>
      </c>
      <c r="E23" s="79">
        <f>平成14年度!E8</f>
        <v>39128</v>
      </c>
      <c r="F23" s="79">
        <f>平成14年度!F8</f>
        <v>2348</v>
      </c>
      <c r="G23" s="80">
        <f>平成14年度!G8</f>
        <v>6578</v>
      </c>
      <c r="H23" s="48">
        <f>平成14年度!H8</f>
        <v>92403</v>
      </c>
      <c r="I23" s="45">
        <f>平成14年度!I8</f>
        <v>77920</v>
      </c>
      <c r="J23" s="79">
        <f>平成14年度!J8</f>
        <v>53338</v>
      </c>
      <c r="K23" s="79">
        <f>平成14年度!K8</f>
        <v>24582</v>
      </c>
      <c r="L23" s="79">
        <f>平成14年度!L8</f>
        <v>14483</v>
      </c>
      <c r="M23" s="79">
        <f>平成14年度!M8</f>
        <v>9971</v>
      </c>
      <c r="N23" s="80">
        <f>平成14年度!N8</f>
        <v>4512</v>
      </c>
      <c r="O23" s="48">
        <f>平成14年度!O8</f>
        <v>28391</v>
      </c>
      <c r="P23" s="45">
        <f>平成14年度!P8</f>
        <v>21259</v>
      </c>
      <c r="Q23" s="80">
        <f>平成14年度!Q8</f>
        <v>7132</v>
      </c>
      <c r="R23" s="48">
        <f>平成14年度!R8</f>
        <v>109903</v>
      </c>
      <c r="S23" s="45">
        <f>平成14年度!S8</f>
        <v>295872</v>
      </c>
      <c r="T23" s="50">
        <f>平成14年度!C23/平成14年度!R23</f>
        <v>0.43724011173489352</v>
      </c>
      <c r="U23" s="51">
        <f>平成14年度!H23/平成14年度!S23</f>
        <v>0.31230734912394548</v>
      </c>
      <c r="V23" s="52">
        <f>平成14年度!L23/平成14年度!H23</f>
        <v>0.1567373353678993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2114</v>
      </c>
      <c r="AK23" s="64">
        <f>平成13年度!H19</f>
        <v>91363</v>
      </c>
      <c r="AL23" s="65">
        <f>平成13年度!C19</f>
        <v>47502</v>
      </c>
      <c r="AM23" s="66">
        <f>平成13年度!P19</f>
        <v>21019</v>
      </c>
      <c r="AN23" s="66">
        <f>平成13年度!O19</f>
        <v>27824</v>
      </c>
      <c r="AO23" s="67">
        <f>ROUND(+平成14年度!AK23/平成14年度!AM23,4)</f>
        <v>4.3467000000000002</v>
      </c>
      <c r="AP23" s="68">
        <f>ROUND(+平成14年度!AL23/平成14年度!AN23,4)</f>
        <v>1.7072000000000001</v>
      </c>
      <c r="AQ23" s="36">
        <f>ROUND((+平成14年度!AO23-平成14年度!AO22),4)</f>
        <v>0.14660000000000001</v>
      </c>
      <c r="AR23" s="36">
        <f>ROUND((+平成14年度!AP23-平成14年度!AP22),4)</f>
        <v>4.0800000000000003E-2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2115</v>
      </c>
      <c r="C24" s="58">
        <f>SUM(平成14年度!C8:C9)</f>
        <v>96233</v>
      </c>
      <c r="D24" s="55">
        <f>SUM(平成14年度!D8:D9)</f>
        <v>83068</v>
      </c>
      <c r="E24" s="89">
        <f>SUM(平成14年度!E8:E9)</f>
        <v>78373</v>
      </c>
      <c r="F24" s="89">
        <f>SUM(平成14年度!F8:F9)</f>
        <v>4695</v>
      </c>
      <c r="G24" s="90">
        <f>SUM(平成14年度!G8:G9)</f>
        <v>13165</v>
      </c>
      <c r="H24" s="58">
        <f>SUM(平成14年度!H8:H9)</f>
        <v>185012</v>
      </c>
      <c r="I24" s="55">
        <f>SUM(平成14年度!I8:I9)</f>
        <v>156021</v>
      </c>
      <c r="J24" s="89">
        <f>SUM(平成14年度!J8:J9)</f>
        <v>106735</v>
      </c>
      <c r="K24" s="89">
        <f>SUM(平成14年度!K8:K9)</f>
        <v>49286</v>
      </c>
      <c r="L24" s="89">
        <f>SUM(平成14年度!L8:L9)</f>
        <v>28991</v>
      </c>
      <c r="M24" s="89">
        <f>SUM(平成14年度!M8:M9)</f>
        <v>19951</v>
      </c>
      <c r="N24" s="90">
        <f>SUM(平成14年度!N8:N9)</f>
        <v>9040</v>
      </c>
      <c r="O24" s="58">
        <f>SUM(平成14年度!O8:O9)</f>
        <v>56774</v>
      </c>
      <c r="P24" s="55">
        <f>SUM(平成14年度!P8:P9)</f>
        <v>42512</v>
      </c>
      <c r="Q24" s="90">
        <f>SUM(平成14年度!Q8:Q9)</f>
        <v>14262</v>
      </c>
      <c r="R24" s="58">
        <f>SUM(平成14年度!R8:R9)</f>
        <v>220037</v>
      </c>
      <c r="S24" s="55">
        <f>SUM(平成14年度!S8:S9)</f>
        <v>592037</v>
      </c>
      <c r="T24" s="60">
        <f>平成14年度!C24/平成14年度!R24</f>
        <v>0.43734917309361609</v>
      </c>
      <c r="U24" s="61">
        <f>平成14年度!H24/平成14年度!S24</f>
        <v>0.31250073897408437</v>
      </c>
      <c r="V24" s="62">
        <f>平成14年度!L24/平成14年度!H24</f>
        <v>0.15669794391715133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2116</v>
      </c>
      <c r="AK24" s="70">
        <f>平成14年度!H14</f>
        <v>94207</v>
      </c>
      <c r="AL24" s="71">
        <f>平成14年度!C14</f>
        <v>49073</v>
      </c>
      <c r="AM24" s="72">
        <f>平成14年度!S14</f>
        <v>296783</v>
      </c>
      <c r="AN24" s="72">
        <f>平成14年度!R14</f>
        <v>110676</v>
      </c>
      <c r="AO24" s="73">
        <f>ROUND(+平成14年度!AK24/平成14年度!AM24,4)</f>
        <v>0.31740000000000002</v>
      </c>
      <c r="AP24" s="74">
        <f>ROUND(+平成14年度!AL24/平成14年度!AN24,4)</f>
        <v>0.44340000000000002</v>
      </c>
      <c r="AQ24" s="36">
        <f>ROUND((+平成14年度!AO24-平成14年度!AO23),4)</f>
        <v>-4.0293000000000001</v>
      </c>
      <c r="AR24" s="36">
        <f>ROUND((+平成14年度!AP24-平成14年度!AP23),4)</f>
        <v>-1.2638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2117</v>
      </c>
      <c r="C25" s="58">
        <f>SUM(平成14年度!C8:C10)</f>
        <v>144542</v>
      </c>
      <c r="D25" s="55">
        <f>SUM(平成14年度!D8:D10)</f>
        <v>124686</v>
      </c>
      <c r="E25" s="89">
        <f>SUM(平成14年度!E8:E10)</f>
        <v>117617</v>
      </c>
      <c r="F25" s="89">
        <f>SUM(平成14年度!F8:F10)</f>
        <v>7069</v>
      </c>
      <c r="G25" s="90">
        <f>SUM(平成14年度!G8:G10)</f>
        <v>19856</v>
      </c>
      <c r="H25" s="58">
        <f>SUM(平成14年度!H8:H10)</f>
        <v>277825</v>
      </c>
      <c r="I25" s="55">
        <f>SUM(平成14年度!I8:I10)</f>
        <v>234100</v>
      </c>
      <c r="J25" s="89">
        <f>SUM(平成14年度!J8:J10)</f>
        <v>159972</v>
      </c>
      <c r="K25" s="89">
        <f>SUM(平成14年度!K8:K10)</f>
        <v>74128</v>
      </c>
      <c r="L25" s="89">
        <f>SUM(平成14年度!L8:L10)</f>
        <v>43725</v>
      </c>
      <c r="M25" s="89">
        <f>SUM(平成14年度!M8:M10)</f>
        <v>30081</v>
      </c>
      <c r="N25" s="90">
        <f>SUM(平成14年度!N8:N10)</f>
        <v>13644</v>
      </c>
      <c r="O25" s="58">
        <f>SUM(平成14年度!O8:O10)</f>
        <v>85260</v>
      </c>
      <c r="P25" s="55">
        <f>SUM(平成14年度!P8:P10)</f>
        <v>63759</v>
      </c>
      <c r="Q25" s="90">
        <f>SUM(平成14年度!Q8:Q10)</f>
        <v>21501</v>
      </c>
      <c r="R25" s="58">
        <f>SUM(平成14年度!R8:R10)</f>
        <v>330222</v>
      </c>
      <c r="S25" s="55">
        <f>SUM(平成14年度!S8:S10)</f>
        <v>888265</v>
      </c>
      <c r="T25" s="60">
        <f>平成14年度!C25/平成14年度!R25</f>
        <v>0.43771160007510101</v>
      </c>
      <c r="U25" s="61">
        <f>平成14年度!H25/平成14年度!S25</f>
        <v>0.3127726523053368</v>
      </c>
      <c r="V25" s="62">
        <f>平成14年度!L25/平成14年度!H25</f>
        <v>0.15738324484837576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2118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2119</v>
      </c>
      <c r="C26" s="58">
        <f>SUM(平成14年度!C8:C11)</f>
        <v>193113</v>
      </c>
      <c r="D26" s="55">
        <f>SUM(平成14年度!D8:D11)</f>
        <v>166582</v>
      </c>
      <c r="E26" s="89">
        <f>SUM(平成14年度!E8:E11)</f>
        <v>157134</v>
      </c>
      <c r="F26" s="89">
        <f>SUM(平成14年度!F8:F11)</f>
        <v>9448</v>
      </c>
      <c r="G26" s="90">
        <f>SUM(平成14年度!G8:G11)</f>
        <v>26531</v>
      </c>
      <c r="H26" s="58">
        <f>SUM(平成14年度!H8:H11)</f>
        <v>371108</v>
      </c>
      <c r="I26" s="55">
        <f>SUM(平成14年度!I8:I11)</f>
        <v>312653</v>
      </c>
      <c r="J26" s="89">
        <f>SUM(平成14年度!J8:J11)</f>
        <v>213570</v>
      </c>
      <c r="K26" s="89">
        <f>SUM(平成14年度!K8:K11)</f>
        <v>99083</v>
      </c>
      <c r="L26" s="89">
        <f>SUM(平成14年度!L8:L11)</f>
        <v>58455</v>
      </c>
      <c r="M26" s="89">
        <f>SUM(平成14年度!M8:M11)</f>
        <v>40191</v>
      </c>
      <c r="N26" s="90">
        <f>SUM(平成14年度!N8:N11)</f>
        <v>18264</v>
      </c>
      <c r="O26" s="58">
        <f>SUM(平成14年度!O8:O11)</f>
        <v>113891</v>
      </c>
      <c r="P26" s="55">
        <f>SUM(平成14年度!P8:P11)</f>
        <v>85092</v>
      </c>
      <c r="Q26" s="90">
        <f>SUM(平成14年度!Q8:Q11)</f>
        <v>28799</v>
      </c>
      <c r="R26" s="58">
        <f>SUM(平成14年度!R8:R11)</f>
        <v>440522</v>
      </c>
      <c r="S26" s="55">
        <f>SUM(平成14年度!S8:S11)</f>
        <v>1184644</v>
      </c>
      <c r="T26" s="60">
        <f>平成14年度!C26/平成14年度!R26</f>
        <v>0.43837311189906519</v>
      </c>
      <c r="U26" s="61">
        <f>平成14年度!H26/平成14年度!S26</f>
        <v>0.31326541982232636</v>
      </c>
      <c r="V26" s="62">
        <f>平成14年度!L26/平成14年度!H26</f>
        <v>0.15751479353719133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2120</v>
      </c>
      <c r="AK26" s="76">
        <f>平成14年度!AK23/平成14年度!AK18</f>
        <v>1.1912665919107102</v>
      </c>
      <c r="AL26" s="77">
        <f>平成14年度!AL23/平成14年度!AL18</f>
        <v>1.2381275087316894</v>
      </c>
      <c r="AM26" s="77">
        <f>平成14年度!AM23/平成14年度!AM18</f>
        <v>7.2453077334068694E-2</v>
      </c>
      <c r="AN26" s="77">
        <f>平成14年度!AN23/平成14年度!AN18</f>
        <v>0.27346798368470193</v>
      </c>
      <c r="AO26" s="78">
        <f>平成14年度!AO23/平成14年度!AO18</f>
        <v>16.439863842662632</v>
      </c>
      <c r="AP26" s="74">
        <f>平成14年度!AP23/平成14年度!AP18</f>
        <v>4.5271811190665607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2121</v>
      </c>
      <c r="C27" s="58">
        <f>SUM(平成14年度!C8:C12)</f>
        <v>241821</v>
      </c>
      <c r="D27" s="55">
        <f>SUM(平成14年度!D8:D12)</f>
        <v>208644</v>
      </c>
      <c r="E27" s="89">
        <f>SUM(平成14年度!E8:E12)</f>
        <v>196822</v>
      </c>
      <c r="F27" s="89">
        <f>SUM(平成14年度!F8:F12)</f>
        <v>11822</v>
      </c>
      <c r="G27" s="90">
        <f>SUM(平成14年度!G8:G12)</f>
        <v>33177</v>
      </c>
      <c r="H27" s="58">
        <f>SUM(平成14年度!H8:H12)</f>
        <v>464609</v>
      </c>
      <c r="I27" s="55">
        <f>SUM(平成14年度!I8:I12)</f>
        <v>391480</v>
      </c>
      <c r="J27" s="89">
        <f>SUM(平成14年度!J8:J12)</f>
        <v>267316</v>
      </c>
      <c r="K27" s="89">
        <f>SUM(平成14年度!K8:K12)</f>
        <v>124164</v>
      </c>
      <c r="L27" s="89">
        <f>SUM(平成14年度!L8:L12)</f>
        <v>73129</v>
      </c>
      <c r="M27" s="89">
        <f>SUM(平成14年度!M8:M12)</f>
        <v>50257</v>
      </c>
      <c r="N27" s="90">
        <f>SUM(平成14年度!N8:N12)</f>
        <v>22872</v>
      </c>
      <c r="O27" s="58">
        <f>SUM(平成14年度!O8:O12)</f>
        <v>142513</v>
      </c>
      <c r="P27" s="55">
        <f>SUM(平成14年度!P8:P12)</f>
        <v>106452</v>
      </c>
      <c r="Q27" s="90">
        <f>SUM(平成14年度!Q8:Q12)</f>
        <v>36061</v>
      </c>
      <c r="R27" s="58">
        <f>SUM(平成14年度!R8:R12)</f>
        <v>550951</v>
      </c>
      <c r="S27" s="55">
        <f>SUM(平成14年度!S8:S12)</f>
        <v>1481247</v>
      </c>
      <c r="T27" s="60">
        <f>平成14年度!C27/平成14年度!R27</f>
        <v>0.43891562044537535</v>
      </c>
      <c r="U27" s="61">
        <f>平成14年度!H27/平成14年度!S27</f>
        <v>0.31366071965040265</v>
      </c>
      <c r="V27" s="62">
        <f>平成14年度!L27/平成14年度!H27</f>
        <v>0.15739901723815078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2122</v>
      </c>
      <c r="C28" s="58">
        <f>SUM(平成14年度!C8:C13)</f>
        <v>290628</v>
      </c>
      <c r="D28" s="55">
        <f>SUM(平成14年度!D8:D13)</f>
        <v>250839</v>
      </c>
      <c r="E28" s="89">
        <f>SUM(平成14年度!E8:E13)</f>
        <v>236652</v>
      </c>
      <c r="F28" s="89">
        <f>SUM(平成14年度!F8:F13)</f>
        <v>14187</v>
      </c>
      <c r="G28" s="90">
        <f>SUM(平成14年度!G8:G13)</f>
        <v>39789</v>
      </c>
      <c r="H28" s="58">
        <f>SUM(平成14年度!H8:H13)</f>
        <v>558305</v>
      </c>
      <c r="I28" s="55">
        <f>SUM(平成14年度!I8:I13)</f>
        <v>470569</v>
      </c>
      <c r="J28" s="89">
        <f>SUM(平成14年度!J8:J13)</f>
        <v>321183</v>
      </c>
      <c r="K28" s="89">
        <f>SUM(平成14年度!K8:K13)</f>
        <v>149386</v>
      </c>
      <c r="L28" s="89">
        <f>SUM(平成14年度!L8:L13)</f>
        <v>87736</v>
      </c>
      <c r="M28" s="89">
        <f>SUM(平成14年度!M8:M13)</f>
        <v>60279</v>
      </c>
      <c r="N28" s="90">
        <f>SUM(平成14年度!N8:N13)</f>
        <v>27457</v>
      </c>
      <c r="O28" s="58">
        <f>SUM(平成14年度!O8:O13)</f>
        <v>171068</v>
      </c>
      <c r="P28" s="55">
        <f>SUM(平成14年度!P8:P13)</f>
        <v>127830</v>
      </c>
      <c r="Q28" s="90">
        <f>SUM(平成14年度!Q8:Q13)</f>
        <v>43238</v>
      </c>
      <c r="R28" s="58">
        <f>SUM(平成14年度!R8:R13)</f>
        <v>661466</v>
      </c>
      <c r="S28" s="55">
        <f>SUM(平成14年度!S8:S13)</f>
        <v>1777898</v>
      </c>
      <c r="T28" s="60">
        <f>平成14年度!C28/平成14年度!R28</f>
        <v>0.4393695216383004</v>
      </c>
      <c r="U28" s="61">
        <f>平成14年度!H28/平成14年度!S28</f>
        <v>0.31402532653729293</v>
      </c>
      <c r="V28" s="62">
        <f>平成14年度!L28/平成14年度!H28</f>
        <v>0.15714707910550685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2123</v>
      </c>
      <c r="C29" s="58">
        <f>SUM(平成14年度!C8:C14)</f>
        <v>339701</v>
      </c>
      <c r="D29" s="55">
        <f>SUM(平成14年度!D8:D14)</f>
        <v>293224</v>
      </c>
      <c r="E29" s="89">
        <f>SUM(平成14年度!E8:E14)</f>
        <v>276641</v>
      </c>
      <c r="F29" s="89">
        <f>SUM(平成14年度!F8:F14)</f>
        <v>16583</v>
      </c>
      <c r="G29" s="90">
        <f>SUM(平成14年度!G8:G14)</f>
        <v>46477</v>
      </c>
      <c r="H29" s="58">
        <f>SUM(平成14年度!H8:H14)</f>
        <v>652512</v>
      </c>
      <c r="I29" s="55">
        <f>SUM(平成14年度!I8:I14)</f>
        <v>549980</v>
      </c>
      <c r="J29" s="89">
        <f>SUM(平成14年度!J8:J14)</f>
        <v>375197</v>
      </c>
      <c r="K29" s="89">
        <f>SUM(平成14年度!K8:K14)</f>
        <v>174783</v>
      </c>
      <c r="L29" s="89">
        <f>SUM(平成14年度!L8:L14)</f>
        <v>102532</v>
      </c>
      <c r="M29" s="89">
        <f>SUM(平成14年度!M8:M14)</f>
        <v>70423</v>
      </c>
      <c r="N29" s="90">
        <f>SUM(平成14年度!N8:N14)</f>
        <v>32109</v>
      </c>
      <c r="O29" s="58">
        <f>SUM(平成14年度!O8:O14)</f>
        <v>199740</v>
      </c>
      <c r="P29" s="55">
        <f>SUM(平成14年度!P8:P14)</f>
        <v>149286</v>
      </c>
      <c r="Q29" s="90">
        <f>SUM(平成14年度!Q8:Q14)</f>
        <v>50454</v>
      </c>
      <c r="R29" s="58">
        <f>SUM(平成14年度!R8:R14)</f>
        <v>772142</v>
      </c>
      <c r="S29" s="55">
        <f>SUM(平成14年度!S8:S14)</f>
        <v>2074681</v>
      </c>
      <c r="T29" s="60">
        <f>平成14年度!C29/平成14年度!R29</f>
        <v>0.43994627931131841</v>
      </c>
      <c r="U29" s="61">
        <f>平成14年度!H29/平成14年度!S29</f>
        <v>0.31451196593596797</v>
      </c>
      <c r="V29" s="62">
        <f>平成14年度!L29/平成14年度!H29</f>
        <v>0.15713427492521209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2124</v>
      </c>
      <c r="C30" s="58">
        <f>SUM(平成14年度!C8:C15)</f>
        <v>388824</v>
      </c>
      <c r="D30" s="55">
        <f>SUM(平成14年度!D8:D15)</f>
        <v>335649</v>
      </c>
      <c r="E30" s="89">
        <f>SUM(平成14年度!E8:E15)</f>
        <v>316662</v>
      </c>
      <c r="F30" s="89">
        <f>SUM(平成14年度!F8:F15)</f>
        <v>18987</v>
      </c>
      <c r="G30" s="90">
        <f>SUM(平成14年度!G8:G15)</f>
        <v>53175</v>
      </c>
      <c r="H30" s="58">
        <f>SUM(平成14年度!H8:H15)</f>
        <v>746787</v>
      </c>
      <c r="I30" s="55">
        <f>SUM(平成14年度!I8:I15)</f>
        <v>629428</v>
      </c>
      <c r="J30" s="89">
        <f>SUM(平成14年度!J8:J15)</f>
        <v>429299</v>
      </c>
      <c r="K30" s="89">
        <f>SUM(平成14年度!K8:K15)</f>
        <v>200129</v>
      </c>
      <c r="L30" s="89">
        <f>SUM(平成14年度!L8:L15)</f>
        <v>117359</v>
      </c>
      <c r="M30" s="89">
        <f>SUM(平成14年度!M8:M15)</f>
        <v>80594</v>
      </c>
      <c r="N30" s="90">
        <f>SUM(平成14年度!N8:N15)</f>
        <v>36765</v>
      </c>
      <c r="O30" s="58">
        <f>SUM(平成14年度!O8:O15)</f>
        <v>228375</v>
      </c>
      <c r="P30" s="55">
        <f>SUM(平成14年度!P8:P15)</f>
        <v>170798</v>
      </c>
      <c r="Q30" s="90">
        <f>SUM(平成14年度!Q8:Q15)</f>
        <v>57577</v>
      </c>
      <c r="R30" s="58">
        <f>SUM(平成14年度!R8:R15)</f>
        <v>882911</v>
      </c>
      <c r="S30" s="55">
        <f>SUM(平成14年度!S8:S15)</f>
        <v>2371577</v>
      </c>
      <c r="T30" s="60">
        <f>平成14年度!C30/平成14年度!R30</f>
        <v>0.44038866884657685</v>
      </c>
      <c r="U30" s="61">
        <f>平成14年度!H30/平成14年度!S30</f>
        <v>0.31489047161445738</v>
      </c>
      <c r="V30" s="62">
        <f>平成14年度!L30/平成14年度!H30</f>
        <v>0.15715190542952676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2125</v>
      </c>
      <c r="C31" s="58">
        <f>SUM(平成14年度!C8:C16)</f>
        <v>438050</v>
      </c>
      <c r="D31" s="55">
        <f>SUM(平成14年度!D8:D16)</f>
        <v>378141</v>
      </c>
      <c r="E31" s="89">
        <f>SUM(平成14年度!E8:E16)</f>
        <v>356747</v>
      </c>
      <c r="F31" s="89">
        <f>SUM(平成14年度!F8:F16)</f>
        <v>21394</v>
      </c>
      <c r="G31" s="90">
        <f>SUM(平成14年度!G8:G16)</f>
        <v>59909</v>
      </c>
      <c r="H31" s="58">
        <f>SUM(平成14年度!H8:H16)</f>
        <v>841198</v>
      </c>
      <c r="I31" s="55">
        <f>SUM(平成14年度!I8:I16)</f>
        <v>708943</v>
      </c>
      <c r="J31" s="89">
        <f>SUM(平成14年度!J8:J16)</f>
        <v>483526</v>
      </c>
      <c r="K31" s="89">
        <f>SUM(平成14年度!K8:K16)</f>
        <v>225417</v>
      </c>
      <c r="L31" s="89">
        <f>SUM(平成14年度!L8:L16)</f>
        <v>132255</v>
      </c>
      <c r="M31" s="89">
        <f>SUM(平成14年度!M8:M16)</f>
        <v>90809</v>
      </c>
      <c r="N31" s="90">
        <f>SUM(平成14年度!N8:N16)</f>
        <v>41446</v>
      </c>
      <c r="O31" s="58">
        <f>SUM(平成14年度!O8:O16)</f>
        <v>257019</v>
      </c>
      <c r="P31" s="55">
        <f>SUM(平成14年度!P8:P16)</f>
        <v>192353</v>
      </c>
      <c r="Q31" s="90">
        <f>SUM(平成14年度!Q8:Q16)</f>
        <v>64666</v>
      </c>
      <c r="R31" s="58">
        <f>SUM(平成14年度!R8:R16)</f>
        <v>993784</v>
      </c>
      <c r="S31" s="55">
        <f>SUM(平成14年度!S8:S16)</f>
        <v>2668608</v>
      </c>
      <c r="T31" s="60">
        <f>平成14年度!C31/平成14年度!R31</f>
        <v>0.44078995033125912</v>
      </c>
      <c r="U31" s="61">
        <f>平成14年度!H31/平成14年度!S31</f>
        <v>0.31521977000743456</v>
      </c>
      <c r="V31" s="62">
        <f>平成14年度!L31/平成14年度!H31</f>
        <v>0.15722219976747448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2126</v>
      </c>
      <c r="C32" s="58">
        <f>SUM(平成14年度!C8:C17)</f>
        <v>487247</v>
      </c>
      <c r="D32" s="55">
        <f>SUM(平成14年度!D8:D17)</f>
        <v>420553</v>
      </c>
      <c r="E32" s="89">
        <f>SUM(平成14年度!E8:E17)</f>
        <v>396744</v>
      </c>
      <c r="F32" s="89">
        <f>SUM(平成14年度!F8:F17)</f>
        <v>23809</v>
      </c>
      <c r="G32" s="90">
        <f>SUM(平成14年度!G8:G17)</f>
        <v>66694</v>
      </c>
      <c r="H32" s="58">
        <f>SUM(平成14年度!H8:H17)</f>
        <v>935626</v>
      </c>
      <c r="I32" s="55">
        <f>SUM(平成14年度!I8:I17)</f>
        <v>788364</v>
      </c>
      <c r="J32" s="89">
        <f>SUM(平成14年度!J8:J17)</f>
        <v>537771</v>
      </c>
      <c r="K32" s="89">
        <f>SUM(平成14年度!K8:K17)</f>
        <v>250593</v>
      </c>
      <c r="L32" s="89">
        <f>SUM(平成14年度!L8:L17)</f>
        <v>147262</v>
      </c>
      <c r="M32" s="89">
        <f>SUM(平成14年度!M8:M17)</f>
        <v>101089</v>
      </c>
      <c r="N32" s="90">
        <f>SUM(平成14年度!N8:N17)</f>
        <v>46173</v>
      </c>
      <c r="O32" s="58">
        <f>SUM(平成14年度!O8:O17)</f>
        <v>285495</v>
      </c>
      <c r="P32" s="55">
        <f>SUM(平成14年度!P8:P17)</f>
        <v>213851</v>
      </c>
      <c r="Q32" s="90">
        <f>SUM(平成14年度!Q8:Q17)</f>
        <v>71644</v>
      </c>
      <c r="R32" s="58">
        <f>SUM(平成14年度!R8:R17)</f>
        <v>1104672</v>
      </c>
      <c r="S32" s="55">
        <f>SUM(平成14年度!S8:S17)</f>
        <v>2965554</v>
      </c>
      <c r="T32" s="60">
        <f>平成14年度!C32/平成14年度!R32</f>
        <v>0.44107843776252137</v>
      </c>
      <c r="U32" s="61">
        <f>平成14年度!H32/平成14年度!S32</f>
        <v>0.3154978799913945</v>
      </c>
      <c r="V32" s="62">
        <f>平成14年度!L32/平成14年度!H32</f>
        <v>0.15739408695354767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2127</v>
      </c>
      <c r="C33" s="58">
        <f>SUM(平成14年度!C8:C18)</f>
        <v>536587</v>
      </c>
      <c r="D33" s="55">
        <f>SUM(平成14年度!D8:D18)</f>
        <v>462975</v>
      </c>
      <c r="E33" s="89">
        <f>SUM(平成14年度!E8:E18)</f>
        <v>436715</v>
      </c>
      <c r="F33" s="89">
        <f>SUM(平成14年度!F8:F18)</f>
        <v>26260</v>
      </c>
      <c r="G33" s="90">
        <f>SUM(平成14年度!G8:G18)</f>
        <v>73612</v>
      </c>
      <c r="H33" s="58">
        <f>SUM(平成14年度!H8:H18)</f>
        <v>1030244</v>
      </c>
      <c r="I33" s="55">
        <f>SUM(平成14年度!I8:I18)</f>
        <v>867695</v>
      </c>
      <c r="J33" s="89">
        <f>SUM(平成14年度!J8:J18)</f>
        <v>591999</v>
      </c>
      <c r="K33" s="89">
        <f>SUM(平成14年度!K8:K18)</f>
        <v>275696</v>
      </c>
      <c r="L33" s="89">
        <f>SUM(平成14年度!L8:L18)</f>
        <v>162549</v>
      </c>
      <c r="M33" s="89">
        <f>SUM(平成14年度!M8:M18)</f>
        <v>111547</v>
      </c>
      <c r="N33" s="90">
        <f>SUM(平成14年度!N8:N18)</f>
        <v>51002</v>
      </c>
      <c r="O33" s="58">
        <f>SUM(平成14年度!O8:O18)</f>
        <v>313967</v>
      </c>
      <c r="P33" s="55">
        <f>SUM(平成14年度!P8:P18)</f>
        <v>235240</v>
      </c>
      <c r="Q33" s="90">
        <f>SUM(平成14年度!Q8:Q18)</f>
        <v>78727</v>
      </c>
      <c r="R33" s="58">
        <f>SUM(平成14年度!R8:R18)</f>
        <v>1215684</v>
      </c>
      <c r="S33" s="55">
        <f>SUM(平成14年度!S8:S18)</f>
        <v>3262650</v>
      </c>
      <c r="T33" s="60">
        <f>平成14年度!C33/平成14年度!R33</f>
        <v>0.44138690646582501</v>
      </c>
      <c r="U33" s="61">
        <f>平成14年度!H33/平成14年度!S33</f>
        <v>0.3157690834137894</v>
      </c>
      <c r="V33" s="62">
        <f>平成14年度!L33/平成14年度!H33</f>
        <v>0.15777718676352398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2128</v>
      </c>
      <c r="C34" s="58">
        <f>SUM(平成14年度!C8:C19)</f>
        <v>586013</v>
      </c>
      <c r="D34" s="55">
        <f>SUM(平成14年度!D8:D19)</f>
        <v>505443</v>
      </c>
      <c r="E34" s="89">
        <f>SUM(平成14年度!E8:E19)</f>
        <v>476715</v>
      </c>
      <c r="F34" s="89">
        <f>SUM(平成14年度!F8:F19)</f>
        <v>28728</v>
      </c>
      <c r="G34" s="90">
        <f>SUM(平成14年度!G8:G19)</f>
        <v>80570</v>
      </c>
      <c r="H34" s="58">
        <f>SUM(平成14年度!H8:H19)</f>
        <v>1124972</v>
      </c>
      <c r="I34" s="55">
        <f>SUM(平成14年度!I8:I19)</f>
        <v>947045</v>
      </c>
      <c r="J34" s="89">
        <f>SUM(平成14年度!J8:J19)</f>
        <v>646314</v>
      </c>
      <c r="K34" s="89">
        <f>SUM(平成14年度!K8:K19)</f>
        <v>300731</v>
      </c>
      <c r="L34" s="89">
        <f>SUM(平成14年度!L8:L19)</f>
        <v>177927</v>
      </c>
      <c r="M34" s="89">
        <f>SUM(平成14年度!M8:M19)</f>
        <v>122074</v>
      </c>
      <c r="N34" s="90">
        <f>SUM(平成14年度!N8:N19)</f>
        <v>55853</v>
      </c>
      <c r="O34" s="58">
        <f>SUM(平成14年度!O8:O19)</f>
        <v>342413</v>
      </c>
      <c r="P34" s="55">
        <f>SUM(平成14年度!P8:P19)</f>
        <v>256681</v>
      </c>
      <c r="Q34" s="90">
        <f>SUM(平成14年度!Q8:Q19)</f>
        <v>85732</v>
      </c>
      <c r="R34" s="58">
        <f>SUM(平成14年度!R8:R19)</f>
        <v>1326729</v>
      </c>
      <c r="S34" s="55">
        <f>SUM(平成14年度!S8:S19)</f>
        <v>3559213</v>
      </c>
      <c r="T34" s="60">
        <f>平成14年度!C34/平成14年度!R34</f>
        <v>0.44169758858063701</v>
      </c>
      <c r="U34" s="61">
        <f>平成14年度!H34/平成14年度!S34</f>
        <v>0.31607324428181172</v>
      </c>
      <c r="V34" s="62">
        <f>平成14年度!L34/平成14年度!H34</f>
        <v>0.15816126979160369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2129</v>
      </c>
      <c r="C35" s="92">
        <f>平成13年度!C19+SUM(平成14年度!C8:C18)</f>
        <v>584089</v>
      </c>
      <c r="D35" s="93">
        <f>平成13年度!D19+SUM(平成14年度!D8:D18)</f>
        <v>504017</v>
      </c>
      <c r="E35" s="94">
        <f>平成13年度!E19+SUM(平成14年度!E8:E18)</f>
        <v>475448</v>
      </c>
      <c r="F35" s="94">
        <f>平成13年度!F19+SUM(平成14年度!F8:F18)</f>
        <v>28569</v>
      </c>
      <c r="G35" s="95">
        <f>平成13年度!G19+SUM(平成14年度!G8:G18)</f>
        <v>80072</v>
      </c>
      <c r="H35" s="92">
        <f>平成13年度!H19+SUM(平成14年度!H8:H18)</f>
        <v>1121607</v>
      </c>
      <c r="I35" s="93">
        <f>平成13年度!I19+SUM(平成14年度!I8:I18)</f>
        <v>944909</v>
      </c>
      <c r="J35" s="94">
        <f>平成13年度!J19+SUM(平成14年度!J8:J18)</f>
        <v>644868</v>
      </c>
      <c r="K35" s="94">
        <f>平成13年度!K19+SUM(平成14年度!K8:K18)</f>
        <v>300041</v>
      </c>
      <c r="L35" s="94">
        <f>平成13年度!L19+SUM(平成14年度!L8:L18)</f>
        <v>176698</v>
      </c>
      <c r="M35" s="94">
        <f>平成13年度!M19+SUM(平成14年度!M8:M18)</f>
        <v>121329</v>
      </c>
      <c r="N35" s="95">
        <f>平成13年度!N19+SUM(平成14年度!N8:N18)</f>
        <v>55369</v>
      </c>
      <c r="O35" s="92"/>
      <c r="P35" s="93"/>
      <c r="Q35" s="95"/>
      <c r="R35" s="92">
        <f>平成13年度!O19+SUM(平成14年度!R8:R18)</f>
        <v>1243508</v>
      </c>
      <c r="S35" s="93">
        <f>平成13年度!P19+SUM(平成14年度!S8:S18)</f>
        <v>3283669</v>
      </c>
      <c r="T35" s="96">
        <f>平成14年度!C35/平成14年度!R35</f>
        <v>0.46971068943665822</v>
      </c>
      <c r="U35" s="97">
        <f>平成14年度!H35/平成14年度!S35</f>
        <v>0.34157127286580957</v>
      </c>
      <c r="V35" s="98">
        <f>平成14年度!L35/平成14年度!H35</f>
        <v>0.15754002961821742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平成14年度!K35/12</f>
        <v>25003.416666666668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2130</v>
      </c>
      <c r="C37" s="102">
        <f>平成14年度!C2+平成14年度!C31</f>
        <v>580276</v>
      </c>
      <c r="D37" s="103">
        <f>平成14年度!D2+平成14年度!D31</f>
        <v>501098</v>
      </c>
      <c r="E37" s="104">
        <f>平成14年度!E2+平成14年度!E31</f>
        <v>472756</v>
      </c>
      <c r="F37" s="104">
        <f>平成14年度!F2+平成14年度!F31</f>
        <v>28342</v>
      </c>
      <c r="G37" s="105">
        <f>平成14年度!G2+平成14年度!G31</f>
        <v>79178</v>
      </c>
      <c r="H37" s="102">
        <f>平成14年度!H2+平成14年度!H31</f>
        <v>1114864</v>
      </c>
      <c r="I37" s="103">
        <f>平成14年度!I2+平成14年度!I31</f>
        <v>940371</v>
      </c>
      <c r="J37" s="104">
        <f>平成14年度!J2+平成14年度!J31</f>
        <v>642328</v>
      </c>
      <c r="K37" s="104">
        <f>平成14年度!K2+平成14年度!K31</f>
        <v>298043</v>
      </c>
      <c r="L37" s="104">
        <f>平成14年度!L2+平成14年度!L31</f>
        <v>174493</v>
      </c>
      <c r="M37" s="104">
        <f>平成14年度!M2+平成14年度!M31</f>
        <v>120047</v>
      </c>
      <c r="N37" s="106">
        <f>平成14年度!N2+平成14年度!N31</f>
        <v>54446</v>
      </c>
      <c r="O37" s="106">
        <f>平成14年度!O2+平成14年度!O31</f>
        <v>340677</v>
      </c>
      <c r="P37" s="106">
        <f>平成14年度!P2+平成14年度!P31</f>
        <v>255518</v>
      </c>
      <c r="Q37" s="106">
        <f>平成14年度!Q2+平成14年度!Q31</f>
        <v>85159</v>
      </c>
      <c r="R37" s="106">
        <f>平成14年度!R2+平成14年度!R31</f>
        <v>1322137</v>
      </c>
      <c r="S37" s="103">
        <f>平成14年度!S2+平成14年度!S31</f>
        <v>3556230</v>
      </c>
      <c r="T37" s="107">
        <f>平成14年度!C37/平成14年度!R37</f>
        <v>0.43889248996132774</v>
      </c>
      <c r="U37" s="107">
        <f>平成14年度!H37/平成14年度!S37</f>
        <v>0.31349603372110352</v>
      </c>
      <c r="V37" s="108">
        <f>平成14年度!L37/平成14年度!H37</f>
        <v>0.15651505475107277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2131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#VALUE!</f>
        <v>#VALUE!</v>
      </c>
      <c r="R38" s="114" t="e">
        <f>#VALUE!</f>
        <v>#VALUE!</v>
      </c>
      <c r="S38" s="111" t="e">
        <f>#VALUE!</f>
        <v>#VALUE!</v>
      </c>
      <c r="T38" s="115" t="e">
        <f>平成14年度!C38/平成14年度!R38</f>
        <v>#VALUE!</v>
      </c>
      <c r="U38" s="115" t="e">
        <f>平成14年度!H38/平成14年度!S38</f>
        <v>#VALUE!</v>
      </c>
      <c r="V38" s="116" t="e">
        <f>平成14年度!L38/平成14年度!H38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2132</v>
      </c>
      <c r="C40" s="1"/>
      <c r="D40" s="1"/>
      <c r="E40" s="1"/>
      <c r="F40" s="1"/>
      <c r="G40" s="1"/>
      <c r="H40" s="1"/>
      <c r="I40" s="1"/>
      <c r="J40" s="1" t="s">
        <v>2133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2134</v>
      </c>
      <c r="D41" s="1" t="s">
        <v>2135</v>
      </c>
      <c r="E41" s="1" t="s">
        <v>2136</v>
      </c>
      <c r="F41" s="1" t="s">
        <v>2137</v>
      </c>
      <c r="G41" s="1"/>
      <c r="H41" s="1"/>
      <c r="I41" s="1"/>
      <c r="J41" s="1"/>
      <c r="K41" s="1" t="s">
        <v>2138</v>
      </c>
      <c r="L41" s="1" t="s">
        <v>2139</v>
      </c>
      <c r="M41" s="1" t="s">
        <v>2140</v>
      </c>
      <c r="N41" s="1" t="s">
        <v>2141</v>
      </c>
      <c r="O41" s="1"/>
      <c r="P41" s="1"/>
      <c r="Q41" s="1"/>
      <c r="R41" s="1" t="s">
        <v>2142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2143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ROUND(+平成14年度!R43*平成14年度!N42,0)</f>
        <v>27605</v>
      </c>
      <c r="S42" s="1" t="s">
        <v>2144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2145</v>
      </c>
      <c r="C43" s="1">
        <f>(+平成９年度!K19+平成10年度!K27)/6</f>
        <v>18744</v>
      </c>
      <c r="D43" s="1">
        <f>(+平成10年度!K19+平成11年度!K27)/6</f>
        <v>20106.166666666668</v>
      </c>
      <c r="E43" s="1">
        <f>(+平成11年度!K19+平成12年度!K27)/6</f>
        <v>21676.833333333332</v>
      </c>
      <c r="F43" s="120">
        <f>ROUND((+平成12年度!K19+平成13年度!K27)/6,0)</f>
        <v>23224</v>
      </c>
      <c r="G43" s="120">
        <f>ROUND((+平成13年度!K19+平成14年度!K27)/6,0)</f>
        <v>24752</v>
      </c>
      <c r="H43" s="1"/>
      <c r="I43" s="1"/>
      <c r="J43" s="1"/>
      <c r="K43" s="1"/>
      <c r="L43" s="1">
        <f>ROUND(+平成14年度!L42/平成14年度!K42,4)</f>
        <v>0.99850000000000005</v>
      </c>
      <c r="M43" s="1">
        <f>ROUND(+平成14年度!M42/平成14年度!L42,4)</f>
        <v>1.0199</v>
      </c>
      <c r="N43" s="1">
        <f>平成14年度!M43</f>
        <v>1.0199</v>
      </c>
      <c r="O43" s="1"/>
      <c r="P43" s="1"/>
      <c r="Q43" s="1"/>
      <c r="R43" s="1">
        <f>ROUND((平成14年度!M43+平成14年度!N43)/2,4)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2146</v>
      </c>
      <c r="C44" s="121"/>
      <c r="D44" s="122">
        <f>平成14年度!D43/平成14年度!C43</f>
        <v>1.0726721439749609</v>
      </c>
      <c r="E44" s="122">
        <f>平成14年度!E43/平成14年度!D43</f>
        <v>1.0781186534811042</v>
      </c>
      <c r="F44" s="123">
        <f>ROUND(+平成14年度!F43/平成14年度!E43,4)</f>
        <v>1.0713999999999999</v>
      </c>
      <c r="G44" s="123">
        <f>ROUND(+平成14年度!G43/平成14年度!F43,4)</f>
        <v>1.0658000000000001</v>
      </c>
      <c r="H44" s="1"/>
      <c r="I44" s="1"/>
      <c r="J44" s="1" t="s">
        <v>2147</v>
      </c>
      <c r="K44" s="1">
        <f>ROUND(+平成14年度!K46/平成14年度!K42,4)</f>
        <v>0.99309999999999998</v>
      </c>
      <c r="L44" s="1">
        <f>ROUND(+平成14年度!L46/平成14年度!L42,4)</f>
        <v>0.99739999999999995</v>
      </c>
      <c r="M44" s="1">
        <f>ROUND(+平成14年度!M46/平成14年度!M42,4)</f>
        <v>1.0001</v>
      </c>
      <c r="N44" s="1">
        <f>平成14年度!M44</f>
        <v>1.0001</v>
      </c>
      <c r="O44" s="1"/>
      <c r="P44" s="1"/>
      <c r="Q44" s="1"/>
      <c r="R44" s="1">
        <f>ROUND((+平成14年度!N44+平成14年度!M44)/2,4)</f>
        <v>1.0001</v>
      </c>
      <c r="S44" s="1"/>
      <c r="T44" s="1"/>
      <c r="U44" s="1"/>
      <c r="V44" s="1"/>
      <c r="W44" s="117"/>
      <c r="X44" s="124" t="s">
        <v>2148</v>
      </c>
      <c r="Y44" s="1"/>
      <c r="Z44" s="125" t="str">
        <f>平成14年度!C3</f>
        <v>平成14年度</v>
      </c>
      <c r="AA44" s="117"/>
      <c r="AB44" s="117"/>
      <c r="AC44" s="117"/>
      <c r="AD44" s="117"/>
      <c r="AE44" s="117"/>
      <c r="AF44" s="117"/>
      <c r="AG44" s="117" t="s">
        <v>2149</v>
      </c>
      <c r="AH44" s="119" t="s">
        <v>2150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2151</v>
      </c>
      <c r="C45" s="1">
        <f>平成10年度!K36</f>
        <v>19061.583333333332</v>
      </c>
      <c r="D45" s="1">
        <f>平成11年度!K36</f>
        <v>20475.5</v>
      </c>
      <c r="E45" s="1">
        <f>平成12年度!K36</f>
        <v>22050</v>
      </c>
      <c r="F45" s="126">
        <f>平成13年度!K36</f>
        <v>23571.333333333332</v>
      </c>
      <c r="G45" s="126">
        <f>ROUND(+平成14年度!F46*平成14年度!G43,0)</f>
        <v>25123</v>
      </c>
      <c r="H45" s="126">
        <f>平成14年度!G45*平成14年度!G47</f>
        <v>26776.093400000002</v>
      </c>
      <c r="I45" s="1"/>
      <c r="J45" s="1"/>
      <c r="K45" s="1"/>
      <c r="L45" s="1"/>
      <c r="M45" s="1"/>
      <c r="N45" s="3">
        <f>ROUND(+平成14年度!N44*平成14年度!N42,0)</f>
        <v>27069</v>
      </c>
      <c r="O45" s="3"/>
      <c r="P45" s="3"/>
      <c r="Q45" s="3"/>
      <c r="R45" s="3">
        <f>ROUND(+平成14年度!R42*平成14年度!R44,0)</f>
        <v>27608</v>
      </c>
      <c r="S45" s="1"/>
      <c r="T45" s="118"/>
      <c r="U45" s="118"/>
      <c r="V45" s="118"/>
      <c r="W45" s="118"/>
      <c r="X45" s="127"/>
      <c r="Y45" s="128" t="s">
        <v>2152</v>
      </c>
      <c r="Z45" s="129" t="s">
        <v>2153</v>
      </c>
      <c r="AA45" s="129" t="s">
        <v>2154</v>
      </c>
      <c r="AB45" s="129" t="s">
        <v>2155</v>
      </c>
      <c r="AC45" s="129" t="s">
        <v>2156</v>
      </c>
      <c r="AD45" s="130" t="s">
        <v>2157</v>
      </c>
      <c r="AE45" s="130" t="s">
        <v>2158</v>
      </c>
      <c r="AF45" s="130" t="s">
        <v>2159</v>
      </c>
      <c r="AG45" s="131" t="s">
        <v>2160</v>
      </c>
      <c r="AH45" s="131" t="s">
        <v>2161</v>
      </c>
      <c r="AI45" s="132" t="s">
        <v>2162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2163</v>
      </c>
      <c r="C46" s="122">
        <f>平成14年度!C45/平成14年度!C43</f>
        <v>1.0169431996016502</v>
      </c>
      <c r="D46" s="122">
        <f>平成14年度!D45/平成14年度!D43</f>
        <v>1.0183691570579507</v>
      </c>
      <c r="E46" s="122">
        <f>平成14年度!E45/平成14年度!E43</f>
        <v>1.0172149991157995</v>
      </c>
      <c r="F46" s="122">
        <f>ROUND(+平成14年度!F45/平成14年度!F43,4)</f>
        <v>1.0149999999999999</v>
      </c>
      <c r="G46" s="122">
        <f>ROUND((+平成14年度!E46+平成14年度!F46)/2,4)</f>
        <v>1.0161</v>
      </c>
      <c r="H46" s="1"/>
      <c r="I46" s="1"/>
      <c r="J46" s="1" t="s">
        <v>2164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2165</v>
      </c>
      <c r="Z46" s="136" t="s">
        <v>2166</v>
      </c>
      <c r="AA46" s="137" t="s">
        <v>2167</v>
      </c>
      <c r="AB46" s="137" t="s">
        <v>2168</v>
      </c>
      <c r="AC46" s="138" t="s">
        <v>2169</v>
      </c>
      <c r="AD46" s="139"/>
      <c r="AE46" s="140" t="s">
        <v>2170</v>
      </c>
      <c r="AF46" s="140" t="s">
        <v>2171</v>
      </c>
      <c r="AG46" s="140" t="s">
        <v>2172</v>
      </c>
      <c r="AH46" s="140" t="s">
        <v>2173</v>
      </c>
      <c r="AI46" s="141" t="s">
        <v>2174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2175</v>
      </c>
      <c r="C47" s="121"/>
      <c r="D47" s="122">
        <f>平成14年度!D45/平成14年度!C45</f>
        <v>1.0741762445407212</v>
      </c>
      <c r="E47" s="122">
        <f>平成14年度!E45/平成14年度!D45</f>
        <v>1.076896779077434</v>
      </c>
      <c r="F47" s="122">
        <f>ROUND(+平成14年度!F45/平成14年度!E45,4)</f>
        <v>1.069</v>
      </c>
      <c r="G47" s="122">
        <f>ROUND(+平成14年度!G45/平成14年度!F45,4)</f>
        <v>1.0658000000000001</v>
      </c>
      <c r="H47" s="1"/>
      <c r="I47" s="1"/>
      <c r="J47" s="1"/>
      <c r="K47" s="1"/>
      <c r="L47" s="1">
        <f>ROUND(+平成14年度!L46/平成14年度!K46,4)</f>
        <v>1.0027999999999999</v>
      </c>
      <c r="M47" s="1">
        <f>ROUND(+平成14年度!M46/平成14年度!L46,4)</f>
        <v>1.0226</v>
      </c>
      <c r="N47" s="1">
        <f>平成14年度!M47</f>
        <v>1.0226</v>
      </c>
      <c r="O47" s="1"/>
      <c r="P47" s="1"/>
      <c r="Q47" s="1"/>
      <c r="R47" s="1">
        <f>平成14年度!N47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平成14年度!M8</f>
        <v>9971</v>
      </c>
      <c r="AE47" s="144" t="s">
        <v>2176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2177</v>
      </c>
      <c r="K48" s="1"/>
      <c r="L48" s="1"/>
      <c r="M48" s="1"/>
      <c r="N48" s="3">
        <f>ROUND(+平成14年度!M46*平成14年度!N47,0)</f>
        <v>27209</v>
      </c>
      <c r="O48" s="3"/>
      <c r="P48" s="3"/>
      <c r="Q48" s="3"/>
      <c r="R48" s="149">
        <f>ROUND(+平成14年度!N48*平成14年度!R47,0)</f>
        <v>27824</v>
      </c>
      <c r="S48" s="1"/>
      <c r="T48" s="1"/>
      <c r="U48" s="1"/>
      <c r="V48" s="1"/>
      <c r="W48" s="117" t="s">
        <v>2178</v>
      </c>
      <c r="X48" s="134" t="s">
        <v>2179</v>
      </c>
      <c r="Y48" s="150">
        <f>平成14年度!C8</f>
        <v>48054</v>
      </c>
      <c r="Z48" s="151">
        <f>平成14年度!H8</f>
        <v>92403</v>
      </c>
      <c r="AA48" s="151">
        <f>平成14年度!Z48-平成14年度!AB48-平成14年度!AC48</f>
        <v>53338</v>
      </c>
      <c r="AB48" s="151">
        <f>平成14年度!K8</f>
        <v>24582</v>
      </c>
      <c r="AC48" s="152">
        <f>平成14年度!AD47+平成14年度!AD48</f>
        <v>14483</v>
      </c>
      <c r="AD48" s="153">
        <f>平成14年度!N8</f>
        <v>4512</v>
      </c>
      <c r="AE48" s="151">
        <f>平成14年度!R8</f>
        <v>109903</v>
      </c>
      <c r="AF48" s="150">
        <f>平成14年度!S8</f>
        <v>295872</v>
      </c>
      <c r="AG48" s="154">
        <f>平成14年度!Y48/+平成14年度!AE48</f>
        <v>0.43724011173489352</v>
      </c>
      <c r="AH48" s="155">
        <f>平成14年度!Z48/+平成14年度!AF48</f>
        <v>0.31230734912394548</v>
      </c>
      <c r="AI48" s="156">
        <f>平成14年度!AC48/+平成14年度!Z48</f>
        <v>0.1567373353678993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 t="s">
        <v>2180</v>
      </c>
      <c r="H49" s="99" t="s">
        <v>2181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2182</v>
      </c>
      <c r="Z49" s="144"/>
      <c r="AA49" s="144"/>
      <c r="AB49" s="144"/>
      <c r="AC49" s="157"/>
      <c r="AD49" s="146">
        <f>平成14年度!M9</f>
        <v>9980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>
        <f>IF(+平成14年度!G45&gt;0,ROUNDUP(+平成14年度!G45,-2),ROUNDDOWN(+平成14年度!G45,-2))</f>
        <v>25200</v>
      </c>
      <c r="H50" s="160">
        <f>IF(+平成14年度!H45&gt;0,ROUNDUP(+平成14年度!H45,-2),ROUNDDOWN(+平成14年度!H45,-2))</f>
        <v>26800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2183</v>
      </c>
      <c r="Y50" s="150">
        <f>平成14年度!C9</f>
        <v>48179</v>
      </c>
      <c r="Z50" s="151">
        <f>平成14年度!H9</f>
        <v>92609</v>
      </c>
      <c r="AA50" s="151">
        <f>平成14年度!Z50-平成14年度!AB50-平成14年度!AC50</f>
        <v>53397</v>
      </c>
      <c r="AB50" s="151">
        <f>平成14年度!K9</f>
        <v>24704</v>
      </c>
      <c r="AC50" s="152">
        <f>平成14年度!AD49+平成14年度!AD50</f>
        <v>14508</v>
      </c>
      <c r="AD50" s="153">
        <f>平成14年度!N9</f>
        <v>4528</v>
      </c>
      <c r="AE50" s="151">
        <f>平成14年度!R9</f>
        <v>110134</v>
      </c>
      <c r="AF50" s="150">
        <f>平成14年度!S9</f>
        <v>296165</v>
      </c>
      <c r="AG50" s="154">
        <f>平成14年度!Y50/+平成14年度!AE50</f>
        <v>0.43745800570214466</v>
      </c>
      <c r="AH50" s="155">
        <f>平成14年度!Z50/+平成14年度!AF50</f>
        <v>0.31269393750105517</v>
      </c>
      <c r="AI50" s="156">
        <f>平成14年度!AC50/+平成14年度!Z50</f>
        <v>0.15665864008897623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 t="s">
        <v>2184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2185</v>
      </c>
      <c r="L51" s="1" t="s">
        <v>2186</v>
      </c>
      <c r="M51" s="1" t="s">
        <v>2187</v>
      </c>
      <c r="N51" s="1" t="s">
        <v>2188</v>
      </c>
      <c r="O51" s="1"/>
      <c r="P51" s="1"/>
      <c r="Q51" s="1"/>
      <c r="R51" s="1" t="s">
        <v>2189</v>
      </c>
      <c r="S51" s="1"/>
      <c r="T51" s="1"/>
      <c r="U51" s="1"/>
      <c r="V51" s="1"/>
      <c r="W51" s="117"/>
      <c r="X51" s="142"/>
      <c r="Y51" s="143" t="s">
        <v>2190</v>
      </c>
      <c r="Z51" s="144" t="s">
        <v>2191</v>
      </c>
      <c r="AA51" s="144" t="s">
        <v>2192</v>
      </c>
      <c r="AB51" s="144"/>
      <c r="AC51" s="145"/>
      <c r="AD51" s="146">
        <f>平成14年度!M10</f>
        <v>10130</v>
      </c>
      <c r="AE51" s="144"/>
      <c r="AF51" s="144"/>
      <c r="AG51" s="147" t="s">
        <v>2193</v>
      </c>
      <c r="AH51" s="147" t="s">
        <v>2194</v>
      </c>
      <c r="AI51" s="148" t="s">
        <v>2195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 t="s">
        <v>2196</v>
      </c>
      <c r="B52" s="1"/>
      <c r="C52" s="1" t="s">
        <v>2197</v>
      </c>
      <c r="D52" s="1" t="s">
        <v>2198</v>
      </c>
      <c r="E52" s="1" t="s">
        <v>2199</v>
      </c>
      <c r="F52" s="1" t="s">
        <v>2200</v>
      </c>
      <c r="G52" s="1" t="s">
        <v>2201</v>
      </c>
      <c r="H52" s="1" t="s">
        <v>2202</v>
      </c>
      <c r="I52" s="1"/>
      <c r="J52" s="1" t="s">
        <v>2203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2204</v>
      </c>
      <c r="Y52" s="150">
        <f>平成14年度!C10</f>
        <v>48309</v>
      </c>
      <c r="Z52" s="151">
        <f>平成14年度!H10</f>
        <v>92813</v>
      </c>
      <c r="AA52" s="151">
        <f>平成14年度!Z52-平成14年度!AB52-平成14年度!AC52</f>
        <v>53237</v>
      </c>
      <c r="AB52" s="151">
        <f>平成14年度!K10</f>
        <v>24842</v>
      </c>
      <c r="AC52" s="152">
        <f>平成14年度!AD51+平成14年度!AD52</f>
        <v>14734</v>
      </c>
      <c r="AD52" s="153">
        <f>平成14年度!N10</f>
        <v>4604</v>
      </c>
      <c r="AE52" s="151">
        <f>平成14年度!R10</f>
        <v>110185</v>
      </c>
      <c r="AF52" s="150">
        <f>平成14年度!S10</f>
        <v>296228</v>
      </c>
      <c r="AG52" s="154">
        <f>平成14年度!Y52/+平成14年度!AE52</f>
        <v>0.43843535871488859</v>
      </c>
      <c r="AH52" s="155">
        <f>平成14年度!Z52/+平成14年度!AF52</f>
        <v>0.31331609435974994</v>
      </c>
      <c r="AI52" s="156">
        <f>平成14年度!AC52/+平成14年度!Z52</f>
        <v>0.15874931313501342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2205</v>
      </c>
      <c r="AB53" s="144"/>
      <c r="AC53" s="157"/>
      <c r="AD53" s="146">
        <f>平成14年度!M11</f>
        <v>10110</v>
      </c>
      <c r="AE53" s="144"/>
      <c r="AF53" s="143"/>
      <c r="AG53" s="158" t="s">
        <v>2206</v>
      </c>
      <c r="AH53" s="147" t="s">
        <v>2207</v>
      </c>
      <c r="AI53" s="159" t="s">
        <v>2208</v>
      </c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 t="s">
        <v>2209</v>
      </c>
      <c r="C54" s="1" t="e">
        <f>ROUND(SUM(+平成９年度!P8:P12)/5,0)</f>
        <v>#VALUE!</v>
      </c>
      <c r="D54" s="1" t="e">
        <f>ROUND(SUM(+平成10年度!P8:P12)/5,0)</f>
        <v>#VALUE!</v>
      </c>
      <c r="E54" s="1" t="e">
        <f>ROUND(SUM(+平成11年度!P8:P12)/5,0)</f>
        <v>#VALUE!</v>
      </c>
      <c r="F54" s="120" t="e">
        <f>ROUND(SUM(+平成12年度!P8:P12)/5,0)</f>
        <v>#VALUE!</v>
      </c>
      <c r="G54" s="120" t="e">
        <f>ROUND(SUM(+平成13年度!P8:P12)/5,0)</f>
        <v>#VALUE!</v>
      </c>
      <c r="H54" s="1" t="e">
        <f>ROUND(SUM(+平成14年度!S8:S12)/5,0)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2210</v>
      </c>
      <c r="Y54" s="150">
        <f>平成14年度!C11</f>
        <v>48571</v>
      </c>
      <c r="Z54" s="151">
        <f>平成14年度!H11</f>
        <v>93283</v>
      </c>
      <c r="AA54" s="151">
        <f>平成14年度!Z54-平成14年度!AB54-平成14年度!AC54</f>
        <v>53598</v>
      </c>
      <c r="AB54" s="151">
        <f>平成14年度!K11</f>
        <v>24955</v>
      </c>
      <c r="AC54" s="152">
        <f>平成14年度!AD53+平成14年度!AD54</f>
        <v>14730</v>
      </c>
      <c r="AD54" s="153">
        <f>平成14年度!N11</f>
        <v>4620</v>
      </c>
      <c r="AE54" s="151">
        <f>平成14年度!R11</f>
        <v>110300</v>
      </c>
      <c r="AF54" s="150">
        <f>平成14年度!S11</f>
        <v>296379</v>
      </c>
      <c r="AG54" s="154">
        <f>平成14年度!Y54/+平成14年度!AE54</f>
        <v>0.44035358114233908</v>
      </c>
      <c r="AH54" s="155">
        <f>平成14年度!Z54/+平成14年度!AF54</f>
        <v>0.31474227256317078</v>
      </c>
      <c r="AI54" s="156">
        <f>平成14年度!AC54/+平成14年度!Z54</f>
        <v>0.15790658533709251</v>
      </c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 t="s">
        <v>2211</v>
      </c>
      <c r="C55" s="121"/>
      <c r="D55" s="122" t="e">
        <f>平成14年度!D54/平成14年度!C54</f>
        <v>#VALUE!</v>
      </c>
      <c r="E55" s="122" t="e">
        <f>平成14年度!E54/平成14年度!D54</f>
        <v>#VALUE!</v>
      </c>
      <c r="F55" s="123" t="e">
        <f>ROUND(+平成14年度!F54/平成14年度!E54,4)</f>
        <v>#VALUE!</v>
      </c>
      <c r="G55" s="123" t="e">
        <f>ROUND(+平成14年度!G54/平成14年度!F54,4)</f>
        <v>#VALUE!</v>
      </c>
      <c r="H55" s="123" t="e">
        <f>ROUND(+平成14年度!H54/平成14年度!G54,4)</f>
        <v>#VALUE!</v>
      </c>
      <c r="I55" s="1"/>
      <c r="J55" s="1" t="s">
        <v>2212</v>
      </c>
      <c r="K55" s="118">
        <v>25949</v>
      </c>
      <c r="L55" s="118">
        <v>26021</v>
      </c>
      <c r="M55" s="118">
        <v>26608</v>
      </c>
      <c r="N55" s="1">
        <f>ROUND(ROUND(+平成14年度!M55/平成14年度!L55,4)*平成14年度!M55,0)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2213</v>
      </c>
      <c r="AB55" s="144"/>
      <c r="AC55" s="145"/>
      <c r="AD55" s="146">
        <f>平成14年度!M12</f>
        <v>10066</v>
      </c>
      <c r="AE55" s="144"/>
      <c r="AF55" s="144"/>
      <c r="AG55" s="147" t="s">
        <v>2214</v>
      </c>
      <c r="AH55" s="147" t="s">
        <v>2215</v>
      </c>
      <c r="AI55" s="148" t="s">
        <v>2216</v>
      </c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 t="s">
        <v>2217</v>
      </c>
      <c r="C56" s="1" t="e">
        <f>平成９年度!P21</f>
        <v>#VALUE!</v>
      </c>
      <c r="D56" s="1" t="e">
        <f>平成10年度!P21</f>
        <v>#VALUE!</v>
      </c>
      <c r="E56" s="1">
        <f>平成11年度!P21</f>
        <v>292958.75</v>
      </c>
      <c r="F56" s="126" t="e">
        <f>平成12年度!P21</f>
        <v>#VALUE!</v>
      </c>
      <c r="G56" s="126" t="e">
        <f>平成13年度!P21</f>
        <v>#VALUE!</v>
      </c>
      <c r="H56" s="126" t="s">
        <v>2218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ROUND(ROUND(+平成14年度!M56/平成14年度!L56,4)*平成14年度!M56,0)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2219</v>
      </c>
      <c r="Y56" s="150">
        <f>平成14年度!C12</f>
        <v>48708</v>
      </c>
      <c r="Z56" s="151">
        <f>平成14年度!H12</f>
        <v>93501</v>
      </c>
      <c r="AA56" s="151">
        <f>平成14年度!Z56-平成14年度!AB56-平成14年度!AC56</f>
        <v>53746</v>
      </c>
      <c r="AB56" s="151">
        <f>平成14年度!K12</f>
        <v>25081</v>
      </c>
      <c r="AC56" s="152">
        <f>平成14年度!AD55+平成14年度!AD56</f>
        <v>14674</v>
      </c>
      <c r="AD56" s="153">
        <f>平成14年度!N12</f>
        <v>4608</v>
      </c>
      <c r="AE56" s="151">
        <f>平成14年度!R12</f>
        <v>110429</v>
      </c>
      <c r="AF56" s="150">
        <f>平成14年度!S12</f>
        <v>296603</v>
      </c>
      <c r="AG56" s="154">
        <f>平成14年度!Y56/+平成14年度!AE56</f>
        <v>0.441079788823588</v>
      </c>
      <c r="AH56" s="155">
        <f>平成14年度!Z56/+平成14年度!AF56</f>
        <v>0.3152395626477143</v>
      </c>
      <c r="AI56" s="156">
        <f>平成14年度!AC56/+平成14年度!Z56</f>
        <v>0.15693949797328371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 t="s">
        <v>2220</v>
      </c>
      <c r="C57" s="122" t="e">
        <f>平成14年度!C56/平成14年度!C54</f>
        <v>#VALUE!</v>
      </c>
      <c r="D57" s="122" t="e">
        <f>平成14年度!D56/平成14年度!D54</f>
        <v>#VALUE!</v>
      </c>
      <c r="E57" s="122" t="e">
        <f>平成14年度!E56/平成14年度!E54</f>
        <v>#VALUE!</v>
      </c>
      <c r="F57" s="122" t="e">
        <f>ROUND(+平成14年度!F56/平成14年度!F54,4)</f>
        <v>#VALUE!</v>
      </c>
      <c r="G57" s="122" t="e">
        <f>ROUND((+平成14年度!E57+平成14年度!F57)/2,4)</f>
        <v>#VALUE!</v>
      </c>
      <c r="H57" s="1"/>
      <c r="I57" s="1"/>
      <c r="J57" s="1" t="s">
        <v>2221</v>
      </c>
      <c r="K57" s="1" t="s">
        <v>2222</v>
      </c>
      <c r="L57" s="1" t="s">
        <v>2223</v>
      </c>
      <c r="M57" s="1" t="s">
        <v>2224</v>
      </c>
      <c r="N57" s="1" t="s">
        <v>2225</v>
      </c>
      <c r="O57" s="1"/>
      <c r="P57" s="1"/>
      <c r="Q57" s="1"/>
      <c r="R57" s="1" t="s">
        <v>2226</v>
      </c>
      <c r="S57" s="1" t="s">
        <v>2227</v>
      </c>
      <c r="T57" s="1"/>
      <c r="U57" s="1"/>
      <c r="V57" s="1"/>
      <c r="W57" s="117"/>
      <c r="X57" s="142"/>
      <c r="Y57" s="143"/>
      <c r="Z57" s="144"/>
      <c r="AA57" s="144" t="s">
        <v>2228</v>
      </c>
      <c r="AB57" s="144"/>
      <c r="AC57" s="145"/>
      <c r="AD57" s="146">
        <f>平成14年度!M13</f>
        <v>10022</v>
      </c>
      <c r="AE57" s="144"/>
      <c r="AF57" s="144"/>
      <c r="AG57" s="147" t="s">
        <v>2229</v>
      </c>
      <c r="AH57" s="147" t="s">
        <v>2230</v>
      </c>
      <c r="AI57" s="148" t="s">
        <v>2231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 t="s">
        <v>2232</v>
      </c>
      <c r="C58" s="121"/>
      <c r="D58" s="122" t="e">
        <f>平成14年度!D56/平成14年度!C56</f>
        <v>#VALUE!</v>
      </c>
      <c r="E58" s="122" t="e">
        <f>平成14年度!E56/平成14年度!D56</f>
        <v>#VALUE!</v>
      </c>
      <c r="F58" s="122" t="e">
        <f>ROUND(+平成14年度!F56/平成14年度!E56,4)</f>
        <v>#VALUE!</v>
      </c>
      <c r="G58" s="122" t="e">
        <f>ROUND(+平成14年度!G56/平成14年度!F56,4)</f>
        <v>#VALUE!</v>
      </c>
      <c r="H58" s="1"/>
      <c r="I58" s="1" t="s">
        <v>2233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2234</v>
      </c>
      <c r="Y58" s="150">
        <f>平成14年度!C13</f>
        <v>48807</v>
      </c>
      <c r="Z58" s="151">
        <f>平成14年度!H13</f>
        <v>93696</v>
      </c>
      <c r="AA58" s="151">
        <f>平成14年度!Z58-平成14年度!AB58-平成14年度!AC58</f>
        <v>53867</v>
      </c>
      <c r="AB58" s="151">
        <f>平成14年度!K13</f>
        <v>25222</v>
      </c>
      <c r="AC58" s="152">
        <f>平成14年度!AD57+平成14年度!AD58</f>
        <v>14607</v>
      </c>
      <c r="AD58" s="153">
        <f>平成14年度!N13</f>
        <v>4585</v>
      </c>
      <c r="AE58" s="151">
        <f>平成14年度!R13</f>
        <v>110515</v>
      </c>
      <c r="AF58" s="150">
        <f>平成14年度!S13</f>
        <v>296651</v>
      </c>
      <c r="AG58" s="154">
        <f>平成14年度!Y58/+平成14年度!AE58</f>
        <v>0.44163235759851605</v>
      </c>
      <c r="AH58" s="155">
        <f>平成14年度!Z58/+平成14年度!AF58</f>
        <v>0.31584589298535992</v>
      </c>
      <c r="AI58" s="156">
        <f>平成14年度!AC58/+平成14年度!Z58</f>
        <v>0.15589779713114754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ROUND(+平成14年度!K58/平成14年度!J58,4)</f>
        <v>0.99309999999999998</v>
      </c>
      <c r="L59" s="36">
        <f>ROUND(+平成14年度!L58/平成14年度!K58,4)</f>
        <v>1.0054000000000001</v>
      </c>
      <c r="M59" s="36">
        <f>ROUND(+平成14年度!M58/平成14年度!L58,4)</f>
        <v>0.99739999999999995</v>
      </c>
      <c r="N59" s="36">
        <f>ROUND(+平成14年度!N58/平成14年度!M58,4)</f>
        <v>1.0225</v>
      </c>
      <c r="O59" s="36"/>
      <c r="P59" s="36"/>
      <c r="Q59" s="36"/>
      <c r="R59" s="36">
        <f>ROUND(+平成14年度!R58/平成14年度!N58,4)</f>
        <v>1.0001</v>
      </c>
      <c r="S59" s="36">
        <f>ROUND(+平成14年度!S58/平成14年度!R58,4)</f>
        <v>1.0172000000000001</v>
      </c>
      <c r="T59" s="1"/>
      <c r="U59" s="1"/>
      <c r="V59" s="1" t="s">
        <v>2235</v>
      </c>
      <c r="W59" s="117"/>
      <c r="X59" s="142"/>
      <c r="Y59" s="143"/>
      <c r="Z59" s="144"/>
      <c r="AA59" s="144" t="s">
        <v>2236</v>
      </c>
      <c r="AB59" s="144"/>
      <c r="AC59" s="145"/>
      <c r="AD59" s="146">
        <f>平成14年度!M14</f>
        <v>10144</v>
      </c>
      <c r="AE59" s="144"/>
      <c r="AF59" s="144"/>
      <c r="AG59" s="147" t="s">
        <v>2237</v>
      </c>
      <c r="AH59" s="147" t="s">
        <v>2238</v>
      </c>
      <c r="AI59" s="148" t="s">
        <v>2239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 t="e">
        <f>平成14年度!C57*平成14年度!D54</f>
        <v>#VALUE!</v>
      </c>
      <c r="E60" s="1" t="e">
        <f>平成14年度!D57*平成14年度!E54</f>
        <v>#VALUE!</v>
      </c>
      <c r="F60" s="1" t="e">
        <f>平成14年度!E57*平成14年度!F54</f>
        <v>#VALUE!</v>
      </c>
      <c r="G60" s="1" t="e">
        <f>平成14年度!F57*平成14年度!G54</f>
        <v>#VALUE!</v>
      </c>
      <c r="H60" s="162" t="e">
        <f>IF(+平成14年度!G57*平成14年度!H54&gt;0,ROUNDDOWN(+平成14年度!G57*平成14年度!H54,-2),ROUNDUP(+平成14年度!G57*平成14年度!H54,-2))</f>
        <v>#VALUE!</v>
      </c>
      <c r="I60" s="1" t="s">
        <v>2240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2241</v>
      </c>
      <c r="Y60" s="150">
        <f>平成14年度!C14</f>
        <v>49073</v>
      </c>
      <c r="Z60" s="151">
        <f>平成14年度!H14</f>
        <v>94207</v>
      </c>
      <c r="AA60" s="151">
        <f>平成14年度!Z60-平成14年度!AB60-平成14年度!AC60</f>
        <v>54014</v>
      </c>
      <c r="AB60" s="151">
        <f>平成14年度!K14</f>
        <v>25397</v>
      </c>
      <c r="AC60" s="152">
        <f>平成14年度!AD59+平成14年度!AD60</f>
        <v>14796</v>
      </c>
      <c r="AD60" s="153">
        <f>平成14年度!N14</f>
        <v>4652</v>
      </c>
      <c r="AE60" s="151">
        <f>平成14年度!R14</f>
        <v>110676</v>
      </c>
      <c r="AF60" s="150">
        <f>平成14年度!S14</f>
        <v>296783</v>
      </c>
      <c r="AG60" s="154">
        <f>平成14年度!Y60/+平成14年度!AE60</f>
        <v>0.44339332827351913</v>
      </c>
      <c r="AH60" s="155">
        <f>平成14年度!Z60/+平成14年度!AF60</f>
        <v>0.31742721112732197</v>
      </c>
      <c r="AI60" s="156">
        <f>平成14年度!AC60/+平成14年度!Z60</f>
        <v>0.15705839268844141</v>
      </c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ROUND(+平成14年度!K60/平成14年度!J60,4)</f>
        <v>0.99850000000000005</v>
      </c>
      <c r="L61" s="36">
        <f>ROUND(+平成14年度!L60/平成14年度!K60,4)</f>
        <v>1.0005999999999999</v>
      </c>
      <c r="M61" s="36">
        <f>ROUND(+平成14年度!M60/平成14年度!L60,4)</f>
        <v>1.0077</v>
      </c>
      <c r="N61" s="36">
        <f>ROUND(+平成14年度!N60/平成14年度!M60,4)</f>
        <v>1.0170999999999999</v>
      </c>
      <c r="O61" s="36"/>
      <c r="P61" s="36"/>
      <c r="Q61" s="36"/>
      <c r="R61" s="36">
        <f>ROUND(+平成14年度!R60/平成14年度!N60,4)</f>
        <v>1.0059</v>
      </c>
      <c r="S61" s="36">
        <f>ROUND(+平成14年度!S60/平成14年度!R60,4)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2242</v>
      </c>
      <c r="AB61" s="144"/>
      <c r="AC61" s="145"/>
      <c r="AD61" s="146">
        <f>平成14年度!M15</f>
        <v>10171</v>
      </c>
      <c r="AE61" s="144"/>
      <c r="AF61" s="144"/>
      <c r="AG61" s="147" t="s">
        <v>2243</v>
      </c>
      <c r="AH61" s="147" t="s">
        <v>2244</v>
      </c>
      <c r="AI61" s="148" t="s">
        <v>2245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 t="s">
        <v>2246</v>
      </c>
      <c r="B62" s="1"/>
      <c r="C62" s="1" t="s">
        <v>2247</v>
      </c>
      <c r="D62" s="1" t="s">
        <v>2248</v>
      </c>
      <c r="E62" s="1" t="s">
        <v>2249</v>
      </c>
      <c r="F62" s="1" t="s">
        <v>2250</v>
      </c>
      <c r="G62" s="1" t="s">
        <v>2251</v>
      </c>
      <c r="H62" s="1" t="s">
        <v>2252</v>
      </c>
      <c r="I62" s="1" t="s">
        <v>2253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2254</v>
      </c>
      <c r="Y62" s="150">
        <f>平成14年度!C15</f>
        <v>49123</v>
      </c>
      <c r="Z62" s="151">
        <f>平成14年度!H15</f>
        <v>94275</v>
      </c>
      <c r="AA62" s="151">
        <f>平成14年度!Z62-平成14年度!AB62-平成14年度!AC62</f>
        <v>54102</v>
      </c>
      <c r="AB62" s="151">
        <f>平成14年度!K15</f>
        <v>25346</v>
      </c>
      <c r="AC62" s="152">
        <f>平成14年度!AD61+平成14年度!AD62</f>
        <v>14827</v>
      </c>
      <c r="AD62" s="153">
        <f>平成14年度!N15</f>
        <v>4656</v>
      </c>
      <c r="AE62" s="151">
        <f>平成14年度!R15</f>
        <v>110769</v>
      </c>
      <c r="AF62" s="150">
        <f>平成14年度!S15</f>
        <v>296896</v>
      </c>
      <c r="AG62" s="154">
        <f>平成14年度!Y62/+平成14年度!AE62</f>
        <v>0.44347245167871879</v>
      </c>
      <c r="AH62" s="155">
        <f>平成14年度!Z62/+平成14年度!AF62</f>
        <v>0.31753543328303513</v>
      </c>
      <c r="AI62" s="156">
        <f>平成14年度!AC62/+平成14年度!Z62</f>
        <v>0.15727393264386105</v>
      </c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ROUND(+平成14年度!K62/平成14年度!J62,4)</f>
        <v>1.0068999999999999</v>
      </c>
      <c r="L63" s="36">
        <f>ROUND(+平成14年度!L62/平成14年度!K62,4)</f>
        <v>1.0145</v>
      </c>
      <c r="M63" s="36">
        <f>ROUND(+平成14年度!M62/平成14年度!L62,4)</f>
        <v>1.0133000000000001</v>
      </c>
      <c r="N63" s="36">
        <f>ROUND(+平成14年度!N62/平成14年度!M62,4)</f>
        <v>1.0256000000000001</v>
      </c>
      <c r="O63" s="36"/>
      <c r="P63" s="36"/>
      <c r="Q63" s="36"/>
      <c r="R63" s="36">
        <f>ROUND(+平成14年度!R62/平成14年度!N62,4)</f>
        <v>1.0128999999999999</v>
      </c>
      <c r="S63" s="36">
        <f>ROUND(+平成14年度!S62/平成14年度!R62,4)</f>
        <v>1.0219</v>
      </c>
      <c r="T63" s="1"/>
      <c r="U63" s="1"/>
      <c r="V63" s="1"/>
      <c r="W63" s="117"/>
      <c r="X63" s="142"/>
      <c r="Y63" s="143" t="s">
        <v>2255</v>
      </c>
      <c r="Z63" s="144"/>
      <c r="AA63" s="144" t="s">
        <v>2256</v>
      </c>
      <c r="AB63" s="144"/>
      <c r="AC63" s="157"/>
      <c r="AD63" s="146">
        <f>平成14年度!M16</f>
        <v>10215</v>
      </c>
      <c r="AE63" s="144"/>
      <c r="AF63" s="143"/>
      <c r="AG63" s="158" t="s">
        <v>2257</v>
      </c>
      <c r="AH63" s="147" t="s">
        <v>2258</v>
      </c>
      <c r="AI63" s="159" t="s">
        <v>2259</v>
      </c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 t="s">
        <v>2260</v>
      </c>
      <c r="C64" s="1" t="e">
        <f>ROUND(SUM(+平成９年度!O8:O12)/5,0)</f>
        <v>#VALUE!</v>
      </c>
      <c r="D64" s="1" t="e">
        <f>ROUND(SUM(+平成10年度!O8:O12)/5,0)</f>
        <v>#VALUE!</v>
      </c>
      <c r="E64" s="1" t="e">
        <f>ROUND(SUM(+平成11年度!O8:O12)/5,0)</f>
        <v>#VALUE!</v>
      </c>
      <c r="F64" s="120" t="e">
        <f>ROUND(SUM(+平成12年度!O8:O12)/5,0)</f>
        <v>#VALUE!</v>
      </c>
      <c r="G64" s="120" t="e">
        <f>ROUND(SUM(+平成13年度!O8:O12)/5,0)</f>
        <v>#VALUE!</v>
      </c>
      <c r="H64" s="1" t="e">
        <f>ROUND(SUM(+平成14年度!R8:R12)/5,0)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2261</v>
      </c>
      <c r="Y64" s="150">
        <f>平成14年度!C16</f>
        <v>49226</v>
      </c>
      <c r="Z64" s="151">
        <f>平成14年度!H16</f>
        <v>94411</v>
      </c>
      <c r="AA64" s="151">
        <f>平成14年度!Z64-平成14年度!AB64-平成14年度!AC64</f>
        <v>54227</v>
      </c>
      <c r="AB64" s="151">
        <f>平成14年度!K16</f>
        <v>25288</v>
      </c>
      <c r="AC64" s="152">
        <f>平成14年度!AD63+平成14年度!AD64</f>
        <v>14896</v>
      </c>
      <c r="AD64" s="153">
        <f>平成14年度!N16</f>
        <v>4681</v>
      </c>
      <c r="AE64" s="151">
        <f>平成14年度!R16</f>
        <v>110873</v>
      </c>
      <c r="AF64" s="150">
        <f>平成14年度!S16</f>
        <v>297031</v>
      </c>
      <c r="AG64" s="154">
        <f>平成14年度!Y64/+平成14年度!AE64</f>
        <v>0.44398546084258567</v>
      </c>
      <c r="AH64" s="155">
        <f>平成14年度!Z64/+平成14年度!AF64</f>
        <v>0.31784897872612622</v>
      </c>
      <c r="AI64" s="156">
        <f>平成14年度!AC64/+平成14年度!Z64</f>
        <v>0.1577782249949688</v>
      </c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 t="s">
        <v>2262</v>
      </c>
      <c r="C65" s="121"/>
      <c r="D65" s="122" t="e">
        <f>平成14年度!D64/平成14年度!C64</f>
        <v>#VALUE!</v>
      </c>
      <c r="E65" s="122" t="e">
        <f>平成14年度!E64/平成14年度!D64</f>
        <v>#VALUE!</v>
      </c>
      <c r="F65" s="123" t="e">
        <f>ROUND(+平成14年度!F64/平成14年度!E64,4)</f>
        <v>#VALUE!</v>
      </c>
      <c r="G65" s="123" t="e">
        <f>ROUND(+平成14年度!G64/平成14年度!F64,4)</f>
        <v>#VALUE!</v>
      </c>
      <c r="H65" s="123" t="e">
        <f>ROUND(+平成14年度!H64/平成14年度!G64,4)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2263</v>
      </c>
      <c r="Z65" s="144"/>
      <c r="AA65" s="144" t="s">
        <v>2264</v>
      </c>
      <c r="AB65" s="144"/>
      <c r="AC65" s="157"/>
      <c r="AD65" s="146">
        <f>平成14年度!M17</f>
        <v>10280</v>
      </c>
      <c r="AE65" s="144"/>
      <c r="AF65" s="143"/>
      <c r="AG65" s="158" t="s">
        <v>2265</v>
      </c>
      <c r="AH65" s="147" t="s">
        <v>2266</v>
      </c>
      <c r="AI65" s="159" t="s">
        <v>2267</v>
      </c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 t="s">
        <v>2268</v>
      </c>
      <c r="C66" s="1" t="e">
        <f>平成９年度!O21</f>
        <v>#VALUE!</v>
      </c>
      <c r="D66" s="1" t="e">
        <f>平成10年度!O21</f>
        <v>#VALUE!</v>
      </c>
      <c r="E66" s="1">
        <f>平成11年度!O21</f>
        <v>105725.41666666667</v>
      </c>
      <c r="F66" s="126">
        <f>平成12年度!O21</f>
        <v>27409.75</v>
      </c>
      <c r="G66" s="126">
        <f>平成13年度!O21</f>
        <v>27918.666666666668</v>
      </c>
      <c r="H66" s="126" t="s">
        <v>2269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2270</v>
      </c>
      <c r="Y66" s="150">
        <f>平成14年度!C17</f>
        <v>49197</v>
      </c>
      <c r="Z66" s="151">
        <f>平成14年度!H17</f>
        <v>94428</v>
      </c>
      <c r="AA66" s="151">
        <f>平成14年度!Z66-平成14年度!AB66-平成14年度!AC66</f>
        <v>54245</v>
      </c>
      <c r="AB66" s="151">
        <f>平成14年度!K17</f>
        <v>25176</v>
      </c>
      <c r="AC66" s="152">
        <f>平成14年度!AD65+平成14年度!AD66</f>
        <v>15007</v>
      </c>
      <c r="AD66" s="153">
        <f>平成14年度!N17</f>
        <v>4727</v>
      </c>
      <c r="AE66" s="151">
        <f>平成14年度!R17</f>
        <v>110888</v>
      </c>
      <c r="AF66" s="150">
        <f>平成14年度!S17</f>
        <v>296946</v>
      </c>
      <c r="AG66" s="154">
        <f>平成14年度!Y66/+平成14年度!AE66</f>
        <v>0.44366387706514682</v>
      </c>
      <c r="AH66" s="155">
        <f>平成14年度!Z66/+平成14年度!AF66</f>
        <v>0.31799721161423289</v>
      </c>
      <c r="AI66" s="156">
        <f>平成14年度!AC66/+平成14年度!Z66</f>
        <v>0.15892531876138433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 t="s">
        <v>2271</v>
      </c>
      <c r="C67" s="122" t="e">
        <f>平成14年度!C66/平成14年度!C64</f>
        <v>#VALUE!</v>
      </c>
      <c r="D67" s="122" t="e">
        <f>平成14年度!D66/平成14年度!D64</f>
        <v>#VALUE!</v>
      </c>
      <c r="E67" s="122" t="e">
        <f>平成14年度!E66/平成14年度!E64</f>
        <v>#VALUE!</v>
      </c>
      <c r="F67" s="122" t="e">
        <f>ROUND(+平成14年度!F66/平成14年度!F64,4)</f>
        <v>#VALUE!</v>
      </c>
      <c r="G67" s="122" t="e">
        <f>ROUND((+平成14年度!E67+平成14年度!F67)/2,4)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2272</v>
      </c>
      <c r="Z67" s="144" t="s">
        <v>2273</v>
      </c>
      <c r="AA67" s="144" t="s">
        <v>2274</v>
      </c>
      <c r="AB67" s="144"/>
      <c r="AC67" s="157"/>
      <c r="AD67" s="146">
        <f>平成14年度!M18</f>
        <v>10458</v>
      </c>
      <c r="AE67" s="144"/>
      <c r="AF67" s="143"/>
      <c r="AG67" s="158" t="s">
        <v>2275</v>
      </c>
      <c r="AH67" s="147" t="s">
        <v>2276</v>
      </c>
      <c r="AI67" s="159" t="s">
        <v>2277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 t="s">
        <v>2278</v>
      </c>
      <c r="C68" s="121"/>
      <c r="D68" s="122" t="e">
        <f>平成14年度!D66/平成14年度!C66</f>
        <v>#VALUE!</v>
      </c>
      <c r="E68" s="122" t="e">
        <f>平成14年度!E66/平成14年度!D66</f>
        <v>#VALUE!</v>
      </c>
      <c r="F68" s="122">
        <f>ROUND(+平成14年度!F66/平成14年度!E66,4)</f>
        <v>0.25929999999999997</v>
      </c>
      <c r="G68" s="122">
        <f>ROUND(+平成14年度!G66/平成14年度!F66,4)</f>
        <v>1.0185999999999999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2279</v>
      </c>
      <c r="Y68" s="150">
        <f>平成14年度!C18</f>
        <v>49340</v>
      </c>
      <c r="Z68" s="151">
        <f>平成14年度!H18</f>
        <v>94618</v>
      </c>
      <c r="AA68" s="151">
        <f>平成14年度!Z68-平成14年度!AB68-平成14年度!AC68</f>
        <v>54228</v>
      </c>
      <c r="AB68" s="151">
        <f>平成14年度!K18</f>
        <v>25103</v>
      </c>
      <c r="AC68" s="152">
        <f>平成14年度!AD67+平成14年度!AD68</f>
        <v>15287</v>
      </c>
      <c r="AD68" s="153">
        <f>平成14年度!N18</f>
        <v>4829</v>
      </c>
      <c r="AE68" s="151">
        <f>平成14年度!R18</f>
        <v>111012</v>
      </c>
      <c r="AF68" s="150">
        <f>平成14年度!S18</f>
        <v>297096</v>
      </c>
      <c r="AG68" s="154">
        <f>平成14年度!Y68/+平成14年度!AE68</f>
        <v>0.44445645515800092</v>
      </c>
      <c r="AH68" s="155">
        <f>平成14年度!Z68/+平成14年度!AF68</f>
        <v>0.31847618278266959</v>
      </c>
      <c r="AI68" s="156">
        <f>平成14年度!AC68/+平成14年度!Z68</f>
        <v>0.16156545266228414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2280</v>
      </c>
      <c r="AB69" s="144"/>
      <c r="AC69" s="157"/>
      <c r="AD69" s="146">
        <f>平成14年度!M19</f>
        <v>10527</v>
      </c>
      <c r="AE69" s="144"/>
      <c r="AF69" s="143"/>
      <c r="AG69" s="158" t="s">
        <v>2281</v>
      </c>
      <c r="AH69" s="147" t="s">
        <v>2282</v>
      </c>
      <c r="AI69" s="159" t="s">
        <v>2283</v>
      </c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 t="e">
        <f>平成14年度!C67*平成14年度!D64</f>
        <v>#VALUE!</v>
      </c>
      <c r="E70" s="1" t="e">
        <f>平成14年度!D67*平成14年度!E64</f>
        <v>#VALUE!</v>
      </c>
      <c r="F70" s="1" t="e">
        <f>平成14年度!E67*平成14年度!F64</f>
        <v>#VALUE!</v>
      </c>
      <c r="G70" s="1" t="e">
        <f>平成14年度!F67*平成14年度!G64</f>
        <v>#VALUE!</v>
      </c>
      <c r="H70" s="162" t="e">
        <f>IF(+平成14年度!G67*平成14年度!H64&gt;0,ROUNDDOWN(+平成14年度!G67*平成14年度!H64,-2),ROUNDUP(+平成14年度!G67*平成14年度!H64,-2))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2284</v>
      </c>
      <c r="Y70" s="150">
        <f>平成14年度!C19</f>
        <v>49426</v>
      </c>
      <c r="Z70" s="151">
        <f>平成14年度!H19</f>
        <v>94728</v>
      </c>
      <c r="AA70" s="151">
        <f>平成14年度!Z70-平成14年度!AB70-平成14年度!AC70</f>
        <v>54315</v>
      </c>
      <c r="AB70" s="151">
        <f>平成14年度!K19</f>
        <v>25035</v>
      </c>
      <c r="AC70" s="152">
        <f>平成14年度!AD69+平成14年度!AD70</f>
        <v>15378</v>
      </c>
      <c r="AD70" s="153">
        <f>平成14年度!N19</f>
        <v>4851</v>
      </c>
      <c r="AE70" s="151">
        <f>平成14年度!R19</f>
        <v>111045</v>
      </c>
      <c r="AF70" s="150">
        <f>平成14年度!S19</f>
        <v>296563</v>
      </c>
      <c r="AG70" s="154">
        <f>平成14年度!Y70/+平成14年度!AE70</f>
        <v>0.44509883380611465</v>
      </c>
      <c r="AH70" s="155">
        <f>平成14年度!Z70/+平成14年度!AF70</f>
        <v>0.31941948253828023</v>
      </c>
      <c r="AI70" s="156">
        <f>平成14年度!AC70/+平成14年度!Z70</f>
        <v>0.16233848492525968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2285</v>
      </c>
      <c r="Y71" s="143" t="s">
        <v>2286</v>
      </c>
      <c r="Z71" s="144" t="s">
        <v>2287</v>
      </c>
      <c r="AA71" s="144" t="s">
        <v>2288</v>
      </c>
      <c r="AB71" s="144" t="s">
        <v>2289</v>
      </c>
      <c r="AC71" s="157" t="s">
        <v>2290</v>
      </c>
      <c r="AD71" s="146">
        <f>平成14年度!AD47+平成14年度!AD49+平成14年度!AD51+平成14年度!AD53+平成14年度!AD55+平成14年度!AD57+平成14年度!AD59+平成14年度!AD61+平成14年度!AD63+平成14年度!AD65+平成14年度!AD67+平成14年度!AD69</f>
        <v>122074</v>
      </c>
      <c r="AE71" s="144" t="s">
        <v>2291</v>
      </c>
      <c r="AF71" s="143" t="s">
        <v>2292</v>
      </c>
      <c r="AG71" s="158" t="s">
        <v>2293</v>
      </c>
      <c r="AH71" s="147" t="s">
        <v>2294</v>
      </c>
      <c r="AI71" s="159" t="s">
        <v>2295</v>
      </c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2296</v>
      </c>
      <c r="Y72" s="150">
        <f>SUM(平成14年度!Y48:Y70)</f>
        <v>586013</v>
      </c>
      <c r="Z72" s="151">
        <f>SUM(平成14年度!Z48:Z70)</f>
        <v>1124972</v>
      </c>
      <c r="AA72" s="151">
        <f>SUM(平成14年度!AA48:AA70)</f>
        <v>646314</v>
      </c>
      <c r="AB72" s="151">
        <f>SUM(平成14年度!AB48:AB70)</f>
        <v>300731</v>
      </c>
      <c r="AC72" s="152">
        <f>SUM(平成14年度!AC48:AC70)</f>
        <v>177927</v>
      </c>
      <c r="AD72" s="153">
        <f>平成14年度!AD48+平成14年度!AD50+平成14年度!AD52+平成14年度!AD54+平成14年度!AD56+平成14年度!AD58+平成14年度!AD60+平成14年度!AD62+平成14年度!AD64+平成14年度!AD66+平成14年度!AD68+平成14年度!AD70</f>
        <v>55853</v>
      </c>
      <c r="AE72" s="150">
        <f>SUM(平成14年度!AE48:AE70)</f>
        <v>1326729</v>
      </c>
      <c r="AF72" s="151">
        <f>SUM(平成14年度!AF48:AF70)</f>
        <v>3559213</v>
      </c>
      <c r="AG72" s="154">
        <f>平成14年度!Y72/+平成14年度!AE72</f>
        <v>0.44169758858063701</v>
      </c>
      <c r="AH72" s="155">
        <f>平成14年度!Z72/+平成14年度!AF72</f>
        <v>0.31607324428181172</v>
      </c>
      <c r="AI72" s="156">
        <f>平成14年度!AC72/+平成14年度!Z72</f>
        <v>0.15816126979160369</v>
      </c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2297</v>
      </c>
      <c r="Y73" s="143" t="s">
        <v>2298</v>
      </c>
      <c r="Z73" s="144" t="s">
        <v>2299</v>
      </c>
      <c r="AA73" s="144" t="e">
        <f>平成14年度!AA74+平成14年度!AB74</f>
        <v>#VALUE!</v>
      </c>
      <c r="AB73" s="144" t="s">
        <v>2300</v>
      </c>
      <c r="AC73" s="157" t="s">
        <v>2301</v>
      </c>
      <c r="AD73" s="146" t="e">
        <f>#VALUE!</f>
        <v>#VALUE!</v>
      </c>
      <c r="AE73" s="144" t="s">
        <v>2302</v>
      </c>
      <c r="AF73" s="143" t="s">
        <v>2303</v>
      </c>
      <c r="AG73" s="158" t="s">
        <v>2304</v>
      </c>
      <c r="AH73" s="147" t="s">
        <v>2305</v>
      </c>
      <c r="AI73" s="159" t="s">
        <v>2306</v>
      </c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 t="s">
        <v>2307</v>
      </c>
      <c r="D74" s="1" t="s">
        <v>2308</v>
      </c>
      <c r="E74" s="1" t="s">
        <v>2309</v>
      </c>
      <c r="F74" s="1" t="s">
        <v>2310</v>
      </c>
      <c r="G74" s="1" t="s">
        <v>2311</v>
      </c>
      <c r="H74" s="1" t="s">
        <v>2312</v>
      </c>
      <c r="I74" s="1" t="s">
        <v>2313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2314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平成14年度!Y74/+平成14年度!AE74</f>
        <v>#VALUE!</v>
      </c>
      <c r="AH74" s="170" t="e">
        <f>平成14年度!Z74/+平成14年度!AF74</f>
        <v>#VALUE!</v>
      </c>
      <c r="AI74" s="171" t="e">
        <f>平成14年度!AC74/+平成14年度!Z74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 t="s">
        <v>2315</v>
      </c>
      <c r="B75" s="1">
        <v>1</v>
      </c>
      <c r="C75" s="1">
        <f>平成８年度!H19</f>
        <v>76694</v>
      </c>
      <c r="D75" s="1">
        <f>平成９年度!H19</f>
        <v>78843</v>
      </c>
      <c r="E75" s="1">
        <f>平成10年度!H19</f>
        <v>81903</v>
      </c>
      <c r="F75" s="1">
        <f>平成11年度!H19</f>
        <v>85006</v>
      </c>
      <c r="G75" s="1">
        <f>平成12年度!H19</f>
        <v>87854</v>
      </c>
      <c r="H75" s="1">
        <f>平成13年度!H19</f>
        <v>91363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2316</v>
      </c>
      <c r="X75" s="127" t="s">
        <v>2317</v>
      </c>
      <c r="Y75" s="173"/>
      <c r="Z75" s="174"/>
      <c r="AA75" s="174"/>
      <c r="AB75" s="174"/>
      <c r="AC75" s="175"/>
      <c r="AD75" s="176">
        <f>平成14年度!M2+平成14年度!AD47+平成14年度!AD49+平成14年度!AD51+平成14年度!AD53+平成14年度!AD55+平成14年度!AD57+平成14年度!AD59+平成14年度!AD61+平成14年度!AD63</f>
        <v>120047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 t="s">
        <v>2318</v>
      </c>
      <c r="B76" s="1">
        <v>2</v>
      </c>
      <c r="C76" s="1">
        <f>平成14年度!C75+平成14年度!C77</f>
        <v>463287</v>
      </c>
      <c r="D76" s="1">
        <f>平成14年度!D75+平成14年度!D77</f>
        <v>478663</v>
      </c>
      <c r="E76" s="1">
        <f>平成14年度!E75+平成14年度!E77</f>
        <v>497118</v>
      </c>
      <c r="F76" s="1">
        <f>平成14年度!F75+平成14年度!F77</f>
        <v>515553</v>
      </c>
      <c r="G76" s="1">
        <f>平成14年度!G75+平成14年度!G77</f>
        <v>534452</v>
      </c>
      <c r="H76" s="1">
        <f>平成14年度!H75+平成14年度!H77</f>
        <v>555972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2319</v>
      </c>
      <c r="X76" s="134" t="s">
        <v>2320</v>
      </c>
      <c r="Y76" s="181">
        <f>平成14年度!C2+SUM(平成14年度!Y48:Y64)</f>
        <v>580276</v>
      </c>
      <c r="Z76" s="182">
        <f>平成14年度!H2+SUM(平成14年度!Z48:Z64)</f>
        <v>1114864</v>
      </c>
      <c r="AA76" s="182">
        <f>平成14年度!J2+SUM(平成14年度!AA48:AA64)</f>
        <v>642328</v>
      </c>
      <c r="AB76" s="182">
        <f>平成14年度!K2+SUM(平成14年度!AB48:AB64)</f>
        <v>298043</v>
      </c>
      <c r="AC76" s="183">
        <f>平成14年度!L2+SUM(平成14年度!AC48:AC64)</f>
        <v>174493</v>
      </c>
      <c r="AD76" s="184">
        <f>平成14年度!N2+平成14年度!AD48+平成14年度!AD50+平成14年度!AD52+平成14年度!AD54+平成14年度!AD56+平成14年度!AD58+平成14年度!AD60+平成14年度!AD62+平成14年度!AD64</f>
        <v>54446</v>
      </c>
      <c r="AE76" s="181">
        <f>平成14年度!R2+SUM(平成14年度!AE48:AE64)</f>
        <v>1322137</v>
      </c>
      <c r="AF76" s="182">
        <f>平成14年度!S2+SUM(平成14年度!AF48:AF64)</f>
        <v>3556230</v>
      </c>
      <c r="AG76" s="185">
        <f>平成14年度!Y76/+平成14年度!AE76</f>
        <v>0.43889248996132774</v>
      </c>
      <c r="AH76" s="186">
        <f>平成14年度!Z76/+平成14年度!AF76</f>
        <v>0.31349603372110352</v>
      </c>
      <c r="AI76" s="187">
        <f>平成14年度!AC76/+平成14年度!Z76</f>
        <v>0.15651505475107277</v>
      </c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 t="s">
        <v>2321</v>
      </c>
      <c r="B77" s="1">
        <v>3</v>
      </c>
      <c r="C77" s="1">
        <f>平成９年度!H27</f>
        <v>386593</v>
      </c>
      <c r="D77" s="1">
        <f>平成10年度!H27</f>
        <v>399820</v>
      </c>
      <c r="E77" s="1">
        <f>平成11年度!H27</f>
        <v>415215</v>
      </c>
      <c r="F77" s="1">
        <f>平成12年度!H27</f>
        <v>430547</v>
      </c>
      <c r="G77" s="1">
        <f>平成13年度!H27</f>
        <v>446598</v>
      </c>
      <c r="H77" s="1">
        <f>平成14年度!H27</f>
        <v>464609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2322</v>
      </c>
      <c r="X77" s="142" t="s">
        <v>2323</v>
      </c>
      <c r="Y77" s="189"/>
      <c r="Z77" s="190"/>
      <c r="AA77" s="190" t="e">
        <f>平成14年度!AA78+平成14年度!AB78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 t="s">
        <v>2324</v>
      </c>
      <c r="B78" s="1">
        <v>4</v>
      </c>
      <c r="C78" s="1">
        <f>平成９年度!H20</f>
        <v>934976</v>
      </c>
      <c r="D78" s="1">
        <f>平成10年度!H20</f>
        <v>969433</v>
      </c>
      <c r="E78" s="1">
        <f>平成11年度!H20</f>
        <v>1006175</v>
      </c>
      <c r="F78" s="1">
        <f>平成12年度!H20</f>
        <v>1041789</v>
      </c>
      <c r="G78" s="1">
        <f>平成13年度!H20</f>
        <v>1082473</v>
      </c>
      <c r="H78" s="1">
        <f>平成14年度!H20</f>
        <v>1124972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2325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平成14年度!Y78/+平成14年度!AE78</f>
        <v>#VALUE!</v>
      </c>
      <c r="AH78" s="202" t="e">
        <f>平成14年度!Z78/+平成14年度!AF78</f>
        <v>#VALUE!</v>
      </c>
      <c r="AI78" s="203" t="e">
        <f>平成14年度!AC78/+平成14年度!Z78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 t="e">
        <f>平成９年度!H21</f>
        <v>#VALUE!</v>
      </c>
      <c r="D79" s="1" t="e">
        <f>平成10年度!H21</f>
        <v>#VALUE!</v>
      </c>
      <c r="E79" s="1">
        <f>平成11年度!H21</f>
        <v>83847.916666666672</v>
      </c>
      <c r="F79" s="1" t="e">
        <f>平成12年度!H21</f>
        <v>#VALUE!</v>
      </c>
      <c r="G79" s="1" t="e">
        <f>平成13年度!H21</f>
        <v>#VALUE!</v>
      </c>
      <c r="H79" s="1" t="e">
        <f>平成14年度!H21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 t="s">
        <v>2326</v>
      </c>
      <c r="B80" s="1"/>
      <c r="C80" s="204">
        <f>ROUND(+平成14年度!C78/平成14年度!C76,8)</f>
        <v>2.0181356300000002</v>
      </c>
      <c r="D80" s="204">
        <f>ROUND(+平成14年度!D78/平成14年度!D76,8)</f>
        <v>2.02529337</v>
      </c>
      <c r="E80" s="204">
        <f>ROUND(+平成14年度!E78/平成14年度!E76,8)</f>
        <v>2.0240164300000001</v>
      </c>
      <c r="F80" s="204">
        <f>ROUND(+平成14年度!F78/平成14年度!F76,8)</f>
        <v>2.02072144</v>
      </c>
      <c r="G80" s="204">
        <f>ROUND(+平成14年度!G78/平成14年度!G76,8)</f>
        <v>2.0253886200000002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 t="s">
        <v>2327</v>
      </c>
      <c r="B81" s="1"/>
      <c r="C81" s="204">
        <f>ROUND(+平成14年度!C78/平成14年度!C77,8)</f>
        <v>2.4185021500000001</v>
      </c>
      <c r="D81" s="204">
        <f>ROUND(+平成14年度!D78/平成14年度!D77,8)</f>
        <v>2.4246736000000002</v>
      </c>
      <c r="E81" s="204">
        <f>ROUND(+平成14年度!E78/平成14年度!E77,8)</f>
        <v>2.4232626499999999</v>
      </c>
      <c r="F81" s="204">
        <f>ROUND(+平成14年度!F78/平成14年度!F77,8)</f>
        <v>2.4196870499999998</v>
      </c>
      <c r="G81" s="204">
        <f>ROUND(+平成14年度!G78/平成14年度!G77,8)</f>
        <v>2.4238196300000001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 t="s">
        <v>2328</v>
      </c>
      <c r="B82" s="1"/>
      <c r="C82" s="1"/>
      <c r="D82" s="204">
        <f>ROUND(+平成14年度!D78/平成14年度!C78,8)</f>
        <v>1.0368533499999999</v>
      </c>
      <c r="E82" s="204">
        <f>ROUND(+平成14年度!E78/平成14年度!D78,8)</f>
        <v>1.0379004999999999</v>
      </c>
      <c r="F82" s="204">
        <f>ROUND(+平成14年度!F78/平成14年度!E78,8)</f>
        <v>1.0353954299999999</v>
      </c>
      <c r="G82" s="204">
        <f>ROUND(+平成14年度!G78/平成14年度!F78,8)</f>
        <v>1.03905205</v>
      </c>
      <c r="H82" s="204" t="s">
        <v>2329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 t="s">
        <v>2330</v>
      </c>
      <c r="B83" s="1"/>
      <c r="C83" s="1"/>
      <c r="D83" s="1"/>
      <c r="E83" s="1">
        <f>(+平成14年度!C81+平成14年度!D81)/2*平成14年度!E77/12</f>
        <v>83789.967459843756</v>
      </c>
      <c r="F83" s="1">
        <f>(+平成14年度!D81+平成14年度!E81)/2*平成14年度!F77/12</f>
        <v>86969.35035953125</v>
      </c>
      <c r="G83" s="1">
        <f>(+平成14年度!E81+平成14年度!F81)/2*平成14年度!G77/12</f>
        <v>90118.818755025</v>
      </c>
      <c r="H83" s="1">
        <f>(+平成14年度!F81+平成14年度!G81)/2*平成14年度!H77/12</f>
        <v>93764.033128671654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>
        <f>(+平成14年度!D82+平成14年度!E82)/2*平成14年度!E79</f>
        <v>86981.893959322901</v>
      </c>
      <c r="G86" s="1" t="e">
        <f>(+平成14年度!E82+平成14年度!F82)/2*平成14年度!F79</f>
        <v>#VALUE!</v>
      </c>
      <c r="H86" s="1" t="e">
        <f>(+平成14年度!F82+平成14年度!G82)/2*平成14年度!G79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verticalDpi="300" r:id="rId1"/>
  <headerFooter alignWithMargins="0">
    <oddHeader>&amp;L</oddHeader>
    <oddFooter>&amp;L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8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4" sqref="D14"/>
    </sheetView>
  </sheetViews>
  <sheetFormatPr defaultColWidth="10" defaultRowHeight="14" x14ac:dyDescent="0.2"/>
  <cols>
    <col min="1" max="1" width="10" style="206" customWidth="1"/>
    <col min="2" max="2" width="9.75" style="206" customWidth="1"/>
    <col min="3" max="3" width="9.33203125" style="206" customWidth="1"/>
    <col min="4" max="6" width="9" style="206" customWidth="1"/>
    <col min="7" max="7" width="8.75" style="206" customWidth="1"/>
    <col min="8" max="8" width="11.08203125" style="206" customWidth="1"/>
    <col min="9" max="12" width="10" style="206" customWidth="1"/>
    <col min="13" max="13" width="9.33203125" style="206" customWidth="1"/>
    <col min="14" max="14" width="9.25" style="206" customWidth="1"/>
    <col min="15" max="15" width="10.75" style="206" customWidth="1"/>
    <col min="16" max="16" width="9" style="206" customWidth="1"/>
    <col min="17" max="17" width="8.58203125" style="206" customWidth="1"/>
    <col min="18" max="18" width="11" style="206" customWidth="1"/>
    <col min="19" max="19" width="10.83203125" style="206" customWidth="1"/>
    <col min="20" max="20" width="10.58203125" style="206" customWidth="1"/>
    <col min="21" max="21" width="11.58203125" style="206" customWidth="1"/>
    <col min="22" max="22" width="10.58203125" style="206" customWidth="1"/>
    <col min="23" max="16384" width="10" style="206"/>
  </cols>
  <sheetData>
    <row r="1" spans="1:44" ht="20.149999999999999" customHeight="1" x14ac:dyDescent="0.2">
      <c r="A1" s="1"/>
      <c r="B1" s="1" t="s">
        <v>2808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2331</v>
      </c>
      <c r="AK1" s="1"/>
      <c r="AL1" s="1"/>
      <c r="AM1" s="1"/>
      <c r="AN1" s="1"/>
      <c r="AO1" s="1"/>
      <c r="AP1" s="1"/>
      <c r="AQ1" s="1"/>
      <c r="AR1" s="1"/>
    </row>
    <row r="2" spans="1:44" ht="20.149999999999999" customHeight="1" x14ac:dyDescent="0.2">
      <c r="A2" s="2" t="s">
        <v>2332</v>
      </c>
      <c r="B2" s="1"/>
      <c r="C2" s="205">
        <f>SUM(平成14年度!C17:C19)</f>
        <v>147963</v>
      </c>
      <c r="D2" s="205">
        <f>SUM(平成14年度!D17:D19)</f>
        <v>127302</v>
      </c>
      <c r="E2" s="205">
        <f>SUM(平成14年度!E17:E19)</f>
        <v>119968</v>
      </c>
      <c r="F2" s="205">
        <f>SUM(平成14年度!F17:F19)</f>
        <v>7334</v>
      </c>
      <c r="G2" s="205">
        <f>SUM(平成14年度!G17:G19)</f>
        <v>20661</v>
      </c>
      <c r="H2" s="205">
        <f>SUM(平成14年度!H17:H19)</f>
        <v>283774</v>
      </c>
      <c r="I2" s="205">
        <f>SUM(平成14年度!I17:I19)</f>
        <v>238102</v>
      </c>
      <c r="J2" s="205">
        <f>SUM(平成14年度!J17:J19)</f>
        <v>162788</v>
      </c>
      <c r="K2" s="205">
        <f>SUM(平成14年度!K17:K19)</f>
        <v>75314</v>
      </c>
      <c r="L2" s="205">
        <f>SUM(平成14年度!L17:L19)</f>
        <v>45672</v>
      </c>
      <c r="M2" s="205">
        <f>SUM(平成14年度!M17:M19)</f>
        <v>31265</v>
      </c>
      <c r="N2" s="205">
        <f>SUM(平成14年度!N17:N19)</f>
        <v>14407</v>
      </c>
      <c r="O2" s="205">
        <f>SUM(平成14年度!O17:O19)</f>
        <v>85394</v>
      </c>
      <c r="P2" s="205">
        <f>SUM(平成14年度!P17:P19)</f>
        <v>64328</v>
      </c>
      <c r="Q2" s="205">
        <f>SUM(平成14年度!Q17:Q19)</f>
        <v>21066</v>
      </c>
      <c r="R2" s="205">
        <f>SUM(平成14年度!R17:R19)</f>
        <v>332945</v>
      </c>
      <c r="S2" s="205">
        <f>SUM(平成14年度!S17:S19)</f>
        <v>890605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0.149999999999999" customHeight="1" x14ac:dyDescent="0.2">
      <c r="A3" s="2" t="s">
        <v>2333</v>
      </c>
      <c r="B3" s="3"/>
      <c r="C3" s="3" t="s">
        <v>2334</v>
      </c>
      <c r="D3" s="3"/>
      <c r="E3" s="3" t="s">
        <v>2335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2336</v>
      </c>
      <c r="AL3" s="6" t="s">
        <v>2337</v>
      </c>
      <c r="AM3" s="7" t="s">
        <v>2338</v>
      </c>
      <c r="AN3" s="7" t="s">
        <v>2339</v>
      </c>
      <c r="AO3" s="7" t="s">
        <v>2340</v>
      </c>
      <c r="AP3" s="8" t="s">
        <v>2341</v>
      </c>
      <c r="AQ3" s="1" t="s">
        <v>2342</v>
      </c>
      <c r="AR3" s="1" t="s">
        <v>2343</v>
      </c>
    </row>
    <row r="4" spans="1:44" ht="20.149999999999999" customHeight="1" x14ac:dyDescent="0.2">
      <c r="A4" s="2" t="s">
        <v>2344</v>
      </c>
      <c r="B4" s="9" t="s">
        <v>2345</v>
      </c>
      <c r="C4" s="10" t="s">
        <v>2346</v>
      </c>
      <c r="D4" s="11"/>
      <c r="E4" s="11"/>
      <c r="F4" s="11"/>
      <c r="G4" s="12"/>
      <c r="H4" s="10" t="s">
        <v>2347</v>
      </c>
      <c r="I4" s="11"/>
      <c r="J4" s="11"/>
      <c r="K4" s="11"/>
      <c r="L4" s="11"/>
      <c r="M4" s="11"/>
      <c r="N4" s="11"/>
      <c r="O4" s="10" t="s">
        <v>2348</v>
      </c>
      <c r="P4" s="11"/>
      <c r="Q4" s="12"/>
      <c r="R4" s="13" t="s">
        <v>2349</v>
      </c>
      <c r="S4" s="14" t="s">
        <v>2350</v>
      </c>
      <c r="T4" s="15" t="s">
        <v>2351</v>
      </c>
      <c r="U4" s="15" t="s">
        <v>2352</v>
      </c>
      <c r="V4" s="16" t="s">
        <v>2353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2354</v>
      </c>
      <c r="AK4" s="18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ROUND(+平成15年度!AK4/平成15年度!AM4,4)</f>
        <v>#VALUE!</v>
      </c>
      <c r="AP4" s="22" t="e">
        <f>ROUND(+平成15年度!AL4/平成15年度!AN4,4)</f>
        <v>#VALUE!</v>
      </c>
      <c r="AQ4" s="1"/>
      <c r="AR4" s="1"/>
    </row>
    <row r="5" spans="1:44" ht="20.149999999999999" customHeight="1" x14ac:dyDescent="0.2">
      <c r="A5" s="2" t="s">
        <v>2355</v>
      </c>
      <c r="B5" s="23"/>
      <c r="C5" s="312" t="s">
        <v>2356</v>
      </c>
      <c r="D5" s="25" t="s">
        <v>2357</v>
      </c>
      <c r="E5" s="26" t="s">
        <v>2358</v>
      </c>
      <c r="F5" s="26" t="s">
        <v>2359</v>
      </c>
      <c r="G5" s="27" t="s">
        <v>2360</v>
      </c>
      <c r="H5" s="312" t="s">
        <v>2361</v>
      </c>
      <c r="I5" s="25" t="s">
        <v>2362</v>
      </c>
      <c r="J5" s="26" t="s">
        <v>2363</v>
      </c>
      <c r="K5" s="26" t="s">
        <v>2364</v>
      </c>
      <c r="L5" s="26" t="s">
        <v>2365</v>
      </c>
      <c r="M5" s="26" t="s">
        <v>2366</v>
      </c>
      <c r="N5" s="27" t="s">
        <v>2367</v>
      </c>
      <c r="O5" s="312" t="s">
        <v>2368</v>
      </c>
      <c r="P5" s="25" t="s">
        <v>2369</v>
      </c>
      <c r="Q5" s="27" t="s">
        <v>2370</v>
      </c>
      <c r="R5" s="24" t="s">
        <v>2371</v>
      </c>
      <c r="S5" s="25" t="s">
        <v>2372</v>
      </c>
      <c r="T5" s="26" t="s">
        <v>2373</v>
      </c>
      <c r="U5" s="28" t="s">
        <v>2374</v>
      </c>
      <c r="V5" s="29" t="s">
        <v>2375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2376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ROUND(+平成15年度!AK5/平成15年度!AM5,4)</f>
        <v>#VALUE!</v>
      </c>
      <c r="AP5" s="35" t="e">
        <f>ROUND(+平成15年度!AL5/平成15年度!AN5,4)</f>
        <v>#VALUE!</v>
      </c>
      <c r="AQ5" s="36" t="e">
        <f>ROUND((+平成15年度!AO5-平成15年度!AO4),4)</f>
        <v>#VALUE!</v>
      </c>
      <c r="AR5" s="36" t="e">
        <f>ROUND((+平成15年度!AP5-平成15年度!AP4),4)</f>
        <v>#VALUE!</v>
      </c>
    </row>
    <row r="6" spans="1:44" ht="20.149999999999999" customHeight="1" x14ac:dyDescent="0.2">
      <c r="A6" s="2" t="s">
        <v>2377</v>
      </c>
      <c r="B6" s="37"/>
      <c r="C6" s="318" t="s">
        <v>2378</v>
      </c>
      <c r="D6" s="14" t="s">
        <v>2379</v>
      </c>
      <c r="E6" s="15" t="s">
        <v>2380</v>
      </c>
      <c r="F6" s="15" t="s">
        <v>2381</v>
      </c>
      <c r="G6" s="16" t="s">
        <v>2382</v>
      </c>
      <c r="H6" s="313" t="s">
        <v>2383</v>
      </c>
      <c r="I6" s="14" t="s">
        <v>2384</v>
      </c>
      <c r="J6" s="15" t="s">
        <v>2385</v>
      </c>
      <c r="K6" s="15" t="s">
        <v>2386</v>
      </c>
      <c r="L6" s="15" t="s">
        <v>2387</v>
      </c>
      <c r="M6" s="15" t="s">
        <v>2388</v>
      </c>
      <c r="N6" s="16" t="s">
        <v>2389</v>
      </c>
      <c r="O6" s="318" t="s">
        <v>2390</v>
      </c>
      <c r="P6" s="14" t="s">
        <v>2391</v>
      </c>
      <c r="Q6" s="16" t="s">
        <v>2392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2393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ROUND(+平成15年度!AK6/平成15年度!AM6,4)</f>
        <v>0.28620000000000001</v>
      </c>
      <c r="AP6" s="35">
        <f>ROUND(+平成15年度!AL6/平成15年度!AN6,4)</f>
        <v>0.40529999999999999</v>
      </c>
      <c r="AQ6" s="36" t="e">
        <f>ROUND((+平成15年度!AO6-平成15年度!AO5),4)</f>
        <v>#VALUE!</v>
      </c>
      <c r="AR6" s="36" t="e">
        <f>ROUND((+平成15年度!AP6-平成15年度!AP5),4)</f>
        <v>#VALUE!</v>
      </c>
    </row>
    <row r="7" spans="1:44" ht="20.149999999999999" customHeight="1" x14ac:dyDescent="0.2">
      <c r="A7" s="2"/>
      <c r="B7" s="389"/>
      <c r="C7" s="334"/>
      <c r="D7" s="335"/>
      <c r="E7" s="336"/>
      <c r="F7" s="336"/>
      <c r="G7" s="337"/>
      <c r="H7" s="338"/>
      <c r="I7" s="335"/>
      <c r="J7" s="336"/>
      <c r="K7" s="336"/>
      <c r="L7" s="336"/>
      <c r="M7" s="336"/>
      <c r="N7" s="337"/>
      <c r="O7" s="334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</row>
    <row r="8" spans="1:44" ht="20.149999999999999" customHeight="1" x14ac:dyDescent="0.2">
      <c r="A8" s="2" t="s">
        <v>2394</v>
      </c>
      <c r="B8" s="43" t="s">
        <v>2395</v>
      </c>
      <c r="C8" s="319">
        <v>50078</v>
      </c>
      <c r="D8" s="45">
        <f>平成15年度!E8+平成15年度!F8</f>
        <v>42880</v>
      </c>
      <c r="E8" s="45">
        <f>平成15年度!C8-平成15年度!G8-平成15年度!F8</f>
        <v>40300</v>
      </c>
      <c r="F8" s="46">
        <v>2580</v>
      </c>
      <c r="G8" s="47">
        <v>7198</v>
      </c>
      <c r="H8" s="314">
        <f>平成15年度!I8+平成15年度!L8</f>
        <v>95988</v>
      </c>
      <c r="I8" s="45">
        <f>平成15年度!J8+平成15年度!K8</f>
        <v>79954</v>
      </c>
      <c r="J8" s="46">
        <f>95988-25085-16034</f>
        <v>54869</v>
      </c>
      <c r="K8" s="49">
        <v>25085</v>
      </c>
      <c r="L8" s="45">
        <f>平成15年度!M8+平成15年度!N8</f>
        <v>16034</v>
      </c>
      <c r="M8" s="46">
        <v>10927</v>
      </c>
      <c r="N8" s="47">
        <v>5107</v>
      </c>
      <c r="O8" s="319">
        <v>29166</v>
      </c>
      <c r="P8" s="45">
        <f>平成15年度!O8-平成15年度!Q8</f>
        <v>21733</v>
      </c>
      <c r="Q8" s="47">
        <v>7433</v>
      </c>
      <c r="R8" s="44">
        <v>111478</v>
      </c>
      <c r="S8" s="46">
        <v>297099</v>
      </c>
      <c r="T8" s="50">
        <f>平成15年度!C8/平成15年度!R8</f>
        <v>0.44921867991890779</v>
      </c>
      <c r="U8" s="51">
        <f>平成15年度!H8/平成15年度!S8</f>
        <v>0.32308422445043572</v>
      </c>
      <c r="V8" s="52">
        <f>平成15年度!L8/平成15年度!H8</f>
        <v>0.16704171354752678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2396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ROUND(+平成15年度!AK8/平成15年度!AM8,4)</f>
        <v>#VALUE!</v>
      </c>
      <c r="AP8" s="35">
        <f>ROUND(+平成15年度!AL8/平成15年度!AN8,4)</f>
        <v>1.6304000000000001</v>
      </c>
      <c r="AQ8" s="36" t="e">
        <f>ROUND((+平成15年度!AO8-平成15年度!AO6),4)</f>
        <v>#VALUE!</v>
      </c>
      <c r="AR8" s="36">
        <f>ROUND((+平成15年度!AP8-平成15年度!AP6),4)</f>
        <v>1.2251000000000001</v>
      </c>
    </row>
    <row r="9" spans="1:44" ht="20.149999999999999" customHeight="1" x14ac:dyDescent="0.2">
      <c r="A9" s="2" t="s">
        <v>2397</v>
      </c>
      <c r="B9" s="43" t="s">
        <v>2398</v>
      </c>
      <c r="C9" s="319">
        <v>50129</v>
      </c>
      <c r="D9" s="45">
        <f>平成15年度!E9+平成15年度!F9</f>
        <v>42904</v>
      </c>
      <c r="E9" s="45">
        <f>平成15年度!C9-平成15年度!G9-平成15年度!F9</f>
        <v>40315</v>
      </c>
      <c r="F9" s="46">
        <v>2589</v>
      </c>
      <c r="G9" s="47">
        <v>7225</v>
      </c>
      <c r="H9" s="314">
        <f>平成15年度!I9+平成15年度!L9</f>
        <v>96020</v>
      </c>
      <c r="I9" s="45">
        <f>平成15年度!J9+平成15年度!K9</f>
        <v>79920</v>
      </c>
      <c r="J9" s="46">
        <f>96020-25022-16100</f>
        <v>54898</v>
      </c>
      <c r="K9" s="49">
        <v>25022</v>
      </c>
      <c r="L9" s="45">
        <f>平成15年度!M9+平成15年度!N9</f>
        <v>16100</v>
      </c>
      <c r="M9" s="46">
        <v>10962</v>
      </c>
      <c r="N9" s="47">
        <v>5138</v>
      </c>
      <c r="O9" s="319">
        <v>29162</v>
      </c>
      <c r="P9" s="45">
        <f>平成15年度!O9-平成15年度!Q9</f>
        <v>21771</v>
      </c>
      <c r="Q9" s="47">
        <v>7391</v>
      </c>
      <c r="R9" s="44">
        <v>111576</v>
      </c>
      <c r="S9" s="46">
        <v>297157</v>
      </c>
      <c r="T9" s="50">
        <f>平成15年度!C9/平成15年度!R9</f>
        <v>0.44928120742812072</v>
      </c>
      <c r="U9" s="51">
        <f>平成15年度!H9/平成15年度!S9</f>
        <v>0.32312885107872269</v>
      </c>
      <c r="V9" s="52">
        <f>平成15年度!L9/平成15年度!H9</f>
        <v>0.16767340137471359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2399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ROUND(+平成15年度!AK9/平成15年度!AM9,4)</f>
        <v>#VALUE!</v>
      </c>
      <c r="AP9" s="35">
        <f>ROUND(+平成15年度!AL9/平成15年度!AN9,4)</f>
        <v>1.6746000000000001</v>
      </c>
      <c r="AQ9" s="36" t="e">
        <f>ROUND((+平成15年度!AO9-平成15年度!AO8),4)</f>
        <v>#VALUE!</v>
      </c>
      <c r="AR9" s="36">
        <f>ROUND((+平成15年度!AP9-平成15年度!AP8),4)</f>
        <v>4.4200000000000003E-2</v>
      </c>
    </row>
    <row r="10" spans="1:44" ht="20.149999999999999" customHeight="1" x14ac:dyDescent="0.2">
      <c r="A10" s="2" t="s">
        <v>2400</v>
      </c>
      <c r="B10" s="53" t="s">
        <v>2401</v>
      </c>
      <c r="C10" s="320">
        <v>50149</v>
      </c>
      <c r="D10" s="55">
        <f>平成15年度!E10+平成15年度!F10</f>
        <v>42876</v>
      </c>
      <c r="E10" s="55">
        <f>平成15年度!C10-平成15年度!G10-平成15年度!F10</f>
        <v>40277</v>
      </c>
      <c r="F10" s="56">
        <v>2599</v>
      </c>
      <c r="G10" s="57">
        <v>7273</v>
      </c>
      <c r="H10" s="315">
        <f>平成15年度!I10+平成15年度!L10</f>
        <v>96130</v>
      </c>
      <c r="I10" s="55">
        <f>平成15年度!J10+平成15年度!K10</f>
        <v>79932</v>
      </c>
      <c r="J10" s="56">
        <f>96130-24974-16198</f>
        <v>54958</v>
      </c>
      <c r="K10" s="59">
        <v>24974</v>
      </c>
      <c r="L10" s="55">
        <f>平成15年度!M10+平成15年度!N10</f>
        <v>16198</v>
      </c>
      <c r="M10" s="56">
        <v>11028</v>
      </c>
      <c r="N10" s="57">
        <v>5170</v>
      </c>
      <c r="O10" s="320">
        <v>29167</v>
      </c>
      <c r="P10" s="55">
        <f>平成15年度!O10-平成15年度!Q10</f>
        <v>21783</v>
      </c>
      <c r="Q10" s="57">
        <v>7384</v>
      </c>
      <c r="R10" s="54">
        <v>111553</v>
      </c>
      <c r="S10" s="56">
        <v>297099</v>
      </c>
      <c r="T10" s="60">
        <f>平成15年度!C10/平成15年度!R10</f>
        <v>0.44955312721307361</v>
      </c>
      <c r="U10" s="61">
        <f>平成15年度!H10/平成15年度!S10</f>
        <v>0.32356217961016359</v>
      </c>
      <c r="V10" s="62">
        <f>平成15年度!L10/平成15年度!H10</f>
        <v>0.16850098824508478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2402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ROUND(+平成15年度!AK10/平成15年度!AM10,4)</f>
        <v>#VALUE!</v>
      </c>
      <c r="AP10" s="68">
        <f>ROUND(+平成15年度!AL10/平成15年度!AN10,4)</f>
        <v>1.7114</v>
      </c>
      <c r="AQ10" s="36" t="e">
        <f>ROUND((+平成15年度!AO10-平成15年度!AO9),4)</f>
        <v>#VALUE!</v>
      </c>
      <c r="AR10" s="36">
        <f>ROUND((+平成15年度!AP10-平成15年度!AP9),4)</f>
        <v>3.6799999999999999E-2</v>
      </c>
    </row>
    <row r="11" spans="1:44" ht="20.149999999999999" customHeight="1" x14ac:dyDescent="0.2">
      <c r="A11" s="2" t="s">
        <v>2403</v>
      </c>
      <c r="B11" s="53" t="s">
        <v>2404</v>
      </c>
      <c r="C11" s="320">
        <v>50244</v>
      </c>
      <c r="D11" s="55">
        <f>平成15年度!E11+平成15年度!F11</f>
        <v>42819</v>
      </c>
      <c r="E11" s="55">
        <f>平成15年度!C11-平成15年度!G11-平成15年度!F11</f>
        <v>40177</v>
      </c>
      <c r="F11" s="56">
        <v>2642</v>
      </c>
      <c r="G11" s="57">
        <v>7425</v>
      </c>
      <c r="H11" s="315">
        <f>平成15年度!I11+平成15年度!L11</f>
        <v>96301</v>
      </c>
      <c r="I11" s="55">
        <f>平成15年度!J11+平成15年度!K11</f>
        <v>79776</v>
      </c>
      <c r="J11" s="56">
        <f>96301-24935-16525</f>
        <v>54841</v>
      </c>
      <c r="K11" s="59">
        <v>24935</v>
      </c>
      <c r="L11" s="55">
        <f>平成15年度!M11+平成15年度!N11</f>
        <v>16525</v>
      </c>
      <c r="M11" s="56">
        <v>11244</v>
      </c>
      <c r="N11" s="57">
        <v>5281</v>
      </c>
      <c r="O11" s="320">
        <v>29237</v>
      </c>
      <c r="P11" s="55">
        <f>平成15年度!O11-平成15年度!Q11</f>
        <v>21658</v>
      </c>
      <c r="Q11" s="57">
        <v>7579</v>
      </c>
      <c r="R11" s="54">
        <v>111562</v>
      </c>
      <c r="S11" s="56">
        <v>297051</v>
      </c>
      <c r="T11" s="60">
        <f>平成15年度!C11/平成15年度!R11</f>
        <v>0.45036840501245945</v>
      </c>
      <c r="U11" s="61">
        <f>平成15年度!H11/平成15年度!S11</f>
        <v>0.3241901222349024</v>
      </c>
      <c r="V11" s="62">
        <f>平成15年度!L11/平成15年度!H11</f>
        <v>0.17159738735838673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2405</v>
      </c>
      <c r="AK11" s="70" t="e">
        <f>平成15年度!H21</f>
        <v>#VALUE!</v>
      </c>
      <c r="AL11" s="71">
        <f>平成15年度!C21</f>
        <v>50385.666666666664</v>
      </c>
      <c r="AM11" s="72">
        <f>平成15年度!S21</f>
        <v>297229</v>
      </c>
      <c r="AN11" s="72">
        <f>平成15年度!R21</f>
        <v>111835.08333333333</v>
      </c>
      <c r="AO11" s="73" t="e">
        <f>ROUND(+平成15年度!AK11/平成15年度!AM11,4)</f>
        <v>#VALUE!</v>
      </c>
      <c r="AP11" s="74">
        <f>ROUND(+平成15年度!AL11/平成15年度!AN11,4)</f>
        <v>0.45050000000000001</v>
      </c>
      <c r="AQ11" s="36" t="e">
        <f>ROUND((+平成15年度!AO11-平成15年度!AO10),4)</f>
        <v>#VALUE!</v>
      </c>
      <c r="AR11" s="36">
        <f>ROUND((+平成15年度!AP11-平成15年度!AP10),4)</f>
        <v>-1.2608999999999999</v>
      </c>
    </row>
    <row r="12" spans="1:44" ht="20.149999999999999" customHeight="1" x14ac:dyDescent="0.2">
      <c r="A12" s="2" t="s">
        <v>2406</v>
      </c>
      <c r="B12" s="53" t="s">
        <v>2407</v>
      </c>
      <c r="C12" s="320">
        <v>50280</v>
      </c>
      <c r="D12" s="55">
        <f>平成15年度!E12+平成15年度!F12</f>
        <v>42826</v>
      </c>
      <c r="E12" s="55">
        <f>平成15年度!C12-平成15年度!G12-平成15年度!F12</f>
        <v>40178</v>
      </c>
      <c r="F12" s="56">
        <v>2648</v>
      </c>
      <c r="G12" s="57">
        <v>7454</v>
      </c>
      <c r="H12" s="315">
        <f>平成15年度!I12+平成15年度!L12</f>
        <v>96343</v>
      </c>
      <c r="I12" s="55">
        <f>平成15年度!J12+平成15年度!K12</f>
        <v>79756</v>
      </c>
      <c r="J12" s="56">
        <f>96343-K12-L12</f>
        <v>54904</v>
      </c>
      <c r="K12" s="59">
        <v>24852</v>
      </c>
      <c r="L12" s="55">
        <f>平成15年度!M12+平成15年度!N12</f>
        <v>16587</v>
      </c>
      <c r="M12" s="56">
        <v>11287</v>
      </c>
      <c r="N12" s="57">
        <v>5300</v>
      </c>
      <c r="O12" s="320">
        <v>29202</v>
      </c>
      <c r="P12" s="55">
        <f>平成15年度!O12-平成15年度!Q12</f>
        <v>21657</v>
      </c>
      <c r="Q12" s="57">
        <v>7545</v>
      </c>
      <c r="R12" s="54">
        <v>111694</v>
      </c>
      <c r="S12" s="56">
        <v>297254</v>
      </c>
      <c r="T12" s="60">
        <f>平成15年度!C12/平成15年度!R12</f>
        <v>0.45015846867333964</v>
      </c>
      <c r="U12" s="61">
        <f>平成15年度!H12/平成15年度!S12</f>
        <v>0.32411002038660541</v>
      </c>
      <c r="V12" s="62">
        <f>平成15年度!L12/平成15年度!H12</f>
        <v>0.17216611481892821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2408</v>
      </c>
      <c r="AK12" s="1"/>
      <c r="AL12" s="1"/>
      <c r="AM12" s="1"/>
      <c r="AN12" s="1"/>
      <c r="AO12" s="1"/>
      <c r="AP12" s="1"/>
      <c r="AQ12" s="1"/>
      <c r="AR12" s="1"/>
    </row>
    <row r="13" spans="1:44" ht="20.149999999999999" customHeight="1" x14ac:dyDescent="0.2">
      <c r="A13" s="75" t="s">
        <v>2409</v>
      </c>
      <c r="B13" s="43" t="s">
        <v>2410</v>
      </c>
      <c r="C13" s="319">
        <v>50392</v>
      </c>
      <c r="D13" s="45">
        <f>平成15年度!E13+平成15年度!F13</f>
        <v>42865</v>
      </c>
      <c r="E13" s="45">
        <f>平成15年度!C13-平成15年度!G13-平成15年度!F13</f>
        <v>40210</v>
      </c>
      <c r="F13" s="46">
        <v>2655</v>
      </c>
      <c r="G13" s="47">
        <v>7527</v>
      </c>
      <c r="H13" s="315">
        <f>平成15年度!I13+平成15年度!L13</f>
        <v>96491</v>
      </c>
      <c r="I13" s="45">
        <f>平成15年度!J13+平成15年度!K13</f>
        <v>79801</v>
      </c>
      <c r="J13" s="46">
        <f>96491-K13-L13</f>
        <v>54990</v>
      </c>
      <c r="K13" s="49">
        <v>24811</v>
      </c>
      <c r="L13" s="45">
        <f>平成15年度!M13+平成15年度!N13</f>
        <v>16690</v>
      </c>
      <c r="M13" s="46">
        <v>11372</v>
      </c>
      <c r="N13" s="47">
        <v>5318</v>
      </c>
      <c r="O13" s="319">
        <v>29199</v>
      </c>
      <c r="P13" s="45">
        <f>平成15年度!O13-平成15年度!Q13</f>
        <v>21661</v>
      </c>
      <c r="Q13" s="47">
        <v>7538</v>
      </c>
      <c r="R13" s="44">
        <v>111758</v>
      </c>
      <c r="S13" s="46">
        <v>297284</v>
      </c>
      <c r="T13" s="50">
        <f>平成15年度!C13/平成15年度!R13</f>
        <v>0.45090284364430289</v>
      </c>
      <c r="U13" s="51">
        <f>平成15年度!H13/平成15年度!S13</f>
        <v>0.32457515372505752</v>
      </c>
      <c r="V13" s="52">
        <f>平成15年度!L13/平成15年度!H13</f>
        <v>0.1729694997460903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2411</v>
      </c>
      <c r="AK13" s="76" t="e">
        <f>平成15年度!AK10/平成15年度!AK4</f>
        <v>#VALUE!</v>
      </c>
      <c r="AL13" s="77" t="e">
        <f>平成15年度!AL10/平成15年度!AL4</f>
        <v>#VALUE!</v>
      </c>
      <c r="AM13" s="77" t="e">
        <f>平成15年度!AM10/平成15年度!AM4</f>
        <v>#VALUE!</v>
      </c>
      <c r="AN13" s="77" t="e">
        <f>平成15年度!AN10/平成15年度!AN4</f>
        <v>#VALUE!</v>
      </c>
      <c r="AO13" s="78" t="e">
        <f>平成15年度!AO10/平成15年度!AO4</f>
        <v>#VALUE!</v>
      </c>
      <c r="AP13" s="74" t="e">
        <f>平成15年度!AP10/平成15年度!AP4</f>
        <v>#VALUE!</v>
      </c>
      <c r="AQ13" s="1"/>
      <c r="AR13" s="1"/>
    </row>
    <row r="14" spans="1:44" ht="20.149999999999999" customHeight="1" x14ac:dyDescent="0.2">
      <c r="A14" s="75" t="s">
        <v>2412</v>
      </c>
      <c r="B14" s="43" t="s">
        <v>2413</v>
      </c>
      <c r="C14" s="319">
        <v>50511</v>
      </c>
      <c r="D14" s="45">
        <f>平成15年度!E14+平成15年度!F14</f>
        <v>42903</v>
      </c>
      <c r="E14" s="45">
        <f>平成15年度!C14-平成15年度!G14-平成15年度!F14</f>
        <v>40240</v>
      </c>
      <c r="F14" s="46">
        <v>2663</v>
      </c>
      <c r="G14" s="47">
        <v>7608</v>
      </c>
      <c r="H14" s="314">
        <f>平成15年度!I14+平成15年度!L14</f>
        <v>96694</v>
      </c>
      <c r="I14" s="45">
        <f>平成15年度!J14+平成15年度!K14</f>
        <v>79863</v>
      </c>
      <c r="J14" s="46">
        <f>96694-K14-L14</f>
        <v>55115</v>
      </c>
      <c r="K14" s="49">
        <v>24748</v>
      </c>
      <c r="L14" s="45">
        <f>平成15年度!M14+平成15年度!N14</f>
        <v>16831</v>
      </c>
      <c r="M14" s="46">
        <v>11464</v>
      </c>
      <c r="N14" s="47">
        <v>5367</v>
      </c>
      <c r="O14" s="319">
        <v>29238</v>
      </c>
      <c r="P14" s="45">
        <f>平成15年度!O14-平成15年度!Q14</f>
        <v>21692</v>
      </c>
      <c r="Q14" s="47">
        <v>7546</v>
      </c>
      <c r="R14" s="44">
        <v>111870</v>
      </c>
      <c r="S14" s="46">
        <v>297304</v>
      </c>
      <c r="T14" s="50">
        <f>平成15年度!C14/平成15年度!R14</f>
        <v>0.45151515151515154</v>
      </c>
      <c r="U14" s="51">
        <f>平成15年度!H14/平成15年度!S14</f>
        <v>0.32523612194925061</v>
      </c>
      <c r="V14" s="52">
        <f>平成15年度!L14/平成15年度!H14</f>
        <v>0.17406457484435436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0.149999999999999" customHeight="1" x14ac:dyDescent="0.2">
      <c r="A15" s="75" t="s">
        <v>2414</v>
      </c>
      <c r="B15" s="53" t="s">
        <v>2415</v>
      </c>
      <c r="C15" s="320">
        <v>50504</v>
      </c>
      <c r="D15" s="55">
        <f>平成15年度!E15+平成15年度!F15</f>
        <v>42884</v>
      </c>
      <c r="E15" s="55">
        <f>平成15年度!C15-平成15年度!G15-平成15年度!F15</f>
        <v>40222</v>
      </c>
      <c r="F15" s="56">
        <v>2662</v>
      </c>
      <c r="G15" s="57">
        <v>7620</v>
      </c>
      <c r="H15" s="315">
        <f>平成15年度!I15+平成15年度!L15</f>
        <v>96670</v>
      </c>
      <c r="I15" s="55">
        <f>平成15年度!J15+平成15年度!K15</f>
        <v>79813</v>
      </c>
      <c r="J15" s="56">
        <f>96670-K15-L15</f>
        <v>55133</v>
      </c>
      <c r="K15" s="59">
        <v>24680</v>
      </c>
      <c r="L15" s="55">
        <f>平成15年度!M15+平成15年度!N15</f>
        <v>16857</v>
      </c>
      <c r="M15" s="56">
        <v>11476</v>
      </c>
      <c r="N15" s="57">
        <v>5381</v>
      </c>
      <c r="O15" s="320">
        <v>29169</v>
      </c>
      <c r="P15" s="55">
        <f>平成15年度!O15-平成15年度!Q15</f>
        <v>21703</v>
      </c>
      <c r="Q15" s="57">
        <v>7466</v>
      </c>
      <c r="R15" s="54">
        <v>111960</v>
      </c>
      <c r="S15" s="56">
        <v>297352</v>
      </c>
      <c r="T15" s="60">
        <f>平成15年度!C15/平成15年度!R15</f>
        <v>0.45108967488388713</v>
      </c>
      <c r="U15" s="61">
        <f>平成15年度!H15/平成15年度!S15</f>
        <v>0.32510290833759314</v>
      </c>
      <c r="V15" s="62">
        <f>平成15年度!L15/平成15年度!H15</f>
        <v>0.17437674562946107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2416</v>
      </c>
      <c r="AK15" s="1"/>
      <c r="AL15" s="1"/>
      <c r="AM15" s="1"/>
      <c r="AN15" s="1"/>
      <c r="AO15" s="1"/>
      <c r="AP15" s="1"/>
      <c r="AQ15" s="1"/>
      <c r="AR15" s="1"/>
    </row>
    <row r="16" spans="1:44" ht="20.149999999999999" customHeight="1" x14ac:dyDescent="0.2">
      <c r="A16" s="1" t="s">
        <v>2417</v>
      </c>
      <c r="B16" s="43" t="s">
        <v>2418</v>
      </c>
      <c r="C16" s="319">
        <v>50530</v>
      </c>
      <c r="D16" s="45">
        <f>平成15年度!E16+平成15年度!F16</f>
        <v>42881</v>
      </c>
      <c r="E16" s="45">
        <f>平成15年度!C16-平成15年度!G16-平成15年度!F16</f>
        <v>40222</v>
      </c>
      <c r="F16" s="46">
        <v>2659</v>
      </c>
      <c r="G16" s="47">
        <v>7649</v>
      </c>
      <c r="H16" s="314">
        <f>平成15年度!I16+平成15年度!L16</f>
        <v>96660</v>
      </c>
      <c r="I16" s="45">
        <f>平成15年度!J16+平成15年度!K16</f>
        <v>79761</v>
      </c>
      <c r="J16" s="56">
        <f>96660-K16-L16</f>
        <v>55145</v>
      </c>
      <c r="K16" s="49">
        <v>24616</v>
      </c>
      <c r="L16" s="45">
        <f>平成15年度!M16+平成15年度!N16</f>
        <v>16899</v>
      </c>
      <c r="M16" s="46">
        <v>11501</v>
      </c>
      <c r="N16" s="47">
        <v>5398</v>
      </c>
      <c r="O16" s="319">
        <v>29143</v>
      </c>
      <c r="P16" s="45">
        <f>平成15年度!O16-平成15年度!Q16</f>
        <v>21735</v>
      </c>
      <c r="Q16" s="47">
        <v>7408</v>
      </c>
      <c r="R16" s="44">
        <v>112031</v>
      </c>
      <c r="S16" s="46">
        <v>297340</v>
      </c>
      <c r="T16" s="50">
        <f>平成15年度!C16/平成15年度!R16</f>
        <v>0.45103587399916095</v>
      </c>
      <c r="U16" s="51">
        <f>平成15年度!H16/平成15年度!S16</f>
        <v>0.3250823972556669</v>
      </c>
      <c r="V16" s="52">
        <f>平成15年度!L16/平成15年度!H16</f>
        <v>0.17482929857231533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0.149999999999999" customHeight="1" x14ac:dyDescent="0.2">
      <c r="A17" s="1"/>
      <c r="B17" s="43" t="s">
        <v>2419</v>
      </c>
      <c r="C17" s="319">
        <v>50622</v>
      </c>
      <c r="D17" s="45">
        <f>平成15年度!E17+平成15年度!F17</f>
        <v>42836</v>
      </c>
      <c r="E17" s="45">
        <f>平成15年度!C17-平成15年度!G17-平成15年度!F17</f>
        <v>40136</v>
      </c>
      <c r="F17" s="46">
        <v>2700</v>
      </c>
      <c r="G17" s="47">
        <v>7786</v>
      </c>
      <c r="H17" s="315">
        <f>平成15年度!I17+平成15年度!L17</f>
        <v>96803</v>
      </c>
      <c r="I17" s="45">
        <f>平成15年度!J17+平成15年度!K17</f>
        <v>79600</v>
      </c>
      <c r="J17" s="46">
        <f>96803-K17-L17</f>
        <v>55083</v>
      </c>
      <c r="K17" s="49">
        <v>24517</v>
      </c>
      <c r="L17" s="45">
        <f>平成15年度!M17+平成15年度!N17</f>
        <v>17203</v>
      </c>
      <c r="M17" s="46">
        <v>11692</v>
      </c>
      <c r="N17" s="47">
        <v>5511</v>
      </c>
      <c r="O17" s="319">
        <v>29081</v>
      </c>
      <c r="P17" s="45">
        <f>平成15年度!O17-平成15年度!Q17</f>
        <v>21605</v>
      </c>
      <c r="Q17" s="47">
        <v>7476</v>
      </c>
      <c r="R17" s="44">
        <v>112112</v>
      </c>
      <c r="S17" s="46">
        <v>297469</v>
      </c>
      <c r="T17" s="50">
        <f>平成15年度!C17/平成15年度!R17</f>
        <v>0.45153061224489793</v>
      </c>
      <c r="U17" s="51">
        <f>平成15年度!H17/平成15年度!S17</f>
        <v>0.32542214482853676</v>
      </c>
      <c r="V17" s="52">
        <f>平成15年度!L17/平成15年度!H17</f>
        <v>0.17771143456297842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2420</v>
      </c>
      <c r="AL17" s="6" t="s">
        <v>2421</v>
      </c>
      <c r="AM17" s="7" t="s">
        <v>2422</v>
      </c>
      <c r="AN17" s="7" t="s">
        <v>2423</v>
      </c>
      <c r="AO17" s="7" t="s">
        <v>2424</v>
      </c>
      <c r="AP17" s="8" t="s">
        <v>2425</v>
      </c>
      <c r="AQ17" s="1" t="s">
        <v>2426</v>
      </c>
      <c r="AR17" s="1" t="s">
        <v>2427</v>
      </c>
    </row>
    <row r="18" spans="1:44" ht="20.149999999999999" customHeight="1" x14ac:dyDescent="0.2">
      <c r="A18" s="1"/>
      <c r="B18" s="53" t="s">
        <v>2428</v>
      </c>
      <c r="C18" s="320">
        <v>50598</v>
      </c>
      <c r="D18" s="55">
        <f>平成15年度!E18+平成15年度!F18</f>
        <v>42766</v>
      </c>
      <c r="E18" s="55">
        <f>平成15年度!C18-平成15年度!G18-平成15年度!F18</f>
        <v>40068</v>
      </c>
      <c r="F18" s="56">
        <v>2698</v>
      </c>
      <c r="G18" s="57">
        <v>7832</v>
      </c>
      <c r="H18" s="315">
        <f>平成15年度!I18+平成15年度!L18</f>
        <v>96661</v>
      </c>
      <c r="I18" s="55">
        <f>平成15年度!J18+平成15年度!K18</f>
        <v>79381</v>
      </c>
      <c r="J18" s="56">
        <f>96661-K18-L18</f>
        <v>54946</v>
      </c>
      <c r="K18" s="59">
        <v>24435</v>
      </c>
      <c r="L18" s="55">
        <f>平成15年度!M18+平成15年度!N18</f>
        <v>17280</v>
      </c>
      <c r="M18" s="56">
        <v>11731</v>
      </c>
      <c r="N18" s="57">
        <v>5549</v>
      </c>
      <c r="O18" s="320">
        <v>28942</v>
      </c>
      <c r="P18" s="55">
        <f>平成15年度!O18-平成15年度!Q18</f>
        <v>21545</v>
      </c>
      <c r="Q18" s="57">
        <v>7397</v>
      </c>
      <c r="R18" s="54">
        <v>112148</v>
      </c>
      <c r="S18" s="56">
        <v>297380</v>
      </c>
      <c r="T18" s="60">
        <f>平成15年度!C18/平成15年度!R18</f>
        <v>0.45117166601276887</v>
      </c>
      <c r="U18" s="61">
        <f>平成15年度!H18/平成15年度!S18</f>
        <v>0.32504203376151725</v>
      </c>
      <c r="V18" s="62">
        <f>平成15年度!L18/平成15年度!H18</f>
        <v>0.17876910025760132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2429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ROUND(+平成15年度!AK18/平成15年度!AM18,4)</f>
        <v>0.27060000000000001</v>
      </c>
      <c r="AP18" s="22">
        <f>ROUND(+平成15年度!AL18/平成15年度!AN18,4)</f>
        <v>0.38550000000000001</v>
      </c>
      <c r="AQ18" s="1"/>
      <c r="AR18" s="1"/>
    </row>
    <row r="19" spans="1:44" ht="20.149999999999999" customHeight="1" x14ac:dyDescent="0.2">
      <c r="A19" s="1"/>
      <c r="B19" s="53" t="s">
        <v>2430</v>
      </c>
      <c r="C19" s="320">
        <v>50591</v>
      </c>
      <c r="D19" s="55">
        <f>平成15年度!E19+平成15年度!F19</f>
        <v>42705</v>
      </c>
      <c r="E19" s="55">
        <f>平成15年度!C19-平成15年度!G19-平成15年度!F19</f>
        <v>40020</v>
      </c>
      <c r="F19" s="56">
        <v>2685</v>
      </c>
      <c r="G19" s="57">
        <v>7886</v>
      </c>
      <c r="H19" s="315">
        <v>96636</v>
      </c>
      <c r="I19" s="55">
        <f>平成15年度!J19+平成15年度!K19</f>
        <v>79278</v>
      </c>
      <c r="J19" s="56">
        <f>96636-K19-L19</f>
        <v>54940</v>
      </c>
      <c r="K19" s="59">
        <v>24338</v>
      </c>
      <c r="L19" s="55">
        <f>平成15年度!M19+平成15年度!N19</f>
        <v>17358</v>
      </c>
      <c r="M19" s="56">
        <v>11778</v>
      </c>
      <c r="N19" s="57">
        <v>5580</v>
      </c>
      <c r="O19" s="320">
        <v>28915</v>
      </c>
      <c r="P19" s="55">
        <f>平成15年度!O19-平成15年度!Q19</f>
        <v>21572</v>
      </c>
      <c r="Q19" s="57">
        <v>7343</v>
      </c>
      <c r="R19" s="54">
        <v>112279</v>
      </c>
      <c r="S19" s="56">
        <v>296959</v>
      </c>
      <c r="T19" s="60">
        <f>平成15年度!C19/平成15年度!R19</f>
        <v>0.45058292289742519</v>
      </c>
      <c r="U19" s="61">
        <f>平成15年度!H19/平成15年度!S19</f>
        <v>0.32541866048848495</v>
      </c>
      <c r="V19" s="62">
        <f>平成15年度!L19/平成15年度!H19</f>
        <v>0.17962250093132995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2431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ROUND(+平成15年度!AK19/平成15年度!AM19,4)</f>
        <v>0.28050000000000003</v>
      </c>
      <c r="AP19" s="35">
        <f>ROUND(+平成15年度!AL19/平成15年度!AN19,4)</f>
        <v>0.39810000000000001</v>
      </c>
      <c r="AQ19" s="36">
        <f>ROUND((+平成15年度!AO19-平成15年度!AO18),4)</f>
        <v>9.9000000000000008E-3</v>
      </c>
      <c r="AR19" s="36">
        <f>ROUND((+平成15年度!AP19-平成15年度!AP18),4)</f>
        <v>1.26E-2</v>
      </c>
    </row>
    <row r="20" spans="1:44" ht="20.149999999999999" customHeight="1" x14ac:dyDescent="0.2">
      <c r="A20" s="1"/>
      <c r="B20" s="43" t="s">
        <v>2432</v>
      </c>
      <c r="C20" s="314">
        <f>SUM(平成15年度!C8:C19)</f>
        <v>604628</v>
      </c>
      <c r="D20" s="45">
        <f>SUM(平成15年度!D8:D19)</f>
        <v>514145</v>
      </c>
      <c r="E20" s="79">
        <f>SUM(平成15年度!E8:E19)</f>
        <v>482365</v>
      </c>
      <c r="F20" s="79">
        <f>SUM(平成15年度!F8:F19)</f>
        <v>31780</v>
      </c>
      <c r="G20" s="80">
        <f>SUM(平成15年度!G8:G19)</f>
        <v>90483</v>
      </c>
      <c r="H20" s="314">
        <f>SUM(平成15年度!H8:H19)</f>
        <v>1157397</v>
      </c>
      <c r="I20" s="45">
        <f>SUM(平成15年度!I8:I19)</f>
        <v>956835</v>
      </c>
      <c r="J20" s="79">
        <f>SUM(平成15年度!J8:J19)</f>
        <v>659822</v>
      </c>
      <c r="K20" s="79">
        <f>SUM(平成15年度!K8:K19)</f>
        <v>297013</v>
      </c>
      <c r="L20" s="79">
        <f>SUM(平成15年度!L8:L19)</f>
        <v>200562</v>
      </c>
      <c r="M20" s="79">
        <f>SUM(平成15年度!M8:M19)</f>
        <v>136462</v>
      </c>
      <c r="N20" s="80">
        <f>SUM(平成15年度!N8:N19)</f>
        <v>64100</v>
      </c>
      <c r="O20" s="314">
        <f>SUM(平成15年度!O8:O19)</f>
        <v>349621</v>
      </c>
      <c r="P20" s="45">
        <f>SUM(平成15年度!P8:P19)</f>
        <v>260115</v>
      </c>
      <c r="Q20" s="80">
        <f>SUM(平成15年度!Q8:Q19)</f>
        <v>89506</v>
      </c>
      <c r="R20" s="48">
        <f>SUM(平成15年度!R8:R19)</f>
        <v>1342021</v>
      </c>
      <c r="S20" s="45">
        <f>SUM(平成15年度!S8:S19)</f>
        <v>3566748</v>
      </c>
      <c r="T20" s="50">
        <f>平成15年度!C20/平成15年度!R20</f>
        <v>0.45053542381229505</v>
      </c>
      <c r="U20" s="51">
        <f>平成15年度!H20/平成15年度!S20</f>
        <v>0.32449643204397954</v>
      </c>
      <c r="V20" s="52">
        <f>平成15年度!L20/平成15年度!H20</f>
        <v>0.17328712619783876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2433</v>
      </c>
      <c r="AK20" s="31">
        <f>平成11年度!H19</f>
        <v>85006</v>
      </c>
      <c r="AL20" s="32">
        <f>平成11年度!C19</f>
        <v>43579</v>
      </c>
      <c r="AM20" s="33">
        <f>平成11年度!P19</f>
        <v>292833</v>
      </c>
      <c r="AN20" s="33">
        <f>平成11年度!O19</f>
        <v>106170</v>
      </c>
      <c r="AO20" s="34">
        <f>ROUND(+平成15年度!AK20/平成15年度!AM20,4)</f>
        <v>0.2903</v>
      </c>
      <c r="AP20" s="35">
        <f>ROUND(+平成15年度!AL20/平成15年度!AN20,4)</f>
        <v>0.41049999999999998</v>
      </c>
      <c r="AQ20" s="36">
        <f>ROUND((+平成15年度!AO20-平成15年度!AO19),4)</f>
        <v>9.7999999999999997E-3</v>
      </c>
      <c r="AR20" s="36">
        <f>ROUND((+平成15年度!AP20-平成15年度!AP19),4)</f>
        <v>1.24E-2</v>
      </c>
    </row>
    <row r="21" spans="1:44" ht="20.149999999999999" customHeight="1" x14ac:dyDescent="0.2">
      <c r="A21" s="1"/>
      <c r="B21" s="43" t="s">
        <v>2434</v>
      </c>
      <c r="C21" s="314">
        <f>C20/COUNTA(C8:C19)</f>
        <v>50385.666666666664</v>
      </c>
      <c r="D21" s="321" t="e">
        <f>#VALUE!</f>
        <v>#VALUE!</v>
      </c>
      <c r="E21" s="322" t="e">
        <f>#VALUE!</f>
        <v>#VALUE!</v>
      </c>
      <c r="F21" s="322">
        <f>F20/COUNTA(F8:F19)</f>
        <v>2648.3333333333335</v>
      </c>
      <c r="G21" s="323">
        <f>G20/COUNTA(G8:G19)</f>
        <v>7540.25</v>
      </c>
      <c r="H21" s="314" t="e">
        <f>#VALUE!</f>
        <v>#VALUE!</v>
      </c>
      <c r="I21" s="321" t="e">
        <f>#VALUE!</f>
        <v>#VALUE!</v>
      </c>
      <c r="J21" s="322">
        <f>J20/COUNTA(J8:J19)</f>
        <v>54985.166666666664</v>
      </c>
      <c r="K21" s="322">
        <f>K20/COUNTA(K8:K19)</f>
        <v>24751.083333333332</v>
      </c>
      <c r="L21" s="322" t="e">
        <f>#VALUE!</f>
        <v>#VALUE!</v>
      </c>
      <c r="M21" s="322">
        <f>M20/COUNTA(M8:M19)</f>
        <v>11371.833333333334</v>
      </c>
      <c r="N21" s="323">
        <f>N20/COUNTA(N8:N19)</f>
        <v>5341.666666666667</v>
      </c>
      <c r="O21" s="314">
        <f>O20/COUNTA(O8:O19)</f>
        <v>29135.083333333332</v>
      </c>
      <c r="P21" s="321" t="e">
        <f>#VALUE!</f>
        <v>#VALUE!</v>
      </c>
      <c r="Q21" s="323">
        <f>Q20/COUNTA(Q8:Q19)</f>
        <v>7458.833333333333</v>
      </c>
      <c r="R21" s="314">
        <f>R20/COUNTA(R8:R19)</f>
        <v>111835.08333333333</v>
      </c>
      <c r="S21" s="321">
        <f>S20/COUNTA(S8:S19)</f>
        <v>297229</v>
      </c>
      <c r="T21" s="50">
        <f>平成15年度!C21/平成15年度!R21</f>
        <v>0.45053542381229505</v>
      </c>
      <c r="U21" s="51" t="e">
        <f>平成15年度!H21/平成15年度!S21</f>
        <v>#VALUE!</v>
      </c>
      <c r="V21" s="52" t="e">
        <f>平成15年度!L21/平成15年度!H21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2435</v>
      </c>
      <c r="AK21" s="31">
        <f>平成12年度!H19</f>
        <v>87854</v>
      </c>
      <c r="AL21" s="32">
        <f>平成12年度!C19</f>
        <v>45290</v>
      </c>
      <c r="AM21" s="33">
        <f>平成12年度!P19</f>
        <v>20917</v>
      </c>
      <c r="AN21" s="33">
        <f>平成12年度!O19</f>
        <v>27178</v>
      </c>
      <c r="AO21" s="34">
        <f>ROUND(+平成15年度!AK21/平成15年度!AM21,4)</f>
        <v>4.2000999999999999</v>
      </c>
      <c r="AP21" s="35">
        <f>ROUND(+平成15年度!AL21/平成15年度!AN21,4)</f>
        <v>1.6664000000000001</v>
      </c>
      <c r="AQ21" s="36">
        <f>ROUND((+平成15年度!AO21-平成15年度!AO20),4)</f>
        <v>3.9098000000000002</v>
      </c>
      <c r="AR21" s="36">
        <f>ROUND((+平成15年度!AP21-平成15年度!AP20),4)</f>
        <v>1.2559</v>
      </c>
    </row>
    <row r="22" spans="1:44" ht="20.149999999999999" customHeight="1" x14ac:dyDescent="0.2">
      <c r="A22" s="1"/>
      <c r="B22" s="81"/>
      <c r="C22" s="316"/>
      <c r="D22" s="83"/>
      <c r="E22" s="84"/>
      <c r="F22" s="84"/>
      <c r="G22" s="85"/>
      <c r="H22" s="316"/>
      <c r="I22" s="86"/>
      <c r="J22" s="84"/>
      <c r="K22" s="84"/>
      <c r="L22" s="87"/>
      <c r="M22" s="84"/>
      <c r="N22" s="85"/>
      <c r="O22" s="316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2436</v>
      </c>
      <c r="AK22" s="31">
        <f>平成13年度!H19</f>
        <v>91363</v>
      </c>
      <c r="AL22" s="32">
        <f>平成13年度!C19</f>
        <v>47502</v>
      </c>
      <c r="AM22" s="33">
        <f>平成13年度!P19</f>
        <v>21019</v>
      </c>
      <c r="AN22" s="33">
        <f>平成13年度!O19</f>
        <v>27824</v>
      </c>
      <c r="AO22" s="34">
        <f>ROUND(+平成15年度!AK22/平成15年度!AM22,4)</f>
        <v>4.3467000000000002</v>
      </c>
      <c r="AP22" s="35">
        <f>ROUND(+平成15年度!AL22/平成15年度!AN22,4)</f>
        <v>1.7072000000000001</v>
      </c>
      <c r="AQ22" s="36">
        <f>ROUND((+平成15年度!AO22-平成15年度!AO21),4)</f>
        <v>0.14660000000000001</v>
      </c>
      <c r="AR22" s="36">
        <f>ROUND((+平成15年度!AP22-平成15年度!AP21),4)</f>
        <v>4.0800000000000003E-2</v>
      </c>
    </row>
    <row r="23" spans="1:44" ht="20.149999999999999" customHeight="1" x14ac:dyDescent="0.2">
      <c r="A23" s="1"/>
      <c r="B23" s="43" t="s">
        <v>2437</v>
      </c>
      <c r="C23" s="314">
        <f>平成15年度!C8</f>
        <v>50078</v>
      </c>
      <c r="D23" s="45">
        <f>平成15年度!D8</f>
        <v>42880</v>
      </c>
      <c r="E23" s="79">
        <f>平成15年度!E8</f>
        <v>40300</v>
      </c>
      <c r="F23" s="79">
        <f>平成15年度!F8</f>
        <v>2580</v>
      </c>
      <c r="G23" s="80">
        <f>平成15年度!G8</f>
        <v>7198</v>
      </c>
      <c r="H23" s="314">
        <f>平成15年度!H8</f>
        <v>95988</v>
      </c>
      <c r="I23" s="45">
        <f>平成15年度!I8</f>
        <v>79954</v>
      </c>
      <c r="J23" s="79">
        <f>平成15年度!J8</f>
        <v>54869</v>
      </c>
      <c r="K23" s="79">
        <f>平成15年度!K8</f>
        <v>25085</v>
      </c>
      <c r="L23" s="79">
        <f>平成15年度!L8</f>
        <v>16034</v>
      </c>
      <c r="M23" s="79">
        <f>平成15年度!M8</f>
        <v>10927</v>
      </c>
      <c r="N23" s="80">
        <f>平成15年度!N8</f>
        <v>5107</v>
      </c>
      <c r="O23" s="314">
        <f>平成15年度!O8</f>
        <v>29166</v>
      </c>
      <c r="P23" s="45">
        <f>平成15年度!P8</f>
        <v>21733</v>
      </c>
      <c r="Q23" s="80">
        <f>平成15年度!Q8</f>
        <v>7433</v>
      </c>
      <c r="R23" s="48">
        <f>平成15年度!R8</f>
        <v>111478</v>
      </c>
      <c r="S23" s="45">
        <f>平成15年度!S8</f>
        <v>297099</v>
      </c>
      <c r="T23" s="50">
        <f>平成15年度!C23/平成15年度!R23</f>
        <v>0.44921867991890779</v>
      </c>
      <c r="U23" s="51">
        <f>平成15年度!H23/平成15年度!S23</f>
        <v>0.32308422445043572</v>
      </c>
      <c r="V23" s="52">
        <f>平成15年度!L23/平成15年度!H23</f>
        <v>0.16704171354752678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2438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ROUND(+平成15年度!AK23/平成15年度!AM23,4)</f>
        <v>4.4180999999999999</v>
      </c>
      <c r="AP23" s="68">
        <f>ROUND(+平成15年度!AL23/平成15年度!AN23,4)</f>
        <v>1.7375</v>
      </c>
      <c r="AQ23" s="36">
        <f>ROUND((+平成15年度!AO23-平成15年度!AO22),4)</f>
        <v>7.1400000000000005E-2</v>
      </c>
      <c r="AR23" s="36">
        <f>ROUND((+平成15年度!AP23-平成15年度!AP22),4)</f>
        <v>3.0300000000000001E-2</v>
      </c>
    </row>
    <row r="24" spans="1:44" ht="20.149999999999999" customHeight="1" x14ac:dyDescent="0.2">
      <c r="A24" s="1"/>
      <c r="B24" s="53" t="s">
        <v>2439</v>
      </c>
      <c r="C24" s="315">
        <f>SUM(平成15年度!C8:C9)</f>
        <v>100207</v>
      </c>
      <c r="D24" s="55">
        <f>SUM(平成15年度!D8:D9)</f>
        <v>85784</v>
      </c>
      <c r="E24" s="89">
        <f>SUM(平成15年度!E8:E9)</f>
        <v>80615</v>
      </c>
      <c r="F24" s="89">
        <f>SUM(平成15年度!F8:F9)</f>
        <v>5169</v>
      </c>
      <c r="G24" s="90">
        <f>SUM(平成15年度!G8:G9)</f>
        <v>14423</v>
      </c>
      <c r="H24" s="315">
        <f>SUM(平成15年度!H8:H9)</f>
        <v>192008</v>
      </c>
      <c r="I24" s="55">
        <f>SUM(平成15年度!I8:I9)</f>
        <v>159874</v>
      </c>
      <c r="J24" s="89">
        <f>SUM(平成15年度!J8:J9)</f>
        <v>109767</v>
      </c>
      <c r="K24" s="89">
        <f>SUM(平成15年度!K8:K9)</f>
        <v>50107</v>
      </c>
      <c r="L24" s="89">
        <f>SUM(平成15年度!L8:L9)</f>
        <v>32134</v>
      </c>
      <c r="M24" s="89">
        <f>SUM(平成15年度!M8:M9)</f>
        <v>21889</v>
      </c>
      <c r="N24" s="90">
        <f>SUM(平成15年度!N8:N9)</f>
        <v>10245</v>
      </c>
      <c r="O24" s="315">
        <f>SUM(平成15年度!O8:O9)</f>
        <v>58328</v>
      </c>
      <c r="P24" s="55">
        <f>SUM(平成15年度!P8:P9)</f>
        <v>43504</v>
      </c>
      <c r="Q24" s="90">
        <f>SUM(平成15年度!Q8:Q9)</f>
        <v>14824</v>
      </c>
      <c r="R24" s="58">
        <f>SUM(平成15年度!R8:R9)</f>
        <v>223054</v>
      </c>
      <c r="S24" s="55">
        <f>SUM(平成15年度!S8:S9)</f>
        <v>594256</v>
      </c>
      <c r="T24" s="60">
        <f>平成15年度!C24/平成15年度!R24</f>
        <v>0.44924995740941653</v>
      </c>
      <c r="U24" s="61">
        <f>平成15年度!H24/平成15年度!S24</f>
        <v>0.32310653994238175</v>
      </c>
      <c r="V24" s="62">
        <f>平成15年度!L24/平成15年度!H24</f>
        <v>0.1673576100995792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2440</v>
      </c>
      <c r="AK24" s="70">
        <f>平成15年度!H14</f>
        <v>96694</v>
      </c>
      <c r="AL24" s="71">
        <f>平成15年度!C14</f>
        <v>50511</v>
      </c>
      <c r="AM24" s="72">
        <f>平成15年度!S14</f>
        <v>297304</v>
      </c>
      <c r="AN24" s="72">
        <f>平成15年度!R14</f>
        <v>111870</v>
      </c>
      <c r="AO24" s="73">
        <f>ROUND(+平成15年度!AK24/平成15年度!AM24,4)</f>
        <v>0.32519999999999999</v>
      </c>
      <c r="AP24" s="74">
        <f>ROUND(+平成15年度!AL24/平成15年度!AN24,4)</f>
        <v>0.45150000000000001</v>
      </c>
      <c r="AQ24" s="36">
        <f>ROUND((+平成15年度!AO24-平成15年度!AO23),4)</f>
        <v>-4.0929000000000002</v>
      </c>
      <c r="AR24" s="36">
        <f>ROUND((+平成15年度!AP24-平成15年度!AP23),4)</f>
        <v>-1.286</v>
      </c>
    </row>
    <row r="25" spans="1:44" ht="20.149999999999999" customHeight="1" x14ac:dyDescent="0.2">
      <c r="A25" s="1"/>
      <c r="B25" s="53" t="s">
        <v>2441</v>
      </c>
      <c r="C25" s="315">
        <f>SUM(平成15年度!C8:C10)</f>
        <v>150356</v>
      </c>
      <c r="D25" s="55">
        <f>SUM(平成15年度!D8:D10)</f>
        <v>128660</v>
      </c>
      <c r="E25" s="89">
        <f>SUM(平成15年度!E8:E10)</f>
        <v>120892</v>
      </c>
      <c r="F25" s="89">
        <f>SUM(平成15年度!F8:F10)</f>
        <v>7768</v>
      </c>
      <c r="G25" s="90">
        <f>SUM(平成15年度!G8:G10)</f>
        <v>21696</v>
      </c>
      <c r="H25" s="315">
        <f>SUM(平成15年度!H8:H10)</f>
        <v>288138</v>
      </c>
      <c r="I25" s="55">
        <f>SUM(平成15年度!I8:I10)</f>
        <v>239806</v>
      </c>
      <c r="J25" s="89">
        <f>SUM(平成15年度!J8:J10)</f>
        <v>164725</v>
      </c>
      <c r="K25" s="89">
        <f>SUM(平成15年度!K8:K10)</f>
        <v>75081</v>
      </c>
      <c r="L25" s="89">
        <f>SUM(平成15年度!L8:L10)</f>
        <v>48332</v>
      </c>
      <c r="M25" s="89">
        <f>SUM(平成15年度!M8:M10)</f>
        <v>32917</v>
      </c>
      <c r="N25" s="90">
        <f>SUM(平成15年度!N8:N10)</f>
        <v>15415</v>
      </c>
      <c r="O25" s="315">
        <f>SUM(平成15年度!O8:O10)</f>
        <v>87495</v>
      </c>
      <c r="P25" s="55">
        <f>SUM(平成15年度!P8:P10)</f>
        <v>65287</v>
      </c>
      <c r="Q25" s="90">
        <f>SUM(平成15年度!Q8:Q10)</f>
        <v>22208</v>
      </c>
      <c r="R25" s="58">
        <f>SUM(平成15年度!R8:R10)</f>
        <v>334607</v>
      </c>
      <c r="S25" s="55">
        <f>SUM(平成15年度!S8:S10)</f>
        <v>891355</v>
      </c>
      <c r="T25" s="60">
        <f>平成15年度!C25/平成15年度!R25</f>
        <v>0.44935102971545726</v>
      </c>
      <c r="U25" s="61">
        <f>平成15年度!H25/平成15年度!S25</f>
        <v>0.32325840994889804</v>
      </c>
      <c r="V25" s="62">
        <f>平成15年度!L25/平成15年度!H25</f>
        <v>0.16773906947365499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2442</v>
      </c>
      <c r="AK25" s="1"/>
      <c r="AL25" s="1"/>
      <c r="AM25" s="1"/>
      <c r="AN25" s="1"/>
      <c r="AO25" s="1"/>
      <c r="AP25" s="1"/>
      <c r="AQ25" s="1"/>
      <c r="AR25" s="1"/>
    </row>
    <row r="26" spans="1:44" ht="20.149999999999999" customHeight="1" x14ac:dyDescent="0.2">
      <c r="A26" s="1"/>
      <c r="B26" s="53" t="s">
        <v>2443</v>
      </c>
      <c r="C26" s="315">
        <f>SUM(平成15年度!C8:C11)</f>
        <v>200600</v>
      </c>
      <c r="D26" s="55">
        <f>SUM(平成15年度!D8:D11)</f>
        <v>171479</v>
      </c>
      <c r="E26" s="89">
        <f>SUM(平成15年度!E8:E11)</f>
        <v>161069</v>
      </c>
      <c r="F26" s="89">
        <f>SUM(平成15年度!F8:F11)</f>
        <v>10410</v>
      </c>
      <c r="G26" s="90">
        <f>SUM(平成15年度!G8:G11)</f>
        <v>29121</v>
      </c>
      <c r="H26" s="315">
        <f>SUM(平成15年度!H8:H11)</f>
        <v>384439</v>
      </c>
      <c r="I26" s="55">
        <f>SUM(平成15年度!I8:I11)</f>
        <v>319582</v>
      </c>
      <c r="J26" s="89">
        <f>SUM(平成15年度!J8:J11)</f>
        <v>219566</v>
      </c>
      <c r="K26" s="89">
        <f>SUM(平成15年度!K8:K11)</f>
        <v>100016</v>
      </c>
      <c r="L26" s="89">
        <f>SUM(平成15年度!L8:L11)</f>
        <v>64857</v>
      </c>
      <c r="M26" s="89">
        <f>SUM(平成15年度!M8:M11)</f>
        <v>44161</v>
      </c>
      <c r="N26" s="90">
        <f>SUM(平成15年度!N8:N11)</f>
        <v>20696</v>
      </c>
      <c r="O26" s="315">
        <f>SUM(平成15年度!O8:O11)</f>
        <v>116732</v>
      </c>
      <c r="P26" s="55">
        <f>SUM(平成15年度!P8:P11)</f>
        <v>86945</v>
      </c>
      <c r="Q26" s="90">
        <f>SUM(平成15年度!Q8:Q11)</f>
        <v>29787</v>
      </c>
      <c r="R26" s="58">
        <f>SUM(平成15年度!R8:R11)</f>
        <v>446169</v>
      </c>
      <c r="S26" s="55">
        <f>SUM(平成15年度!S8:S11)</f>
        <v>1188406</v>
      </c>
      <c r="T26" s="60">
        <f>平成15年度!C26/平成15年度!R26</f>
        <v>0.44960541857457598</v>
      </c>
      <c r="U26" s="61">
        <f>平成15年度!H26/平成15年度!S26</f>
        <v>0.32349129842831492</v>
      </c>
      <c r="V26" s="62">
        <f>平成15年度!L26/平成15年度!H26</f>
        <v>0.16870556837365616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2444</v>
      </c>
      <c r="AK26" s="76">
        <f>平成15年度!AK23/平成15年度!AK18</f>
        <v>1.2014763517369964</v>
      </c>
      <c r="AL26" s="77">
        <f>平成15年度!AL23/平成15年度!AL18</f>
        <v>1.241609726688103</v>
      </c>
      <c r="AM26" s="77">
        <f>平成15年度!AM23/平成15年度!AM18</f>
        <v>7.3587858569634068E-2</v>
      </c>
      <c r="AN26" s="77">
        <f>平成15年度!AN23/平成15年度!AN18</f>
        <v>0.27549271221732602</v>
      </c>
      <c r="AO26" s="78">
        <f>平成15年度!AO23/平成15年度!AO18</f>
        <v>16.327050997782706</v>
      </c>
      <c r="AP26" s="74">
        <f>平成15年度!AP23/平成15年度!AP18</f>
        <v>4.5071335927367056</v>
      </c>
      <c r="AQ26" s="1"/>
      <c r="AR26" s="1"/>
    </row>
    <row r="27" spans="1:44" ht="20.149999999999999" customHeight="1" x14ac:dyDescent="0.2">
      <c r="A27" s="1"/>
      <c r="B27" s="53" t="s">
        <v>2445</v>
      </c>
      <c r="C27" s="315">
        <f>SUM(平成15年度!C8:C12)</f>
        <v>250880</v>
      </c>
      <c r="D27" s="55">
        <f>SUM(平成15年度!D8:D12)</f>
        <v>214305</v>
      </c>
      <c r="E27" s="89">
        <f>SUM(平成15年度!E8:E12)</f>
        <v>201247</v>
      </c>
      <c r="F27" s="89">
        <f>SUM(平成15年度!F8:F12)</f>
        <v>13058</v>
      </c>
      <c r="G27" s="90">
        <f>SUM(平成15年度!G8:G12)</f>
        <v>36575</v>
      </c>
      <c r="H27" s="315">
        <f>SUM(平成15年度!H8:H12)</f>
        <v>480782</v>
      </c>
      <c r="I27" s="55">
        <f>SUM(平成15年度!I8:I12)</f>
        <v>399338</v>
      </c>
      <c r="J27" s="89">
        <f>SUM(平成15年度!J8:J12)</f>
        <v>274470</v>
      </c>
      <c r="K27" s="89">
        <f>SUM(平成15年度!K8:K12)</f>
        <v>124868</v>
      </c>
      <c r="L27" s="89">
        <f>SUM(平成15年度!L8:L12)</f>
        <v>81444</v>
      </c>
      <c r="M27" s="89">
        <f>SUM(平成15年度!M8:M12)</f>
        <v>55448</v>
      </c>
      <c r="N27" s="90">
        <f>SUM(平成15年度!N8:N12)</f>
        <v>25996</v>
      </c>
      <c r="O27" s="315">
        <f>SUM(平成15年度!O8:O12)</f>
        <v>145934</v>
      </c>
      <c r="P27" s="55">
        <f>SUM(平成15年度!P8:P12)</f>
        <v>108602</v>
      </c>
      <c r="Q27" s="90">
        <f>SUM(平成15年度!Q8:Q12)</f>
        <v>37332</v>
      </c>
      <c r="R27" s="58">
        <f>SUM(平成15年度!R8:R12)</f>
        <v>557863</v>
      </c>
      <c r="S27" s="55">
        <f>SUM(平成15年度!S8:S12)</f>
        <v>1485660</v>
      </c>
      <c r="T27" s="60">
        <f>平成15年度!C27/平成15年度!R27</f>
        <v>0.44971614894696366</v>
      </c>
      <c r="U27" s="61">
        <f>平成15年度!H27/平成15年度!S27</f>
        <v>0.32361509362842106</v>
      </c>
      <c r="V27" s="62">
        <f>平成15年度!L27/平成15年度!H27</f>
        <v>0.16939902076200855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0.149999999999999" customHeight="1" x14ac:dyDescent="0.2">
      <c r="A28" s="1"/>
      <c r="B28" s="53" t="s">
        <v>2446</v>
      </c>
      <c r="C28" s="315">
        <f>SUM(平成15年度!C8:C13)</f>
        <v>301272</v>
      </c>
      <c r="D28" s="55">
        <f>SUM(平成15年度!D8:D13)</f>
        <v>257170</v>
      </c>
      <c r="E28" s="89">
        <f>SUM(平成15年度!E8:E13)</f>
        <v>241457</v>
      </c>
      <c r="F28" s="89">
        <f>SUM(平成15年度!F8:F13)</f>
        <v>15713</v>
      </c>
      <c r="G28" s="90">
        <f>SUM(平成15年度!G8:G13)</f>
        <v>44102</v>
      </c>
      <c r="H28" s="315">
        <f>SUM(平成15年度!H8:H13)</f>
        <v>577273</v>
      </c>
      <c r="I28" s="55">
        <f>SUM(平成15年度!I8:I13)</f>
        <v>479139</v>
      </c>
      <c r="J28" s="89">
        <f>SUM(平成15年度!J8:J13)</f>
        <v>329460</v>
      </c>
      <c r="K28" s="89">
        <f>SUM(平成15年度!K8:K13)</f>
        <v>149679</v>
      </c>
      <c r="L28" s="89">
        <f>SUM(平成15年度!L8:L13)</f>
        <v>98134</v>
      </c>
      <c r="M28" s="89">
        <f>SUM(平成15年度!M8:M13)</f>
        <v>66820</v>
      </c>
      <c r="N28" s="90">
        <f>SUM(平成15年度!N8:N13)</f>
        <v>31314</v>
      </c>
      <c r="O28" s="315">
        <f>SUM(平成15年度!O8:O13)</f>
        <v>175133</v>
      </c>
      <c r="P28" s="55">
        <f>SUM(平成15年度!P8:P13)</f>
        <v>130263</v>
      </c>
      <c r="Q28" s="90">
        <f>SUM(平成15年度!Q8:Q13)</f>
        <v>44870</v>
      </c>
      <c r="R28" s="58">
        <f>SUM(平成15年度!R8:R13)</f>
        <v>669621</v>
      </c>
      <c r="S28" s="55">
        <f>SUM(平成15年度!S8:S13)</f>
        <v>1782944</v>
      </c>
      <c r="T28" s="60">
        <f>平成15年度!C28/平成15年度!R28</f>
        <v>0.44991420519965769</v>
      </c>
      <c r="U28" s="61">
        <f>平成15年度!H28/平成15年度!S28</f>
        <v>0.32377517185060217</v>
      </c>
      <c r="V28" s="62">
        <f>平成15年度!L28/平成15年度!H28</f>
        <v>0.16999582519882275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20.149999999999999" customHeight="1" x14ac:dyDescent="0.2">
      <c r="A29" s="1"/>
      <c r="B29" s="53" t="s">
        <v>2447</v>
      </c>
      <c r="C29" s="315">
        <f>SUM(平成15年度!C8:C14)</f>
        <v>351783</v>
      </c>
      <c r="D29" s="55">
        <f>SUM(平成15年度!D8:D14)</f>
        <v>300073</v>
      </c>
      <c r="E29" s="89">
        <f>SUM(平成15年度!E8:E14)</f>
        <v>281697</v>
      </c>
      <c r="F29" s="89">
        <f>SUM(平成15年度!F8:F14)</f>
        <v>18376</v>
      </c>
      <c r="G29" s="90">
        <f>SUM(平成15年度!G8:G14)</f>
        <v>51710</v>
      </c>
      <c r="H29" s="315">
        <f>SUM(平成15年度!H8:H14)</f>
        <v>673967</v>
      </c>
      <c r="I29" s="55">
        <f>SUM(平成15年度!I8:I14)</f>
        <v>559002</v>
      </c>
      <c r="J29" s="89">
        <f>SUM(平成15年度!J8:J14)</f>
        <v>384575</v>
      </c>
      <c r="K29" s="89">
        <f>SUM(平成15年度!K8:K14)</f>
        <v>174427</v>
      </c>
      <c r="L29" s="89">
        <f>SUM(平成15年度!L8:L14)</f>
        <v>114965</v>
      </c>
      <c r="M29" s="89">
        <f>SUM(平成15年度!M8:M14)</f>
        <v>78284</v>
      </c>
      <c r="N29" s="90">
        <f>SUM(平成15年度!N8:N14)</f>
        <v>36681</v>
      </c>
      <c r="O29" s="315">
        <f>SUM(平成15年度!O8:O14)</f>
        <v>204371</v>
      </c>
      <c r="P29" s="55">
        <f>SUM(平成15年度!P8:P14)</f>
        <v>151955</v>
      </c>
      <c r="Q29" s="90">
        <f>SUM(平成15年度!Q8:Q14)</f>
        <v>52416</v>
      </c>
      <c r="R29" s="58">
        <f>SUM(平成15年度!R8:R14)</f>
        <v>781491</v>
      </c>
      <c r="S29" s="55">
        <f>SUM(平成15年度!S8:S14)</f>
        <v>2080248</v>
      </c>
      <c r="T29" s="60">
        <f>平成15年度!C29/平成15年度!R29</f>
        <v>0.45014337977020846</v>
      </c>
      <c r="U29" s="61">
        <f>平成15年度!H29/平成15年度!S29</f>
        <v>0.32398396729620699</v>
      </c>
      <c r="V29" s="62">
        <f>平成15年度!L29/平成15年度!H29</f>
        <v>0.17057956843584329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0.149999999999999" customHeight="1" x14ac:dyDescent="0.2">
      <c r="A30" s="1"/>
      <c r="B30" s="53" t="s">
        <v>2448</v>
      </c>
      <c r="C30" s="315">
        <f>SUM(平成15年度!C8:C15)</f>
        <v>402287</v>
      </c>
      <c r="D30" s="55">
        <f>SUM(平成15年度!D8:D15)</f>
        <v>342957</v>
      </c>
      <c r="E30" s="89">
        <f>SUM(平成15年度!E8:E15)</f>
        <v>321919</v>
      </c>
      <c r="F30" s="89">
        <f>SUM(平成15年度!F8:F15)</f>
        <v>21038</v>
      </c>
      <c r="G30" s="90">
        <f>SUM(平成15年度!G8:G15)</f>
        <v>59330</v>
      </c>
      <c r="H30" s="315">
        <f>SUM(平成15年度!H8:H15)</f>
        <v>770637</v>
      </c>
      <c r="I30" s="55">
        <f>SUM(平成15年度!I8:I15)</f>
        <v>638815</v>
      </c>
      <c r="J30" s="89">
        <f>SUM(平成15年度!J8:J15)</f>
        <v>439708</v>
      </c>
      <c r="K30" s="89">
        <f>SUM(平成15年度!K8:K15)</f>
        <v>199107</v>
      </c>
      <c r="L30" s="89">
        <f>SUM(平成15年度!L8:L15)</f>
        <v>131822</v>
      </c>
      <c r="M30" s="89">
        <f>SUM(平成15年度!M8:M15)</f>
        <v>89760</v>
      </c>
      <c r="N30" s="90">
        <f>SUM(平成15年度!N8:N15)</f>
        <v>42062</v>
      </c>
      <c r="O30" s="315">
        <f>SUM(平成15年度!O8:O15)</f>
        <v>233540</v>
      </c>
      <c r="P30" s="55">
        <f>SUM(平成15年度!P8:P15)</f>
        <v>173658</v>
      </c>
      <c r="Q30" s="90">
        <f>SUM(平成15年度!Q8:Q15)</f>
        <v>59882</v>
      </c>
      <c r="R30" s="58">
        <f>SUM(平成15年度!R8:R15)</f>
        <v>893451</v>
      </c>
      <c r="S30" s="55">
        <f>SUM(平成15年度!S8:S15)</f>
        <v>2377600</v>
      </c>
      <c r="T30" s="60">
        <f>平成15年度!C30/平成15年度!R30</f>
        <v>0.45026196176399153</v>
      </c>
      <c r="U30" s="61">
        <f>平成15年度!H30/平成15年度!S30</f>
        <v>0.3241239064602961</v>
      </c>
      <c r="V30" s="62">
        <f>平成15年度!L30/平成15年度!H30</f>
        <v>0.17105589272251398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0.149999999999999" customHeight="1" x14ac:dyDescent="0.2">
      <c r="A31" s="1"/>
      <c r="B31" s="53" t="s">
        <v>2449</v>
      </c>
      <c r="C31" s="315">
        <f>SUM(平成15年度!C8:C16)</f>
        <v>452817</v>
      </c>
      <c r="D31" s="55">
        <f>SUM(平成15年度!D8:D16)</f>
        <v>385838</v>
      </c>
      <c r="E31" s="89">
        <f>SUM(平成15年度!E8:E16)</f>
        <v>362141</v>
      </c>
      <c r="F31" s="89">
        <f>SUM(平成15年度!F8:F16)</f>
        <v>23697</v>
      </c>
      <c r="G31" s="90">
        <f>SUM(平成15年度!G8:G16)</f>
        <v>66979</v>
      </c>
      <c r="H31" s="315">
        <f>SUM(平成15年度!H8:H16)</f>
        <v>867297</v>
      </c>
      <c r="I31" s="55">
        <f>SUM(平成15年度!I8:I16)</f>
        <v>718576</v>
      </c>
      <c r="J31" s="89">
        <f>SUM(平成15年度!J8:J16)</f>
        <v>494853</v>
      </c>
      <c r="K31" s="89">
        <f>SUM(平成15年度!K8:K16)</f>
        <v>223723</v>
      </c>
      <c r="L31" s="89">
        <f>SUM(平成15年度!L8:L16)</f>
        <v>148721</v>
      </c>
      <c r="M31" s="89">
        <f>SUM(平成15年度!M8:M16)</f>
        <v>101261</v>
      </c>
      <c r="N31" s="90">
        <f>SUM(平成15年度!N8:N16)</f>
        <v>47460</v>
      </c>
      <c r="O31" s="315">
        <f>SUM(平成15年度!O8:O16)</f>
        <v>262683</v>
      </c>
      <c r="P31" s="55">
        <f>SUM(平成15年度!P8:P16)</f>
        <v>195393</v>
      </c>
      <c r="Q31" s="90">
        <f>SUM(平成15年度!Q8:Q16)</f>
        <v>67290</v>
      </c>
      <c r="R31" s="58">
        <f>SUM(平成15年度!R8:R16)</f>
        <v>1005482</v>
      </c>
      <c r="S31" s="55">
        <f>SUM(平成15年度!S8:S16)</f>
        <v>2674940</v>
      </c>
      <c r="T31" s="60">
        <f>平成15年度!C31/平成15年度!R31</f>
        <v>0.45034819121575526</v>
      </c>
      <c r="U31" s="61">
        <f>平成15年度!H31/平成15年度!S31</f>
        <v>0.3242304500287857</v>
      </c>
      <c r="V31" s="62">
        <f>平成15年度!L31/平成15年度!H31</f>
        <v>0.17147643771395496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20.149999999999999" customHeight="1" x14ac:dyDescent="0.2">
      <c r="A32" s="1"/>
      <c r="B32" s="53" t="s">
        <v>2450</v>
      </c>
      <c r="C32" s="315">
        <f>SUM(平成15年度!C8:C17)</f>
        <v>503439</v>
      </c>
      <c r="D32" s="55">
        <f>SUM(平成15年度!D8:D17)</f>
        <v>428674</v>
      </c>
      <c r="E32" s="89">
        <f>SUM(平成15年度!E8:E17)</f>
        <v>402277</v>
      </c>
      <c r="F32" s="89">
        <f>SUM(平成15年度!F8:F17)</f>
        <v>26397</v>
      </c>
      <c r="G32" s="90">
        <f>SUM(平成15年度!G8:G17)</f>
        <v>74765</v>
      </c>
      <c r="H32" s="315">
        <f>SUM(平成15年度!H8:H17)</f>
        <v>964100</v>
      </c>
      <c r="I32" s="55">
        <f>SUM(平成15年度!I8:I17)</f>
        <v>798176</v>
      </c>
      <c r="J32" s="89">
        <f>SUM(平成15年度!J8:J17)</f>
        <v>549936</v>
      </c>
      <c r="K32" s="89">
        <f>SUM(平成15年度!K8:K17)</f>
        <v>248240</v>
      </c>
      <c r="L32" s="89">
        <f>SUM(平成15年度!L8:L17)</f>
        <v>165924</v>
      </c>
      <c r="M32" s="89">
        <f>SUM(平成15年度!M8:M17)</f>
        <v>112953</v>
      </c>
      <c r="N32" s="90">
        <f>SUM(平成15年度!N8:N17)</f>
        <v>52971</v>
      </c>
      <c r="O32" s="315">
        <f>SUM(平成15年度!O8:O17)</f>
        <v>291764</v>
      </c>
      <c r="P32" s="55">
        <f>SUM(平成15年度!P8:P17)</f>
        <v>216998</v>
      </c>
      <c r="Q32" s="90">
        <f>SUM(平成15年度!Q8:Q17)</f>
        <v>74766</v>
      </c>
      <c r="R32" s="58">
        <f>SUM(平成15年度!R8:R17)</f>
        <v>1117594</v>
      </c>
      <c r="S32" s="55">
        <f>SUM(平成15年度!S8:S17)</f>
        <v>2972409</v>
      </c>
      <c r="T32" s="60">
        <f>平成15年度!C32/平成15年度!R32</f>
        <v>0.45046680637154457</v>
      </c>
      <c r="U32" s="61">
        <f>平成15年度!H32/平成15年度!S32</f>
        <v>0.32434971095835063</v>
      </c>
      <c r="V32" s="62">
        <f>平成15年度!L32/平成15年度!H32</f>
        <v>0.17210247899595477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20.149999999999999" customHeight="1" x14ac:dyDescent="0.2">
      <c r="A33" s="1"/>
      <c r="B33" s="53" t="s">
        <v>2451</v>
      </c>
      <c r="C33" s="315">
        <f>SUM(平成15年度!C8:C18)</f>
        <v>554037</v>
      </c>
      <c r="D33" s="55">
        <f>SUM(平成15年度!D8:D18)</f>
        <v>471440</v>
      </c>
      <c r="E33" s="89">
        <f>SUM(平成15年度!E8:E18)</f>
        <v>442345</v>
      </c>
      <c r="F33" s="89">
        <f>SUM(平成15年度!F8:F18)</f>
        <v>29095</v>
      </c>
      <c r="G33" s="90">
        <f>SUM(平成15年度!G8:G18)</f>
        <v>82597</v>
      </c>
      <c r="H33" s="315">
        <f>SUM(平成15年度!H8:H18)</f>
        <v>1060761</v>
      </c>
      <c r="I33" s="55">
        <f>SUM(平成15年度!I8:I18)</f>
        <v>877557</v>
      </c>
      <c r="J33" s="89">
        <f>SUM(平成15年度!J8:J18)</f>
        <v>604882</v>
      </c>
      <c r="K33" s="89">
        <f>SUM(平成15年度!K8:K18)</f>
        <v>272675</v>
      </c>
      <c r="L33" s="89">
        <f>SUM(平成15年度!L8:L18)</f>
        <v>183204</v>
      </c>
      <c r="M33" s="89">
        <f>SUM(平成15年度!M8:M18)</f>
        <v>124684</v>
      </c>
      <c r="N33" s="90">
        <f>SUM(平成15年度!N8:N18)</f>
        <v>58520</v>
      </c>
      <c r="O33" s="315">
        <f>SUM(平成15年度!O8:O18)</f>
        <v>320706</v>
      </c>
      <c r="P33" s="55">
        <f>SUM(平成15年度!P8:P18)</f>
        <v>238543</v>
      </c>
      <c r="Q33" s="90">
        <f>SUM(平成15年度!Q8:Q18)</f>
        <v>82163</v>
      </c>
      <c r="R33" s="58">
        <f>SUM(平成15年度!R8:R18)</f>
        <v>1229742</v>
      </c>
      <c r="S33" s="55">
        <f>SUM(平成15年度!S8:S18)</f>
        <v>3269789</v>
      </c>
      <c r="T33" s="60">
        <f>平成15年度!C33/平成15年度!R33</f>
        <v>0.45053108700849448</v>
      </c>
      <c r="U33" s="61">
        <f>平成15年度!H33/平成15年度!S33</f>
        <v>0.32441267616962438</v>
      </c>
      <c r="V33" s="62">
        <f>平成15年度!L33/平成15年度!H33</f>
        <v>0.17270996954073536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20.149999999999999" customHeight="1" x14ac:dyDescent="0.2">
      <c r="A34" s="1"/>
      <c r="B34" s="53" t="s">
        <v>2452</v>
      </c>
      <c r="C34" s="315">
        <f>SUM(平成15年度!C8:C19)</f>
        <v>604628</v>
      </c>
      <c r="D34" s="55">
        <f>SUM(平成15年度!D8:D19)</f>
        <v>514145</v>
      </c>
      <c r="E34" s="89">
        <f>SUM(平成15年度!E8:E19)</f>
        <v>482365</v>
      </c>
      <c r="F34" s="89">
        <f>SUM(平成15年度!F8:F19)</f>
        <v>31780</v>
      </c>
      <c r="G34" s="90">
        <f>SUM(平成15年度!G8:G19)</f>
        <v>90483</v>
      </c>
      <c r="H34" s="315">
        <f>SUM(平成15年度!H8:H19)</f>
        <v>1157397</v>
      </c>
      <c r="I34" s="55">
        <f>SUM(平成15年度!I8:I19)</f>
        <v>956835</v>
      </c>
      <c r="J34" s="89">
        <f>SUM(平成15年度!J8:J19)</f>
        <v>659822</v>
      </c>
      <c r="K34" s="89">
        <f>SUM(平成15年度!K8:K19)</f>
        <v>297013</v>
      </c>
      <c r="L34" s="89">
        <f>SUM(平成15年度!L8:L19)</f>
        <v>200562</v>
      </c>
      <c r="M34" s="89">
        <f>SUM(平成15年度!M8:M19)</f>
        <v>136462</v>
      </c>
      <c r="N34" s="90">
        <f>SUM(平成15年度!N8:N19)</f>
        <v>64100</v>
      </c>
      <c r="O34" s="315">
        <f>SUM(平成15年度!O8:O19)</f>
        <v>349621</v>
      </c>
      <c r="P34" s="55">
        <f>SUM(平成15年度!P8:P19)</f>
        <v>260115</v>
      </c>
      <c r="Q34" s="90">
        <f>SUM(平成15年度!Q8:Q19)</f>
        <v>89506</v>
      </c>
      <c r="R34" s="58">
        <f>SUM(平成15年度!R8:R19)</f>
        <v>1342021</v>
      </c>
      <c r="S34" s="55">
        <f>SUM(平成15年度!S8:S19)</f>
        <v>3566748</v>
      </c>
      <c r="T34" s="60">
        <f>平成15年度!C34/平成15年度!R34</f>
        <v>0.45053542381229505</v>
      </c>
      <c r="U34" s="61">
        <f>平成15年度!H34/平成15年度!S34</f>
        <v>0.32449643204397954</v>
      </c>
      <c r="V34" s="62">
        <f>平成15年度!L34/平成15年度!H34</f>
        <v>0.17328712619783876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20.149999999999999" customHeight="1" x14ac:dyDescent="0.2">
      <c r="A35" s="1"/>
      <c r="B35" s="91" t="s">
        <v>2453</v>
      </c>
      <c r="C35" s="317">
        <f>平成14年度!C19+SUM(平成15年度!C8:C18)</f>
        <v>603463</v>
      </c>
      <c r="D35" s="93">
        <f>平成14年度!D19+SUM(平成15年度!D8:D18)</f>
        <v>513908</v>
      </c>
      <c r="E35" s="94">
        <f>平成14年度!E19+SUM(平成15年度!E8:E18)</f>
        <v>482345</v>
      </c>
      <c r="F35" s="94">
        <f>平成14年度!F19+SUM(平成15年度!F8:F18)</f>
        <v>31563</v>
      </c>
      <c r="G35" s="95">
        <f>平成14年度!G19+SUM(平成15年度!G8:G18)</f>
        <v>89555</v>
      </c>
      <c r="H35" s="317">
        <f>平成14年度!H19+SUM(平成15年度!H8:H18)</f>
        <v>1155489</v>
      </c>
      <c r="I35" s="93">
        <f>平成14年度!I19+SUM(平成15年度!I8:I18)</f>
        <v>956907</v>
      </c>
      <c r="J35" s="94">
        <f>平成14年度!J19+SUM(平成15年度!J8:J18)</f>
        <v>659197</v>
      </c>
      <c r="K35" s="94">
        <f>平成14年度!K19+SUM(平成15年度!K8:K18)</f>
        <v>297710</v>
      </c>
      <c r="L35" s="94">
        <f>平成14年度!L19+SUM(平成15年度!L8:L18)</f>
        <v>198582</v>
      </c>
      <c r="M35" s="94">
        <f>平成14年度!M19+SUM(平成15年度!M8:M18)</f>
        <v>135211</v>
      </c>
      <c r="N35" s="95">
        <f>平成14年度!N19+SUM(平成15年度!N8:N18)</f>
        <v>63371</v>
      </c>
      <c r="O35" s="317">
        <v>349152</v>
      </c>
      <c r="P35" s="93">
        <v>259984</v>
      </c>
      <c r="Q35" s="95">
        <v>89168</v>
      </c>
      <c r="R35" s="92">
        <f>平成14年度!O19+SUM(平成15年度!R8:R18)</f>
        <v>1258188</v>
      </c>
      <c r="S35" s="93">
        <f>平成14年度!P19+SUM(平成15年度!S8:S18)</f>
        <v>3291230</v>
      </c>
      <c r="T35" s="96">
        <f>平成15年度!C35/平成15年度!R35</f>
        <v>0.47962864055292215</v>
      </c>
      <c r="U35" s="97">
        <f>平成15年度!H35/平成15年度!S35</f>
        <v>0.35108120672210691</v>
      </c>
      <c r="V35" s="98">
        <f>平成15年度!L35/平成15年度!H35</f>
        <v>0.1718597061503831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平成15年度!K35/12</f>
        <v>24809.166666666668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20.149999999999999" customHeight="1" x14ac:dyDescent="0.2">
      <c r="A37" s="1"/>
      <c r="B37" s="101" t="s">
        <v>2454</v>
      </c>
      <c r="C37" s="102">
        <f>平成15年度!C2+平成15年度!C31</f>
        <v>600780</v>
      </c>
      <c r="D37" s="103">
        <f>平成15年度!D2+平成15年度!D31</f>
        <v>513140</v>
      </c>
      <c r="E37" s="104">
        <f>平成15年度!E2+平成15年度!E31</f>
        <v>482109</v>
      </c>
      <c r="F37" s="104">
        <f>平成15年度!F2+平成15年度!F31</f>
        <v>31031</v>
      </c>
      <c r="G37" s="105">
        <f>平成15年度!G2+平成15年度!G31</f>
        <v>87640</v>
      </c>
      <c r="H37" s="102">
        <f>平成15年度!H2+平成15年度!H31</f>
        <v>1151071</v>
      </c>
      <c r="I37" s="103">
        <f>平成15年度!I2+平成15年度!I31</f>
        <v>956678</v>
      </c>
      <c r="J37" s="104">
        <f>平成15年度!J2+平成15年度!J31</f>
        <v>657641</v>
      </c>
      <c r="K37" s="104">
        <f>平成15年度!K2+平成15年度!K31</f>
        <v>299037</v>
      </c>
      <c r="L37" s="104">
        <f>平成15年度!L2+平成15年度!L31</f>
        <v>194393</v>
      </c>
      <c r="M37" s="104">
        <f>平成15年度!M2+平成15年度!M31</f>
        <v>132526</v>
      </c>
      <c r="N37" s="106">
        <f>平成15年度!N2+平成15年度!N31</f>
        <v>61867</v>
      </c>
      <c r="O37" s="106">
        <f>平成15年度!O2+平成15年度!O31</f>
        <v>348077</v>
      </c>
      <c r="P37" s="106">
        <f>平成15年度!P2+平成15年度!P31</f>
        <v>259721</v>
      </c>
      <c r="Q37" s="106">
        <f>平成15年度!Q2+平成15年度!Q31</f>
        <v>88356</v>
      </c>
      <c r="R37" s="106">
        <f>平成15年度!R2+平成15年度!R31</f>
        <v>1338427</v>
      </c>
      <c r="S37" s="103">
        <f>平成15年度!S2+平成15年度!S31</f>
        <v>3565545</v>
      </c>
      <c r="T37" s="107">
        <f>平成15年度!C37/平成15年度!R37</f>
        <v>0.44887020360467922</v>
      </c>
      <c r="U37" s="107">
        <f>平成15年度!H37/平成15年度!S37</f>
        <v>0.32283171296393681</v>
      </c>
      <c r="V37" s="108">
        <f>平成15年度!L37/平成15年度!H37</f>
        <v>0.16888011252129539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20.149999999999999" customHeight="1" x14ac:dyDescent="0.2">
      <c r="A38" s="1"/>
      <c r="B38" s="109" t="s">
        <v>2455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#VALUE!</f>
        <v>#VALUE!</v>
      </c>
      <c r="R38" s="114" t="e">
        <f>#VALUE!</f>
        <v>#VALUE!</v>
      </c>
      <c r="S38" s="111" t="e">
        <f>#VALUE!</f>
        <v>#VALUE!</v>
      </c>
      <c r="T38" s="115" t="e">
        <f>平成15年度!C38/平成15年度!R38</f>
        <v>#VALUE!</v>
      </c>
      <c r="U38" s="115" t="e">
        <f>平成15年度!H38/平成15年度!S38</f>
        <v>#VALUE!</v>
      </c>
      <c r="V38" s="116" t="e">
        <f>平成15年度!L38/平成15年度!H38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20.149999999999999" customHeight="1" x14ac:dyDescent="0.2">
      <c r="A40" s="1"/>
      <c r="B40" s="1" t="s">
        <v>2456</v>
      </c>
      <c r="C40" s="1"/>
      <c r="D40" s="1"/>
      <c r="E40" s="1"/>
      <c r="F40" s="1"/>
      <c r="G40" s="1"/>
      <c r="H40" s="1"/>
      <c r="I40" s="1"/>
      <c r="J40" s="1" t="s">
        <v>2457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20.149999999999999" customHeight="1" x14ac:dyDescent="0.2">
      <c r="A41" s="1"/>
      <c r="B41" s="1"/>
      <c r="C41" s="1" t="s">
        <v>2458</v>
      </c>
      <c r="D41" s="1" t="s">
        <v>2459</v>
      </c>
      <c r="E41" s="1" t="s">
        <v>2460</v>
      </c>
      <c r="F41" s="1" t="s">
        <v>2461</v>
      </c>
      <c r="G41" s="1"/>
      <c r="H41" s="1"/>
      <c r="I41" s="1"/>
      <c r="J41" s="1"/>
      <c r="K41" s="1" t="s">
        <v>2462</v>
      </c>
      <c r="L41" s="1" t="s">
        <v>2463</v>
      </c>
      <c r="M41" s="1" t="s">
        <v>2464</v>
      </c>
      <c r="N41" s="1" t="s">
        <v>2465</v>
      </c>
      <c r="O41" s="1"/>
      <c r="P41" s="1"/>
      <c r="Q41" s="1"/>
      <c r="R41" s="1" t="s">
        <v>2466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2467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ROUND(+平成15年度!R43*平成15年度!N42,0)</f>
        <v>27605</v>
      </c>
      <c r="S42" s="1" t="s">
        <v>2468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20.149999999999999" customHeight="1" x14ac:dyDescent="0.2">
      <c r="A43" s="1"/>
      <c r="B43" s="1" t="s">
        <v>2469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ROUND((+平成14年度!K19+平成15年度!K27)/6,0)</f>
        <v>24984</v>
      </c>
      <c r="H43" s="1"/>
      <c r="I43" s="1"/>
      <c r="J43" s="1"/>
      <c r="K43" s="1"/>
      <c r="L43" s="1">
        <f>ROUND(+平成15年度!L42/平成15年度!K42,4)</f>
        <v>0.99850000000000005</v>
      </c>
      <c r="M43" s="1">
        <f>ROUND(+平成15年度!M42/平成15年度!L42,4)</f>
        <v>1.0199</v>
      </c>
      <c r="N43" s="1">
        <f>平成15年度!M43</f>
        <v>1.0199</v>
      </c>
      <c r="O43" s="1"/>
      <c r="P43" s="1"/>
      <c r="Q43" s="1"/>
      <c r="R43" s="1">
        <f>ROUND((平成15年度!M43+平成15年度!N43)/2,4)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20.149999999999999" customHeight="1" x14ac:dyDescent="0.2">
      <c r="A44" s="1"/>
      <c r="B44" s="121" t="s">
        <v>2470</v>
      </c>
      <c r="C44" s="121"/>
      <c r="D44" s="122">
        <f>平成15年度!D43/平成15年度!C43</f>
        <v>1.0781186534811042</v>
      </c>
      <c r="E44" s="122">
        <f>平成15年度!E43/平成15年度!D43</f>
        <v>1.0713588239364606</v>
      </c>
      <c r="F44" s="123">
        <f>ROUND(+平成15年度!F43/平成15年度!E43,4)</f>
        <v>1.0658000000000001</v>
      </c>
      <c r="G44" s="123">
        <f>ROUND(+平成15年度!G43/平成15年度!F43,4)</f>
        <v>1.0094000000000001</v>
      </c>
      <c r="H44" s="1"/>
      <c r="I44" s="1"/>
      <c r="J44" s="1" t="s">
        <v>2471</v>
      </c>
      <c r="K44" s="1">
        <f>ROUND(+平成15年度!K46/平成15年度!K42,4)</f>
        <v>0.99309999999999998</v>
      </c>
      <c r="L44" s="1">
        <f>ROUND(+平成15年度!L46/平成15年度!L42,4)</f>
        <v>0.99739999999999995</v>
      </c>
      <c r="M44" s="1">
        <f>ROUND(+平成15年度!M46/平成15年度!M42,4)</f>
        <v>1.0001</v>
      </c>
      <c r="N44" s="1">
        <f>平成15年度!M44</f>
        <v>1.0001</v>
      </c>
      <c r="O44" s="1"/>
      <c r="P44" s="1"/>
      <c r="Q44" s="1"/>
      <c r="R44" s="1">
        <f>ROUND((+平成15年度!N44+平成15年度!M44)/2,4)</f>
        <v>1.0001</v>
      </c>
      <c r="S44" s="1"/>
      <c r="T44" s="1"/>
      <c r="U44" s="1"/>
      <c r="V44" s="1"/>
      <c r="W44" s="117"/>
      <c r="X44" s="124" t="s">
        <v>2472</v>
      </c>
      <c r="Y44" s="1"/>
      <c r="Z44" s="125" t="str">
        <f>平成15年度!C3</f>
        <v>平成15年度</v>
      </c>
      <c r="AA44" s="117"/>
      <c r="AB44" s="117"/>
      <c r="AC44" s="117"/>
      <c r="AD44" s="117"/>
      <c r="AE44" s="117"/>
      <c r="AF44" s="117"/>
      <c r="AG44" s="117" t="s">
        <v>2473</v>
      </c>
      <c r="AH44" s="119" t="s">
        <v>2474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20.149999999999999" customHeight="1" x14ac:dyDescent="0.25">
      <c r="A45" s="1"/>
      <c r="B45" s="1" t="s">
        <v>2475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ROUND(+平成15年度!F46*平成15年度!G43,0)</f>
        <v>25239</v>
      </c>
      <c r="H45" s="126">
        <f>平成15年度!G45*平成15年度!G47</f>
        <v>25476.246600000002</v>
      </c>
      <c r="I45" s="1"/>
      <c r="J45" s="1"/>
      <c r="K45" s="1"/>
      <c r="L45" s="1"/>
      <c r="M45" s="1"/>
      <c r="N45" s="3">
        <f>ROUND(+平成15年度!N44*平成15年度!N42,0)</f>
        <v>27069</v>
      </c>
      <c r="O45" s="3"/>
      <c r="P45" s="3"/>
      <c r="Q45" s="3"/>
      <c r="R45" s="3">
        <f>ROUND(+平成15年度!R42*平成15年度!R44,0)</f>
        <v>27608</v>
      </c>
      <c r="S45" s="1"/>
      <c r="T45" s="118"/>
      <c r="U45" s="118"/>
      <c r="V45" s="118"/>
      <c r="W45" s="118"/>
      <c r="X45" s="127"/>
      <c r="Y45" s="128" t="s">
        <v>2476</v>
      </c>
      <c r="Z45" s="129" t="s">
        <v>2477</v>
      </c>
      <c r="AA45" s="129" t="s">
        <v>2478</v>
      </c>
      <c r="AB45" s="129" t="s">
        <v>2479</v>
      </c>
      <c r="AC45" s="129" t="s">
        <v>2480</v>
      </c>
      <c r="AD45" s="130" t="s">
        <v>2481</v>
      </c>
      <c r="AE45" s="130" t="s">
        <v>2482</v>
      </c>
      <c r="AF45" s="130" t="s">
        <v>2483</v>
      </c>
      <c r="AG45" s="131" t="s">
        <v>2484</v>
      </c>
      <c r="AH45" s="131" t="s">
        <v>2485</v>
      </c>
      <c r="AI45" s="132" t="s">
        <v>2486</v>
      </c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0.149999999999999" customHeight="1" x14ac:dyDescent="0.2">
      <c r="A46" s="1"/>
      <c r="B46" s="121" t="s">
        <v>2487</v>
      </c>
      <c r="C46" s="122">
        <f>平成15年度!C45/平成15年度!C43</f>
        <v>1.0183691570579507</v>
      </c>
      <c r="D46" s="122">
        <f>平成15年度!D45/平成15年度!D43</f>
        <v>1.0172149991157995</v>
      </c>
      <c r="E46" s="122">
        <f>平成15年度!E45/平成15年度!E43</f>
        <v>1.0149703606952676</v>
      </c>
      <c r="F46" s="122">
        <f>ROUND(+平成15年度!F45/平成15年度!F43,4)</f>
        <v>1.0102</v>
      </c>
      <c r="G46" s="122">
        <f>ROUND((+平成15年度!E46+平成15年度!F46)/2,4)</f>
        <v>1.0125999999999999</v>
      </c>
      <c r="H46" s="1"/>
      <c r="I46" s="1"/>
      <c r="J46" s="1" t="s">
        <v>2488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2489</v>
      </c>
      <c r="Z46" s="136" t="s">
        <v>2490</v>
      </c>
      <c r="AA46" s="137" t="s">
        <v>2491</v>
      </c>
      <c r="AB46" s="137" t="s">
        <v>2492</v>
      </c>
      <c r="AC46" s="138" t="s">
        <v>2493</v>
      </c>
      <c r="AD46" s="139"/>
      <c r="AE46" s="140" t="s">
        <v>2494</v>
      </c>
      <c r="AF46" s="140" t="s">
        <v>2495</v>
      </c>
      <c r="AG46" s="140" t="s">
        <v>2496</v>
      </c>
      <c r="AH46" s="140" t="s">
        <v>2497</v>
      </c>
      <c r="AI46" s="141" t="s">
        <v>2498</v>
      </c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20.149999999999999" customHeight="1" x14ac:dyDescent="0.2">
      <c r="A47" s="1"/>
      <c r="B47" s="121" t="s">
        <v>2499</v>
      </c>
      <c r="C47" s="121"/>
      <c r="D47" s="122">
        <f>平成15年度!D45/平成15年度!C45</f>
        <v>1.076896779077434</v>
      </c>
      <c r="E47" s="122">
        <f>平成15年度!E45/平成15年度!D45</f>
        <v>1.0689947089947089</v>
      </c>
      <c r="F47" s="122">
        <f>ROUND(+平成15年度!F45/平成15年度!E45,4)</f>
        <v>1.0608</v>
      </c>
      <c r="G47" s="122">
        <f>ROUND(+平成15年度!G45/平成15年度!F45,4)</f>
        <v>1.0094000000000001</v>
      </c>
      <c r="H47" s="1"/>
      <c r="I47" s="1"/>
      <c r="J47" s="1"/>
      <c r="K47" s="1"/>
      <c r="L47" s="1">
        <f>ROUND(+平成15年度!L46/平成15年度!K46,4)</f>
        <v>1.0027999999999999</v>
      </c>
      <c r="M47" s="1">
        <f>ROUND(+平成15年度!M46/平成15年度!L46,4)</f>
        <v>1.0226</v>
      </c>
      <c r="N47" s="1">
        <f>平成15年度!M47</f>
        <v>1.0226</v>
      </c>
      <c r="O47" s="1"/>
      <c r="P47" s="1"/>
      <c r="Q47" s="1"/>
      <c r="R47" s="1">
        <f>平成15年度!N47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平成15年度!M8</f>
        <v>10927</v>
      </c>
      <c r="AE47" s="144" t="s">
        <v>2500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0.14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2501</v>
      </c>
      <c r="K48" s="1"/>
      <c r="L48" s="1"/>
      <c r="M48" s="1"/>
      <c r="N48" s="3">
        <f>ROUND(+平成15年度!M46*平成15年度!N47,0)</f>
        <v>27209</v>
      </c>
      <c r="O48" s="3"/>
      <c r="P48" s="3"/>
      <c r="Q48" s="3"/>
      <c r="R48" s="149">
        <f>ROUND(+平成15年度!N48*平成15年度!R47,0)</f>
        <v>27824</v>
      </c>
      <c r="S48" s="1"/>
      <c r="T48" s="1"/>
      <c r="U48" s="1"/>
      <c r="V48" s="1"/>
      <c r="W48" s="117" t="s">
        <v>2502</v>
      </c>
      <c r="X48" s="134" t="s">
        <v>2503</v>
      </c>
      <c r="Y48" s="150">
        <f>平成15年度!C8</f>
        <v>50078</v>
      </c>
      <c r="Z48" s="151">
        <f>平成15年度!H8</f>
        <v>95988</v>
      </c>
      <c r="AA48" s="151">
        <f>平成15年度!Z48-平成15年度!AB48-平成15年度!AC48</f>
        <v>54869</v>
      </c>
      <c r="AB48" s="151">
        <f>平成15年度!K8</f>
        <v>25085</v>
      </c>
      <c r="AC48" s="152">
        <f>平成15年度!AD47+平成15年度!AD48</f>
        <v>16034</v>
      </c>
      <c r="AD48" s="153">
        <f>平成15年度!N8</f>
        <v>5107</v>
      </c>
      <c r="AE48" s="151">
        <f>平成15年度!R8</f>
        <v>111478</v>
      </c>
      <c r="AF48" s="150">
        <f>平成15年度!S8</f>
        <v>297099</v>
      </c>
      <c r="AG48" s="154">
        <f>平成15年度!Y48/+平成15年度!AE48</f>
        <v>0.44921867991890779</v>
      </c>
      <c r="AH48" s="155">
        <f>平成15年度!Z48/+平成15年度!AF48</f>
        <v>0.32308422445043572</v>
      </c>
      <c r="AI48" s="156">
        <f>平成15年度!AC48/+平成15年度!Z48</f>
        <v>0.16704171354752678</v>
      </c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0.149999999999999" customHeight="1" x14ac:dyDescent="0.2">
      <c r="A49" s="1"/>
      <c r="B49" s="1"/>
      <c r="C49" s="1"/>
      <c r="D49" s="1"/>
      <c r="E49" s="1"/>
      <c r="F49" s="1"/>
      <c r="G49" s="99" t="s">
        <v>2504</v>
      </c>
      <c r="H49" s="99" t="s">
        <v>2505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2506</v>
      </c>
      <c r="Z49" s="144"/>
      <c r="AA49" s="144"/>
      <c r="AB49" s="144"/>
      <c r="AC49" s="157"/>
      <c r="AD49" s="146">
        <f>平成15年度!M9</f>
        <v>10962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0.149999999999999" customHeight="1" x14ac:dyDescent="0.2">
      <c r="A50" s="1"/>
      <c r="B50" s="1"/>
      <c r="C50" s="1"/>
      <c r="D50" s="1"/>
      <c r="E50" s="1"/>
      <c r="F50" s="1"/>
      <c r="G50" s="160">
        <f>IF(+平成15年度!G45&gt;0,ROUNDUP(+平成15年度!G45,-2),ROUNDDOWN(+平成15年度!G45,-2))</f>
        <v>25300</v>
      </c>
      <c r="H50" s="160">
        <f>IF(+平成15年度!H45&gt;0,ROUNDUP(+平成15年度!H45,-2),ROUNDDOWN(+平成15年度!H45,-2))</f>
        <v>25500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2507</v>
      </c>
      <c r="Y50" s="150">
        <f>平成15年度!C9</f>
        <v>50129</v>
      </c>
      <c r="Z50" s="151">
        <f>平成15年度!H9</f>
        <v>96020</v>
      </c>
      <c r="AA50" s="151">
        <f>平成15年度!Z50-平成15年度!AB50-平成15年度!AC50</f>
        <v>54898</v>
      </c>
      <c r="AB50" s="151">
        <f>平成15年度!K9</f>
        <v>25022</v>
      </c>
      <c r="AC50" s="152">
        <f>平成15年度!AD49+平成15年度!AD50</f>
        <v>16100</v>
      </c>
      <c r="AD50" s="153">
        <f>平成15年度!N9</f>
        <v>5138</v>
      </c>
      <c r="AE50" s="151">
        <f>平成15年度!R9</f>
        <v>111576</v>
      </c>
      <c r="AF50" s="150">
        <f>平成15年度!S9</f>
        <v>297157</v>
      </c>
      <c r="AG50" s="154">
        <f>平成15年度!Y50/+平成15年度!AE50</f>
        <v>0.44928120742812072</v>
      </c>
      <c r="AH50" s="155">
        <f>平成15年度!Z50/+平成15年度!AF50</f>
        <v>0.32312885107872269</v>
      </c>
      <c r="AI50" s="156">
        <f>平成15年度!AC50/+平成15年度!Z50</f>
        <v>0.16767340137471359</v>
      </c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20.149999999999999" customHeight="1" x14ac:dyDescent="0.2">
      <c r="A51" s="161" t="s">
        <v>2508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2509</v>
      </c>
      <c r="L51" s="1" t="s">
        <v>2510</v>
      </c>
      <c r="M51" s="1" t="s">
        <v>2511</v>
      </c>
      <c r="N51" s="1" t="s">
        <v>2512</v>
      </c>
      <c r="O51" s="1"/>
      <c r="P51" s="1"/>
      <c r="Q51" s="1"/>
      <c r="R51" s="1" t="s">
        <v>2513</v>
      </c>
      <c r="S51" s="1"/>
      <c r="T51" s="1"/>
      <c r="U51" s="1"/>
      <c r="V51" s="1"/>
      <c r="W51" s="117"/>
      <c r="X51" s="142"/>
      <c r="Y51" s="143" t="s">
        <v>2514</v>
      </c>
      <c r="Z51" s="144" t="s">
        <v>2515</v>
      </c>
      <c r="AA51" s="144" t="s">
        <v>2516</v>
      </c>
      <c r="AB51" s="144"/>
      <c r="AC51" s="145"/>
      <c r="AD51" s="146">
        <f>平成15年度!M10</f>
        <v>11028</v>
      </c>
      <c r="AE51" s="144"/>
      <c r="AF51" s="144"/>
      <c r="AG51" s="147" t="s">
        <v>2517</v>
      </c>
      <c r="AH51" s="147" t="s">
        <v>2518</v>
      </c>
      <c r="AI51" s="148" t="s">
        <v>2519</v>
      </c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20.149999999999999" customHeight="1" x14ac:dyDescent="0.2">
      <c r="A52" s="1" t="s">
        <v>2520</v>
      </c>
      <c r="B52" s="1"/>
      <c r="C52" s="1" t="s">
        <v>2521</v>
      </c>
      <c r="D52" s="1" t="s">
        <v>2522</v>
      </c>
      <c r="E52" s="1" t="s">
        <v>2523</v>
      </c>
      <c r="F52" s="1" t="s">
        <v>2524</v>
      </c>
      <c r="G52" s="1" t="s">
        <v>2525</v>
      </c>
      <c r="H52" s="1" t="s">
        <v>2526</v>
      </c>
      <c r="I52" s="1"/>
      <c r="J52" s="1" t="s">
        <v>2527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2528</v>
      </c>
      <c r="Y52" s="150">
        <f>平成15年度!C10</f>
        <v>50149</v>
      </c>
      <c r="Z52" s="151">
        <f>平成15年度!H10</f>
        <v>96130</v>
      </c>
      <c r="AA52" s="151">
        <f>平成15年度!Z52-平成15年度!AB52-平成15年度!AC52</f>
        <v>54958</v>
      </c>
      <c r="AB52" s="151">
        <f>平成15年度!K10</f>
        <v>24974</v>
      </c>
      <c r="AC52" s="152">
        <f>平成15年度!AD51+平成15年度!AD52</f>
        <v>16198</v>
      </c>
      <c r="AD52" s="153">
        <f>平成15年度!N10</f>
        <v>5170</v>
      </c>
      <c r="AE52" s="151">
        <f>平成15年度!R10</f>
        <v>111553</v>
      </c>
      <c r="AF52" s="150">
        <f>平成15年度!S10</f>
        <v>297099</v>
      </c>
      <c r="AG52" s="154">
        <f>平成15年度!Y52/+平成15年度!AE52</f>
        <v>0.44955312721307361</v>
      </c>
      <c r="AH52" s="155">
        <f>平成15年度!Z52/+平成15年度!AF52</f>
        <v>0.32356217961016359</v>
      </c>
      <c r="AI52" s="156">
        <f>平成15年度!AC52/+平成15年度!Z52</f>
        <v>0.16850098824508478</v>
      </c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20.14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2529</v>
      </c>
      <c r="AB53" s="144"/>
      <c r="AC53" s="157"/>
      <c r="AD53" s="146">
        <f>平成15年度!M11</f>
        <v>11244</v>
      </c>
      <c r="AE53" s="144"/>
      <c r="AF53" s="143"/>
      <c r="AG53" s="158" t="s">
        <v>2530</v>
      </c>
      <c r="AH53" s="147" t="s">
        <v>2531</v>
      </c>
      <c r="AI53" s="159" t="s">
        <v>2532</v>
      </c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20.149999999999999" customHeight="1" x14ac:dyDescent="0.2">
      <c r="A54" s="1"/>
      <c r="B54" s="1" t="s">
        <v>2533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ROUND(SUM(+平成15年度!S8:S12)/5,0)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2534</v>
      </c>
      <c r="Y54" s="150">
        <f>平成15年度!C11</f>
        <v>50244</v>
      </c>
      <c r="Z54" s="151">
        <f>平成15年度!H11</f>
        <v>96301</v>
      </c>
      <c r="AA54" s="151">
        <f>平成15年度!Z54-平成15年度!AB54-平成15年度!AC54</f>
        <v>54841</v>
      </c>
      <c r="AB54" s="151">
        <f>平成15年度!K11</f>
        <v>24935</v>
      </c>
      <c r="AC54" s="152">
        <f>平成15年度!AD53+平成15年度!AD54</f>
        <v>16525</v>
      </c>
      <c r="AD54" s="153">
        <f>平成15年度!N11</f>
        <v>5281</v>
      </c>
      <c r="AE54" s="151">
        <f>平成15年度!R11</f>
        <v>111562</v>
      </c>
      <c r="AF54" s="150">
        <f>平成15年度!S11</f>
        <v>297051</v>
      </c>
      <c r="AG54" s="154">
        <f>平成15年度!Y54/+平成15年度!AE54</f>
        <v>0.45036840501245945</v>
      </c>
      <c r="AH54" s="155">
        <f>平成15年度!Z54/+平成15年度!AF54</f>
        <v>0.3241901222349024</v>
      </c>
      <c r="AI54" s="156">
        <f>平成15年度!AC54/+平成15年度!Z54</f>
        <v>0.17159738735838673</v>
      </c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20.149999999999999" customHeight="1" x14ac:dyDescent="0.2">
      <c r="A55" s="1"/>
      <c r="B55" s="121" t="s">
        <v>2535</v>
      </c>
      <c r="C55" s="121"/>
      <c r="D55" s="122" t="e">
        <f>平成15年度!D54/平成15年度!C54</f>
        <v>#VALUE!</v>
      </c>
      <c r="E55" s="122" t="e">
        <f>平成15年度!E54/平成15年度!D54</f>
        <v>#VALUE!</v>
      </c>
      <c r="F55" s="123" t="e">
        <f>ROUND(+平成15年度!F54/平成15年度!E54,4)</f>
        <v>#VALUE!</v>
      </c>
      <c r="G55" s="123" t="e">
        <f>ROUND(+平成15年度!G54/平成15年度!F54,4)</f>
        <v>#VALUE!</v>
      </c>
      <c r="H55" s="123" t="e">
        <f>ROUND(+平成15年度!H54/平成15年度!G54,4)</f>
        <v>#VALUE!</v>
      </c>
      <c r="I55" s="1"/>
      <c r="J55" s="1" t="s">
        <v>2536</v>
      </c>
      <c r="K55" s="118">
        <v>25949</v>
      </c>
      <c r="L55" s="118">
        <v>26021</v>
      </c>
      <c r="M55" s="118">
        <v>26608</v>
      </c>
      <c r="N55" s="1">
        <f>ROUND(ROUND(+平成15年度!M55/平成15年度!L55,4)*平成15年度!M55,0)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2537</v>
      </c>
      <c r="AB55" s="144"/>
      <c r="AC55" s="145"/>
      <c r="AD55" s="146">
        <f>平成15年度!M12</f>
        <v>11287</v>
      </c>
      <c r="AE55" s="144"/>
      <c r="AF55" s="144"/>
      <c r="AG55" s="147" t="s">
        <v>2538</v>
      </c>
      <c r="AH55" s="147" t="s">
        <v>2539</v>
      </c>
      <c r="AI55" s="148" t="s">
        <v>2540</v>
      </c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20.149999999999999" customHeight="1" x14ac:dyDescent="0.25">
      <c r="A56" s="1"/>
      <c r="B56" s="1" t="s">
        <v>2541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2542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ROUND(ROUND(+平成15年度!M56/平成15年度!L56,4)*平成15年度!M56,0)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2543</v>
      </c>
      <c r="Y56" s="150">
        <f>平成15年度!C12</f>
        <v>50280</v>
      </c>
      <c r="Z56" s="151">
        <f>平成15年度!H12</f>
        <v>96343</v>
      </c>
      <c r="AA56" s="151">
        <f>平成15年度!Z56-平成15年度!AB56-平成15年度!AC56</f>
        <v>54904</v>
      </c>
      <c r="AB56" s="151">
        <f>平成15年度!K12</f>
        <v>24852</v>
      </c>
      <c r="AC56" s="152">
        <f>平成15年度!AD55+平成15年度!AD56</f>
        <v>16587</v>
      </c>
      <c r="AD56" s="153">
        <f>平成15年度!N12</f>
        <v>5300</v>
      </c>
      <c r="AE56" s="151">
        <f>平成15年度!R12</f>
        <v>111694</v>
      </c>
      <c r="AF56" s="150">
        <f>平成15年度!S12</f>
        <v>297254</v>
      </c>
      <c r="AG56" s="154">
        <f>平成15年度!Y56/+平成15年度!AE56</f>
        <v>0.45015846867333964</v>
      </c>
      <c r="AH56" s="155">
        <f>平成15年度!Z56/+平成15年度!AF56</f>
        <v>0.32411002038660541</v>
      </c>
      <c r="AI56" s="156">
        <f>平成15年度!AC56/+平成15年度!Z56</f>
        <v>0.17216611481892821</v>
      </c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20.149999999999999" customHeight="1" x14ac:dyDescent="0.2">
      <c r="A57" s="1"/>
      <c r="B57" s="121" t="s">
        <v>2544</v>
      </c>
      <c r="C57" s="122" t="e">
        <f>平成15年度!C56/平成15年度!C54</f>
        <v>#VALUE!</v>
      </c>
      <c r="D57" s="122" t="e">
        <f>平成15年度!D56/平成15年度!D54</f>
        <v>#VALUE!</v>
      </c>
      <c r="E57" s="122" t="e">
        <f>平成15年度!E56/平成15年度!E54</f>
        <v>#VALUE!</v>
      </c>
      <c r="F57" s="122" t="e">
        <f>ROUND(+平成15年度!F56/平成15年度!F54,4)</f>
        <v>#VALUE!</v>
      </c>
      <c r="G57" s="122" t="e">
        <f>ROUND((+平成15年度!E57+平成15年度!F57)/2,4)</f>
        <v>#VALUE!</v>
      </c>
      <c r="H57" s="1"/>
      <c r="I57" s="1"/>
      <c r="J57" s="1" t="s">
        <v>2545</v>
      </c>
      <c r="K57" s="1" t="s">
        <v>2546</v>
      </c>
      <c r="L57" s="1" t="s">
        <v>2547</v>
      </c>
      <c r="M57" s="1" t="s">
        <v>2548</v>
      </c>
      <c r="N57" s="1" t="s">
        <v>2549</v>
      </c>
      <c r="O57" s="1"/>
      <c r="P57" s="1"/>
      <c r="Q57" s="1"/>
      <c r="R57" s="1" t="s">
        <v>2550</v>
      </c>
      <c r="S57" s="1" t="s">
        <v>2551</v>
      </c>
      <c r="T57" s="1"/>
      <c r="U57" s="1"/>
      <c r="V57" s="1"/>
      <c r="W57" s="117"/>
      <c r="X57" s="142"/>
      <c r="Y57" s="143"/>
      <c r="Z57" s="144"/>
      <c r="AA57" s="144" t="s">
        <v>2552</v>
      </c>
      <c r="AB57" s="144"/>
      <c r="AC57" s="145"/>
      <c r="AD57" s="146">
        <f>平成15年度!M13</f>
        <v>11372</v>
      </c>
      <c r="AE57" s="144"/>
      <c r="AF57" s="144"/>
      <c r="AG57" s="147" t="s">
        <v>2553</v>
      </c>
      <c r="AH57" s="147" t="s">
        <v>2554</v>
      </c>
      <c r="AI57" s="148" t="s">
        <v>2555</v>
      </c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20.149999999999999" customHeight="1" x14ac:dyDescent="0.2">
      <c r="A58" s="1"/>
      <c r="B58" s="121" t="s">
        <v>2556</v>
      </c>
      <c r="C58" s="121"/>
      <c r="D58" s="122" t="e">
        <f>平成15年度!D56/平成15年度!C56</f>
        <v>#VALUE!</v>
      </c>
      <c r="E58" s="122" t="e">
        <f>平成15年度!E56/平成15年度!D56</f>
        <v>#VALUE!</v>
      </c>
      <c r="F58" s="122" t="e">
        <f>ROUND(+平成15年度!F56/平成15年度!E56,4)</f>
        <v>#VALUE!</v>
      </c>
      <c r="G58" s="122" t="e">
        <f>ROUND(+平成15年度!G56/平成15年度!F56,4)</f>
        <v>#VALUE!</v>
      </c>
      <c r="H58" s="1"/>
      <c r="I58" s="1" t="s">
        <v>2557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2558</v>
      </c>
      <c r="Y58" s="150">
        <f>平成15年度!C13</f>
        <v>50392</v>
      </c>
      <c r="Z58" s="151">
        <f>平成15年度!H13</f>
        <v>96491</v>
      </c>
      <c r="AA58" s="151">
        <f>平成15年度!Z58-平成15年度!AB58-平成15年度!AC58</f>
        <v>54990</v>
      </c>
      <c r="AB58" s="151">
        <f>平成15年度!K13</f>
        <v>24811</v>
      </c>
      <c r="AC58" s="152">
        <f>平成15年度!AD57+平成15年度!AD58</f>
        <v>16690</v>
      </c>
      <c r="AD58" s="153">
        <f>平成15年度!N13</f>
        <v>5318</v>
      </c>
      <c r="AE58" s="151">
        <f>平成15年度!R13</f>
        <v>111758</v>
      </c>
      <c r="AF58" s="150">
        <f>平成15年度!S13</f>
        <v>297284</v>
      </c>
      <c r="AG58" s="154">
        <f>平成15年度!Y58/+平成15年度!AE58</f>
        <v>0.45090284364430289</v>
      </c>
      <c r="AH58" s="155">
        <f>平成15年度!Z58/+平成15年度!AF58</f>
        <v>0.32457515372505752</v>
      </c>
      <c r="AI58" s="156">
        <f>平成15年度!AC58/+平成15年度!Z58</f>
        <v>0.1729694997460903</v>
      </c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20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ROUND(+平成15年度!K58/平成15年度!J58,4)</f>
        <v>0.99309999999999998</v>
      </c>
      <c r="L59" s="36">
        <f>ROUND(+平成15年度!L58/平成15年度!K58,4)</f>
        <v>1.0054000000000001</v>
      </c>
      <c r="M59" s="36">
        <f>ROUND(+平成15年度!M58/平成15年度!L58,4)</f>
        <v>0.99739999999999995</v>
      </c>
      <c r="N59" s="36">
        <f>ROUND(+平成15年度!N58/平成15年度!M58,4)</f>
        <v>1.0225</v>
      </c>
      <c r="O59" s="36"/>
      <c r="P59" s="36"/>
      <c r="Q59" s="36"/>
      <c r="R59" s="36">
        <f>ROUND(+平成15年度!R58/平成15年度!N58,4)</f>
        <v>1.0001</v>
      </c>
      <c r="S59" s="36">
        <f>ROUND(+平成15年度!S58/平成15年度!R58,4)</f>
        <v>1.0172000000000001</v>
      </c>
      <c r="T59" s="1"/>
      <c r="U59" s="1"/>
      <c r="V59" s="1" t="s">
        <v>2559</v>
      </c>
      <c r="W59" s="117"/>
      <c r="X59" s="142"/>
      <c r="Y59" s="143"/>
      <c r="Z59" s="144"/>
      <c r="AA59" s="144" t="s">
        <v>2560</v>
      </c>
      <c r="AB59" s="144"/>
      <c r="AC59" s="145"/>
      <c r="AD59" s="146">
        <f>平成15年度!M14</f>
        <v>11464</v>
      </c>
      <c r="AE59" s="144"/>
      <c r="AF59" s="144"/>
      <c r="AG59" s="147" t="s">
        <v>2561</v>
      </c>
      <c r="AH59" s="147" t="s">
        <v>2562</v>
      </c>
      <c r="AI59" s="148" t="s">
        <v>2563</v>
      </c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0.149999999999999" customHeight="1" x14ac:dyDescent="0.2">
      <c r="A60" s="1"/>
      <c r="B60" s="1"/>
      <c r="C60" s="1"/>
      <c r="D60" s="1" t="e">
        <f>平成15年度!C57*平成15年度!D54</f>
        <v>#VALUE!</v>
      </c>
      <c r="E60" s="1" t="e">
        <f>平成15年度!D57*平成15年度!E54</f>
        <v>#VALUE!</v>
      </c>
      <c r="F60" s="1" t="e">
        <f>平成15年度!E57*平成15年度!F54</f>
        <v>#VALUE!</v>
      </c>
      <c r="G60" s="1" t="e">
        <f>平成15年度!F57*平成15年度!G54</f>
        <v>#VALUE!</v>
      </c>
      <c r="H60" s="162" t="e">
        <f>IF(+平成15年度!G57*平成15年度!H54&gt;0,ROUNDDOWN(+平成15年度!G57*平成15年度!H54,-2),ROUNDUP(+平成15年度!G57*平成15年度!H54,-2))</f>
        <v>#VALUE!</v>
      </c>
      <c r="I60" s="1" t="s">
        <v>2564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2565</v>
      </c>
      <c r="Y60" s="150">
        <f>平成15年度!C14</f>
        <v>50511</v>
      </c>
      <c r="Z60" s="151">
        <f>平成15年度!H14</f>
        <v>96694</v>
      </c>
      <c r="AA60" s="151">
        <f>平成15年度!Z60-平成15年度!AB60-平成15年度!AC60</f>
        <v>55115</v>
      </c>
      <c r="AB60" s="151">
        <f>平成15年度!K14</f>
        <v>24748</v>
      </c>
      <c r="AC60" s="152">
        <f>平成15年度!AD59+平成15年度!AD60</f>
        <v>16831</v>
      </c>
      <c r="AD60" s="153">
        <f>平成15年度!N14</f>
        <v>5367</v>
      </c>
      <c r="AE60" s="151">
        <f>平成15年度!R14</f>
        <v>111870</v>
      </c>
      <c r="AF60" s="150">
        <f>平成15年度!S14</f>
        <v>297304</v>
      </c>
      <c r="AG60" s="154">
        <f>平成15年度!Y60/+平成15年度!AE60</f>
        <v>0.45151515151515154</v>
      </c>
      <c r="AH60" s="155">
        <f>平成15年度!Z60/+平成15年度!AF60</f>
        <v>0.32523612194925061</v>
      </c>
      <c r="AI60" s="156">
        <f>平成15年度!AC60/+平成15年度!Z60</f>
        <v>0.17406457484435436</v>
      </c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20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ROUND(+平成15年度!K60/平成15年度!J60,4)</f>
        <v>0.99850000000000005</v>
      </c>
      <c r="L61" s="36">
        <f>ROUND(+平成15年度!L60/平成15年度!K60,4)</f>
        <v>1.0005999999999999</v>
      </c>
      <c r="M61" s="36">
        <f>ROUND(+平成15年度!M60/平成15年度!L60,4)</f>
        <v>1.0077</v>
      </c>
      <c r="N61" s="36">
        <f>ROUND(+平成15年度!N60/平成15年度!M60,4)</f>
        <v>1.0170999999999999</v>
      </c>
      <c r="O61" s="36"/>
      <c r="P61" s="36"/>
      <c r="Q61" s="36"/>
      <c r="R61" s="36">
        <f>ROUND(+平成15年度!R60/平成15年度!N60,4)</f>
        <v>1.0059</v>
      </c>
      <c r="S61" s="36">
        <f>ROUND(+平成15年度!S60/平成15年度!R60,4)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2566</v>
      </c>
      <c r="AB61" s="144"/>
      <c r="AC61" s="145"/>
      <c r="AD61" s="146">
        <f>平成15年度!M15</f>
        <v>11476</v>
      </c>
      <c r="AE61" s="144"/>
      <c r="AF61" s="144"/>
      <c r="AG61" s="147" t="s">
        <v>2567</v>
      </c>
      <c r="AH61" s="147" t="s">
        <v>2568</v>
      </c>
      <c r="AI61" s="148" t="s">
        <v>2569</v>
      </c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20.149999999999999" customHeight="1" x14ac:dyDescent="0.2">
      <c r="A62" s="1" t="s">
        <v>2570</v>
      </c>
      <c r="B62" s="1"/>
      <c r="C62" s="1" t="s">
        <v>2571</v>
      </c>
      <c r="D62" s="1" t="s">
        <v>2572</v>
      </c>
      <c r="E62" s="1" t="s">
        <v>2573</v>
      </c>
      <c r="F62" s="1" t="s">
        <v>2574</v>
      </c>
      <c r="G62" s="1" t="s">
        <v>2575</v>
      </c>
      <c r="H62" s="1" t="s">
        <v>2576</v>
      </c>
      <c r="I62" s="1" t="s">
        <v>2577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2578</v>
      </c>
      <c r="Y62" s="150">
        <f>平成15年度!C15</f>
        <v>50504</v>
      </c>
      <c r="Z62" s="151">
        <f>平成15年度!H15</f>
        <v>96670</v>
      </c>
      <c r="AA62" s="151">
        <f>平成15年度!Z62-平成15年度!AB62-平成15年度!AC62</f>
        <v>55133</v>
      </c>
      <c r="AB62" s="151">
        <f>平成15年度!K15</f>
        <v>24680</v>
      </c>
      <c r="AC62" s="152">
        <f>平成15年度!AD61+平成15年度!AD62</f>
        <v>16857</v>
      </c>
      <c r="AD62" s="153">
        <f>平成15年度!N15</f>
        <v>5381</v>
      </c>
      <c r="AE62" s="151">
        <f>平成15年度!R15</f>
        <v>111960</v>
      </c>
      <c r="AF62" s="150">
        <f>平成15年度!S15</f>
        <v>297352</v>
      </c>
      <c r="AG62" s="154">
        <f>平成15年度!Y62/+平成15年度!AE62</f>
        <v>0.45108967488388713</v>
      </c>
      <c r="AH62" s="155">
        <f>平成15年度!Z62/+平成15年度!AF62</f>
        <v>0.32510290833759314</v>
      </c>
      <c r="AI62" s="156">
        <f>平成15年度!AC62/+平成15年度!Z62</f>
        <v>0.17437674562946107</v>
      </c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20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ROUND(+平成15年度!K62/平成15年度!J62,4)</f>
        <v>1.0068999999999999</v>
      </c>
      <c r="L63" s="36">
        <f>ROUND(+平成15年度!L62/平成15年度!K62,4)</f>
        <v>1.0145</v>
      </c>
      <c r="M63" s="36">
        <f>ROUND(+平成15年度!M62/平成15年度!L62,4)</f>
        <v>1.0133000000000001</v>
      </c>
      <c r="N63" s="36">
        <f>ROUND(+平成15年度!N62/平成15年度!M62,4)</f>
        <v>1.0256000000000001</v>
      </c>
      <c r="O63" s="36"/>
      <c r="P63" s="36"/>
      <c r="Q63" s="36"/>
      <c r="R63" s="36">
        <f>ROUND(+平成15年度!R62/平成15年度!N62,4)</f>
        <v>1.0128999999999999</v>
      </c>
      <c r="S63" s="36">
        <f>ROUND(+平成15年度!S62/平成15年度!R62,4)</f>
        <v>1.0219</v>
      </c>
      <c r="T63" s="1"/>
      <c r="U63" s="1"/>
      <c r="V63" s="1"/>
      <c r="W63" s="117"/>
      <c r="X63" s="142"/>
      <c r="Y63" s="143" t="s">
        <v>2579</v>
      </c>
      <c r="Z63" s="144"/>
      <c r="AA63" s="144" t="s">
        <v>2580</v>
      </c>
      <c r="AB63" s="144"/>
      <c r="AC63" s="157"/>
      <c r="AD63" s="146">
        <f>平成15年度!M16</f>
        <v>11501</v>
      </c>
      <c r="AE63" s="144"/>
      <c r="AF63" s="143"/>
      <c r="AG63" s="158" t="s">
        <v>2581</v>
      </c>
      <c r="AH63" s="147" t="s">
        <v>2582</v>
      </c>
      <c r="AI63" s="159" t="s">
        <v>2583</v>
      </c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20.149999999999999" customHeight="1" x14ac:dyDescent="0.2">
      <c r="A64" s="1"/>
      <c r="B64" s="1" t="s">
        <v>2584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ROUND(SUM(+平成15年度!R8:R12)/5,0)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2585</v>
      </c>
      <c r="Y64" s="150">
        <f>平成15年度!C16</f>
        <v>50530</v>
      </c>
      <c r="Z64" s="151">
        <f>平成15年度!H16</f>
        <v>96660</v>
      </c>
      <c r="AA64" s="151">
        <f>平成15年度!Z64-平成15年度!AB64-平成15年度!AC64</f>
        <v>55145</v>
      </c>
      <c r="AB64" s="151">
        <f>平成15年度!K16</f>
        <v>24616</v>
      </c>
      <c r="AC64" s="152">
        <f>平成15年度!AD63+平成15年度!AD64</f>
        <v>16899</v>
      </c>
      <c r="AD64" s="153">
        <f>平成15年度!N16</f>
        <v>5398</v>
      </c>
      <c r="AE64" s="151">
        <f>平成15年度!R16</f>
        <v>112031</v>
      </c>
      <c r="AF64" s="150">
        <f>平成15年度!S16</f>
        <v>297340</v>
      </c>
      <c r="AG64" s="154">
        <f>平成15年度!Y64/+平成15年度!AE64</f>
        <v>0.45103587399916095</v>
      </c>
      <c r="AH64" s="155">
        <f>平成15年度!Z64/+平成15年度!AF64</f>
        <v>0.3250823972556669</v>
      </c>
      <c r="AI64" s="156">
        <f>平成15年度!AC64/+平成15年度!Z64</f>
        <v>0.17482929857231533</v>
      </c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20.149999999999999" customHeight="1" x14ac:dyDescent="0.2">
      <c r="A65" s="163"/>
      <c r="B65" s="121" t="s">
        <v>2586</v>
      </c>
      <c r="C65" s="121"/>
      <c r="D65" s="122" t="e">
        <f>平成15年度!D64/平成15年度!C64</f>
        <v>#VALUE!</v>
      </c>
      <c r="E65" s="122" t="e">
        <f>平成15年度!E64/平成15年度!D64</f>
        <v>#VALUE!</v>
      </c>
      <c r="F65" s="123" t="e">
        <f>ROUND(+平成15年度!F64/平成15年度!E64,4)</f>
        <v>#VALUE!</v>
      </c>
      <c r="G65" s="123" t="e">
        <f>ROUND(+平成15年度!G64/平成15年度!F64,4)</f>
        <v>#VALUE!</v>
      </c>
      <c r="H65" s="123" t="e">
        <f>ROUND(+平成15年度!H64/平成15年度!G64,4)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2587</v>
      </c>
      <c r="Z65" s="144"/>
      <c r="AA65" s="144" t="s">
        <v>2588</v>
      </c>
      <c r="AB65" s="144"/>
      <c r="AC65" s="157"/>
      <c r="AD65" s="146">
        <f>平成15年度!M17</f>
        <v>11692</v>
      </c>
      <c r="AE65" s="144"/>
      <c r="AF65" s="143"/>
      <c r="AG65" s="158" t="s">
        <v>2589</v>
      </c>
      <c r="AH65" s="147" t="s">
        <v>2590</v>
      </c>
      <c r="AI65" s="159" t="s">
        <v>2591</v>
      </c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149999999999999" customHeight="1" x14ac:dyDescent="0.25">
      <c r="A66" s="1"/>
      <c r="B66" s="1" t="s">
        <v>2592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2593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2594</v>
      </c>
      <c r="Y66" s="150">
        <f>平成15年度!C17</f>
        <v>50622</v>
      </c>
      <c r="Z66" s="151">
        <f>平成15年度!H17</f>
        <v>96803</v>
      </c>
      <c r="AA66" s="151">
        <f>平成15年度!Z66-平成15年度!AB66-平成15年度!AC66</f>
        <v>55083</v>
      </c>
      <c r="AB66" s="151">
        <f>平成15年度!K17</f>
        <v>24517</v>
      </c>
      <c r="AC66" s="152">
        <f>平成15年度!AD65+平成15年度!AD66</f>
        <v>17203</v>
      </c>
      <c r="AD66" s="153">
        <f>平成15年度!N17</f>
        <v>5511</v>
      </c>
      <c r="AE66" s="151">
        <f>平成15年度!R17</f>
        <v>112112</v>
      </c>
      <c r="AF66" s="150">
        <f>平成15年度!S17</f>
        <v>297469</v>
      </c>
      <c r="AG66" s="154">
        <f>平成15年度!Y66/+平成15年度!AE66</f>
        <v>0.45153061224489793</v>
      </c>
      <c r="AH66" s="155">
        <f>平成15年度!Z66/+平成15年度!AF66</f>
        <v>0.32542214482853676</v>
      </c>
      <c r="AI66" s="156">
        <f>平成15年度!AC66/+平成15年度!Z66</f>
        <v>0.17771143456297842</v>
      </c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20.149999999999999" customHeight="1" x14ac:dyDescent="0.2">
      <c r="A67" s="1"/>
      <c r="B67" s="121" t="s">
        <v>2595</v>
      </c>
      <c r="C67" s="122" t="e">
        <f>平成15年度!C66/平成15年度!C64</f>
        <v>#VALUE!</v>
      </c>
      <c r="D67" s="122" t="e">
        <f>平成15年度!D66/平成15年度!D64</f>
        <v>#VALUE!</v>
      </c>
      <c r="E67" s="122" t="e">
        <f>平成15年度!E66/平成15年度!E64</f>
        <v>#VALUE!</v>
      </c>
      <c r="F67" s="122" t="e">
        <f>ROUND(+平成15年度!F66/平成15年度!F64,4)</f>
        <v>#VALUE!</v>
      </c>
      <c r="G67" s="122" t="e">
        <f>ROUND((+平成15年度!E67+平成15年度!F67)/2,4)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2596</v>
      </c>
      <c r="Z67" s="144" t="s">
        <v>2597</v>
      </c>
      <c r="AA67" s="144" t="s">
        <v>2598</v>
      </c>
      <c r="AB67" s="144"/>
      <c r="AC67" s="157"/>
      <c r="AD67" s="146">
        <f>平成15年度!M18</f>
        <v>11731</v>
      </c>
      <c r="AE67" s="144"/>
      <c r="AF67" s="143"/>
      <c r="AG67" s="158" t="s">
        <v>2599</v>
      </c>
      <c r="AH67" s="147" t="s">
        <v>2600</v>
      </c>
      <c r="AI67" s="159" t="s">
        <v>2601</v>
      </c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20.149999999999999" customHeight="1" x14ac:dyDescent="0.2">
      <c r="A68" s="1"/>
      <c r="B68" s="121" t="s">
        <v>2602</v>
      </c>
      <c r="C68" s="121"/>
      <c r="D68" s="122" t="e">
        <f>平成15年度!D66/平成15年度!C66</f>
        <v>#VALUE!</v>
      </c>
      <c r="E68" s="122">
        <f>平成15年度!E66/平成15年度!D66</f>
        <v>0.25925412132844117</v>
      </c>
      <c r="F68" s="122">
        <f>ROUND(+平成15年度!F66/平成15年度!E66,4)</f>
        <v>1.0185999999999999</v>
      </c>
      <c r="G68" s="122">
        <f>ROUND(+平成15年度!G66/平成15年度!F66,4)</f>
        <v>1.0221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2603</v>
      </c>
      <c r="Y68" s="150">
        <f>平成15年度!C18</f>
        <v>50598</v>
      </c>
      <c r="Z68" s="151">
        <f>平成15年度!H18</f>
        <v>96661</v>
      </c>
      <c r="AA68" s="151">
        <f>平成15年度!Z68-平成15年度!AB68-平成15年度!AC68</f>
        <v>54946</v>
      </c>
      <c r="AB68" s="151">
        <f>平成15年度!K18</f>
        <v>24435</v>
      </c>
      <c r="AC68" s="152">
        <f>平成15年度!AD67+平成15年度!AD68</f>
        <v>17280</v>
      </c>
      <c r="AD68" s="153">
        <f>平成15年度!N18</f>
        <v>5549</v>
      </c>
      <c r="AE68" s="151">
        <f>平成15年度!R18</f>
        <v>112148</v>
      </c>
      <c r="AF68" s="150">
        <f>平成15年度!S18</f>
        <v>297380</v>
      </c>
      <c r="AG68" s="154">
        <f>平成15年度!Y68/+平成15年度!AE68</f>
        <v>0.45117166601276887</v>
      </c>
      <c r="AH68" s="155">
        <f>平成15年度!Z68/+平成15年度!AF68</f>
        <v>0.32504203376151725</v>
      </c>
      <c r="AI68" s="156">
        <f>平成15年度!AC68/+平成15年度!Z68</f>
        <v>0.17876910025760132</v>
      </c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20.14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2604</v>
      </c>
      <c r="AB69" s="144"/>
      <c r="AC69" s="157"/>
      <c r="AD69" s="146">
        <f>平成15年度!M19</f>
        <v>11778</v>
      </c>
      <c r="AE69" s="144"/>
      <c r="AF69" s="143"/>
      <c r="AG69" s="158" t="s">
        <v>2605</v>
      </c>
      <c r="AH69" s="147" t="s">
        <v>2606</v>
      </c>
      <c r="AI69" s="159" t="s">
        <v>2607</v>
      </c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20.149999999999999" customHeight="1" x14ac:dyDescent="0.2">
      <c r="A70" s="1"/>
      <c r="B70" s="1"/>
      <c r="C70" s="1"/>
      <c r="D70" s="1" t="e">
        <f>平成15年度!C67*平成15年度!D64</f>
        <v>#VALUE!</v>
      </c>
      <c r="E70" s="1" t="e">
        <f>平成15年度!D67*平成15年度!E64</f>
        <v>#VALUE!</v>
      </c>
      <c r="F70" s="1" t="e">
        <f>平成15年度!E67*平成15年度!F64</f>
        <v>#VALUE!</v>
      </c>
      <c r="G70" s="1" t="e">
        <f>平成15年度!F67*平成15年度!G64</f>
        <v>#VALUE!</v>
      </c>
      <c r="H70" s="162" t="e">
        <f>IF(+平成15年度!G67*平成15年度!H64&gt;0,ROUNDDOWN(+平成15年度!G67*平成15年度!H64,-2),ROUNDUP(+平成15年度!G67*平成15年度!H64,-2))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2608</v>
      </c>
      <c r="Y70" s="150">
        <f>平成15年度!C19</f>
        <v>50591</v>
      </c>
      <c r="Z70" s="151">
        <f>平成15年度!H19</f>
        <v>96636</v>
      </c>
      <c r="AA70" s="151">
        <f>平成15年度!Z70-平成15年度!AB70-平成15年度!AC70</f>
        <v>54940</v>
      </c>
      <c r="AB70" s="151">
        <f>平成15年度!K19</f>
        <v>24338</v>
      </c>
      <c r="AC70" s="152">
        <f>平成15年度!AD69+平成15年度!AD70</f>
        <v>17358</v>
      </c>
      <c r="AD70" s="153">
        <f>平成15年度!N19</f>
        <v>5580</v>
      </c>
      <c r="AE70" s="151">
        <f>平成15年度!R19</f>
        <v>112279</v>
      </c>
      <c r="AF70" s="150">
        <f>平成15年度!S19</f>
        <v>296959</v>
      </c>
      <c r="AG70" s="154">
        <f>平成15年度!Y70/+平成15年度!AE70</f>
        <v>0.45058292289742519</v>
      </c>
      <c r="AH70" s="155">
        <f>平成15年度!Z70/+平成15年度!AF70</f>
        <v>0.32541866048848495</v>
      </c>
      <c r="AI70" s="156">
        <f>平成15年度!AC70/+平成15年度!Z70</f>
        <v>0.17962250093132995</v>
      </c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20.14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2609</v>
      </c>
      <c r="Y71" s="143" t="s">
        <v>2610</v>
      </c>
      <c r="Z71" s="144" t="s">
        <v>2611</v>
      </c>
      <c r="AA71" s="144" t="s">
        <v>2612</v>
      </c>
      <c r="AB71" s="144" t="s">
        <v>2613</v>
      </c>
      <c r="AC71" s="157" t="s">
        <v>2614</v>
      </c>
      <c r="AD71" s="146">
        <f>平成15年度!AD47+平成15年度!AD49+平成15年度!AD51+平成15年度!AD53+平成15年度!AD55+平成15年度!AD57+平成15年度!AD59+平成15年度!AD61+平成15年度!AD63+平成15年度!AD65+平成15年度!AD67+平成15年度!AD69</f>
        <v>136462</v>
      </c>
      <c r="AE71" s="144" t="s">
        <v>2615</v>
      </c>
      <c r="AF71" s="143" t="s">
        <v>2616</v>
      </c>
      <c r="AG71" s="158" t="s">
        <v>2617</v>
      </c>
      <c r="AH71" s="147" t="s">
        <v>2618</v>
      </c>
      <c r="AI71" s="159" t="s">
        <v>2619</v>
      </c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20.14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2620</v>
      </c>
      <c r="Y72" s="150">
        <f>SUM(平成15年度!Y48:Y70)</f>
        <v>604628</v>
      </c>
      <c r="Z72" s="151">
        <f>SUM(平成15年度!Z48:Z70)</f>
        <v>1157397</v>
      </c>
      <c r="AA72" s="151">
        <f>SUM(平成15年度!AA48:AA70)</f>
        <v>659822</v>
      </c>
      <c r="AB72" s="151">
        <f>SUM(平成15年度!AB48:AB70)</f>
        <v>297013</v>
      </c>
      <c r="AC72" s="152">
        <f>SUM(平成15年度!AC48:AC70)</f>
        <v>200562</v>
      </c>
      <c r="AD72" s="153">
        <f>平成15年度!AD48+平成15年度!AD50+平成15年度!AD52+平成15年度!AD54+平成15年度!AD56+平成15年度!AD58+平成15年度!AD60+平成15年度!AD62+平成15年度!AD64+平成15年度!AD66+平成15年度!AD68+平成15年度!AD70</f>
        <v>64100</v>
      </c>
      <c r="AE72" s="150">
        <f>SUM(平成15年度!AE48:AE70)</f>
        <v>1342021</v>
      </c>
      <c r="AF72" s="151">
        <f>SUM(平成15年度!AF48:AF70)</f>
        <v>3566748</v>
      </c>
      <c r="AG72" s="154">
        <f>平成15年度!Y72/+平成15年度!AE72</f>
        <v>0.45053542381229505</v>
      </c>
      <c r="AH72" s="155">
        <f>平成15年度!Z72/+平成15年度!AF72</f>
        <v>0.32449643204397954</v>
      </c>
      <c r="AI72" s="156">
        <f>平成15年度!AC72/+平成15年度!Z72</f>
        <v>0.17328712619783876</v>
      </c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20.14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2621</v>
      </c>
      <c r="Y73" s="143" t="s">
        <v>2622</v>
      </c>
      <c r="Z73" s="144" t="s">
        <v>2623</v>
      </c>
      <c r="AA73" s="144" t="e">
        <f>平成15年度!AA74+平成15年度!AB74</f>
        <v>#VALUE!</v>
      </c>
      <c r="AB73" s="144" t="s">
        <v>2624</v>
      </c>
      <c r="AC73" s="157" t="s">
        <v>2625</v>
      </c>
      <c r="AD73" s="146" t="e">
        <f>#VALUE!</f>
        <v>#VALUE!</v>
      </c>
      <c r="AE73" s="144" t="s">
        <v>2626</v>
      </c>
      <c r="AF73" s="143" t="s">
        <v>2627</v>
      </c>
      <c r="AG73" s="158" t="s">
        <v>2628</v>
      </c>
      <c r="AH73" s="147" t="s">
        <v>2629</v>
      </c>
      <c r="AI73" s="159" t="s">
        <v>2630</v>
      </c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20.149999999999999" customHeight="1" x14ac:dyDescent="0.2">
      <c r="A74" s="1"/>
      <c r="B74" s="1"/>
      <c r="C74" s="1" t="s">
        <v>2631</v>
      </c>
      <c r="D74" s="1" t="s">
        <v>2632</v>
      </c>
      <c r="E74" s="1" t="s">
        <v>2633</v>
      </c>
      <c r="F74" s="1" t="s">
        <v>2634</v>
      </c>
      <c r="G74" s="1" t="s">
        <v>2635</v>
      </c>
      <c r="H74" s="1" t="s">
        <v>2636</v>
      </c>
      <c r="I74" s="1" t="s">
        <v>2637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2638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平成15年度!Y74/+平成15年度!AE74</f>
        <v>#VALUE!</v>
      </c>
      <c r="AH74" s="170" t="e">
        <f>平成15年度!Z74/+平成15年度!AF74</f>
        <v>#VALUE!</v>
      </c>
      <c r="AI74" s="171" t="e">
        <f>平成15年度!AC74/+平成15年度!Z74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20.149999999999999" customHeight="1" x14ac:dyDescent="0.2">
      <c r="A75" s="1" t="s">
        <v>2639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2640</v>
      </c>
      <c r="X75" s="127" t="s">
        <v>2641</v>
      </c>
      <c r="Y75" s="173"/>
      <c r="Z75" s="174"/>
      <c r="AA75" s="174"/>
      <c r="AB75" s="174"/>
      <c r="AC75" s="175"/>
      <c r="AD75" s="176">
        <f>平成15年度!M2+平成15年度!AD47+平成15年度!AD49+平成15年度!AD51+平成15年度!AD53+平成15年度!AD55+平成15年度!AD57+平成15年度!AD59+平成15年度!AD61+平成15年度!AD63</f>
        <v>132526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20.149999999999999" customHeight="1" x14ac:dyDescent="0.2">
      <c r="A76" s="1" t="s">
        <v>2642</v>
      </c>
      <c r="B76" s="1">
        <v>2</v>
      </c>
      <c r="C76" s="1">
        <f>平成15年度!C75+平成15年度!C77</f>
        <v>478663</v>
      </c>
      <c r="D76" s="1">
        <f>平成15年度!D75+平成15年度!D77</f>
        <v>497118</v>
      </c>
      <c r="E76" s="1">
        <f>平成15年度!E75+平成15年度!E77</f>
        <v>515553</v>
      </c>
      <c r="F76" s="1">
        <f>平成15年度!F75+平成15年度!F77</f>
        <v>534452</v>
      </c>
      <c r="G76" s="1">
        <f>平成15年度!G75+平成15年度!G77</f>
        <v>555972</v>
      </c>
      <c r="H76" s="1">
        <f>平成15年度!H75+平成15年度!H77</f>
        <v>575510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2643</v>
      </c>
      <c r="X76" s="134" t="s">
        <v>2644</v>
      </c>
      <c r="Y76" s="181">
        <f>平成15年度!C2+SUM(平成15年度!Y48:Y64)</f>
        <v>600780</v>
      </c>
      <c r="Z76" s="182">
        <f>平成15年度!H2+SUM(平成15年度!Z48:Z64)</f>
        <v>1151071</v>
      </c>
      <c r="AA76" s="182">
        <f>平成15年度!J2+SUM(平成15年度!AA48:AA64)</f>
        <v>657641</v>
      </c>
      <c r="AB76" s="182">
        <f>平成15年度!K2+SUM(平成15年度!AB48:AB64)</f>
        <v>299037</v>
      </c>
      <c r="AC76" s="183">
        <f>平成15年度!L2+SUM(平成15年度!AC48:AC64)</f>
        <v>194393</v>
      </c>
      <c r="AD76" s="184">
        <f>平成15年度!N2+平成15年度!AD48+平成15年度!AD50+平成15年度!AD52+平成15年度!AD54+平成15年度!AD56+平成15年度!AD58+平成15年度!AD60+平成15年度!AD62+平成15年度!AD64</f>
        <v>61867</v>
      </c>
      <c r="AE76" s="181">
        <f>平成15年度!R2+SUM(平成15年度!AE48:AE64)</f>
        <v>1338427</v>
      </c>
      <c r="AF76" s="182">
        <f>平成15年度!S2+SUM(平成15年度!AF48:AF64)</f>
        <v>3565545</v>
      </c>
      <c r="AG76" s="185">
        <f>平成15年度!Y76/+平成15年度!AE76</f>
        <v>0.44887020360467922</v>
      </c>
      <c r="AH76" s="186">
        <f>平成15年度!Z76/+平成15年度!AF76</f>
        <v>0.32283171296393681</v>
      </c>
      <c r="AI76" s="187">
        <f>平成15年度!AC76/+平成15年度!Z76</f>
        <v>0.16888011252129539</v>
      </c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20.149999999999999" customHeight="1" x14ac:dyDescent="0.2">
      <c r="A77" s="1" t="s">
        <v>2645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平成15年度!H27</f>
        <v>480782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2646</v>
      </c>
      <c r="X77" s="142" t="s">
        <v>2647</v>
      </c>
      <c r="Y77" s="189"/>
      <c r="Z77" s="190"/>
      <c r="AA77" s="190" t="e">
        <f>平成15年度!AA78+平成15年度!AB78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20.149999999999999" customHeight="1" x14ac:dyDescent="0.2">
      <c r="A78" s="1" t="s">
        <v>2648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平成15年度!H20</f>
        <v>1157397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2649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平成15年度!Y78/+平成15年度!AE78</f>
        <v>#VALUE!</v>
      </c>
      <c r="AH78" s="202" t="e">
        <f>平成15年度!Z78/+平成15年度!AF78</f>
        <v>#VALUE!</v>
      </c>
      <c r="AI78" s="203" t="e">
        <f>平成15年度!AC78/+平成15年度!Z78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20.149999999999999" customHeight="1" x14ac:dyDescent="0.2">
      <c r="A79" s="1"/>
      <c r="B79" s="1"/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平成15年度!H21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20.149999999999999" customHeight="1" x14ac:dyDescent="0.2">
      <c r="A80" s="1" t="s">
        <v>2650</v>
      </c>
      <c r="B80" s="1"/>
      <c r="C80" s="204">
        <f>ROUND(+平成15年度!C78/平成15年度!C76,8)</f>
        <v>2.02529337</v>
      </c>
      <c r="D80" s="204">
        <f>ROUND(+平成15年度!D78/平成15年度!D76,8)</f>
        <v>2.0240164300000001</v>
      </c>
      <c r="E80" s="204">
        <f>ROUND(+平成15年度!E78/平成15年度!E76,8)</f>
        <v>2.02072144</v>
      </c>
      <c r="F80" s="204">
        <f>ROUND(+平成15年度!F78/平成15年度!F76,8)</f>
        <v>2.0253886200000002</v>
      </c>
      <c r="G80" s="204">
        <f>ROUND(+平成15年度!G78/平成15年度!G76,8)</f>
        <v>2.02343283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20.149999999999999" customHeight="1" x14ac:dyDescent="0.2">
      <c r="A81" s="1" t="s">
        <v>2651</v>
      </c>
      <c r="B81" s="1"/>
      <c r="C81" s="204">
        <f>ROUND(+平成15年度!C78/平成15年度!C77,8)</f>
        <v>2.4246736000000002</v>
      </c>
      <c r="D81" s="204">
        <f>ROUND(+平成15年度!D78/平成15年度!D77,8)</f>
        <v>2.4232626499999999</v>
      </c>
      <c r="E81" s="204">
        <f>ROUND(+平成15年度!E78/平成15年度!E77,8)</f>
        <v>2.4196870499999998</v>
      </c>
      <c r="F81" s="204">
        <f>ROUND(+平成15年度!F78/平成15年度!F77,8)</f>
        <v>2.4238196300000001</v>
      </c>
      <c r="G81" s="204">
        <f>ROUND(+平成15年度!G78/平成15年度!G77,8)</f>
        <v>2.42133062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20.149999999999999" customHeight="1" x14ac:dyDescent="0.2">
      <c r="A82" s="1" t="s">
        <v>2652</v>
      </c>
      <c r="B82" s="1"/>
      <c r="C82" s="1"/>
      <c r="D82" s="204">
        <f>ROUND(+平成15年度!D78/平成15年度!C78,8)</f>
        <v>1.0379004999999999</v>
      </c>
      <c r="E82" s="204">
        <f>ROUND(+平成15年度!E78/平成15年度!D78,8)</f>
        <v>1.0353954299999999</v>
      </c>
      <c r="F82" s="204">
        <f>ROUND(+平成15年度!F78/平成15年度!E78,8)</f>
        <v>1.03905205</v>
      </c>
      <c r="G82" s="204">
        <f>ROUND(+平成15年度!G78/平成15年度!F78,8)</f>
        <v>1.03926103</v>
      </c>
      <c r="H82" s="204" t="s">
        <v>2653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20.149999999999999" customHeight="1" x14ac:dyDescent="0.2">
      <c r="A83" s="1" t="s">
        <v>2654</v>
      </c>
      <c r="B83" s="1"/>
      <c r="C83" s="1"/>
      <c r="D83" s="1"/>
      <c r="E83" s="1">
        <f>(+平成15年度!C81+平成15年度!D81)/2*平成15年度!E77/12</f>
        <v>86969.35035953125</v>
      </c>
      <c r="F83" s="1">
        <f>(+平成15年度!D81+平成15年度!E81)/2*平成15年度!F77/12</f>
        <v>90118.818755025</v>
      </c>
      <c r="G83" s="1">
        <f>(+平成15年度!E81+平成15年度!F81)/2*平成15年度!G77/12</f>
        <v>93764.033128671654</v>
      </c>
      <c r="H83" s="1">
        <f>(+平成15年度!F81+平成15年度!G81)/2*平成15年度!H77/12</f>
        <v>97060.876145645816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20.14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20.14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20.149999999999999" customHeight="1" x14ac:dyDescent="0.2">
      <c r="A86" s="1"/>
      <c r="B86" s="1"/>
      <c r="C86" s="1"/>
      <c r="D86" s="1"/>
      <c r="E86" s="1"/>
      <c r="F86" s="1" t="e">
        <f>(+平成15年度!D82+平成15年度!E82)/2*平成15年度!E79</f>
        <v>#VALUE!</v>
      </c>
      <c r="G86" s="1" t="e">
        <f>(+平成15年度!E82+平成15年度!F82)/2*平成15年度!F79</f>
        <v>#VALUE!</v>
      </c>
      <c r="H86" s="1" t="e">
        <f>(+平成15年度!F82+平成15年度!G82)/2*平成15年度!G79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</sheetData>
  <phoneticPr fontId="22"/>
  <printOptions horizontalCentered="1" verticalCentered="1"/>
  <pageMargins left="0.2" right="0.19685039370078741" top="0.43307086614173229" bottom="0.28999999999999998" header="0.97" footer="0.23622047244094491"/>
  <pageSetup paperSize="9" scale="62" orientation="landscape" horizontalDpi="300" verticalDpi="300" r:id="rId1"/>
  <headerFooter alignWithMargins="0">
    <oddHeader>&amp;L</oddHeader>
    <oddFooter>&amp;L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R86"/>
  <sheetViews>
    <sheetView workbookViewId="0">
      <pane xSplit="2" ySplit="6" topLeftCell="C7" activePane="bottomRight" state="frozen"/>
      <selection activeCell="D14" sqref="D14"/>
      <selection pane="topRight" activeCell="D14" sqref="D14"/>
      <selection pane="bottomLeft" activeCell="D14" sqref="D14"/>
      <selection pane="bottomRight" activeCell="W22" sqref="W22"/>
    </sheetView>
  </sheetViews>
  <sheetFormatPr defaultColWidth="10" defaultRowHeight="14" x14ac:dyDescent="0.2"/>
  <cols>
    <col min="1" max="1" width="10" style="206" customWidth="1"/>
    <col min="2" max="2" width="9.75" style="206" customWidth="1"/>
    <col min="3" max="3" width="9.33203125" style="206" customWidth="1"/>
    <col min="4" max="4" width="9" style="206" customWidth="1"/>
    <col min="5" max="5" width="8.83203125" style="206" customWidth="1"/>
    <col min="6" max="6" width="9" style="206" customWidth="1"/>
    <col min="7" max="7" width="8.75" style="206" customWidth="1"/>
    <col min="8" max="8" width="11.08203125" style="206" customWidth="1"/>
    <col min="9" max="12" width="10" style="206" customWidth="1"/>
    <col min="13" max="13" width="9.33203125" style="206" customWidth="1"/>
    <col min="14" max="14" width="9.25" style="206" customWidth="1"/>
    <col min="15" max="15" width="10.75" style="206" customWidth="1"/>
    <col min="16" max="16" width="9" style="206" customWidth="1"/>
    <col min="17" max="17" width="8.58203125" style="206" customWidth="1"/>
    <col min="18" max="18" width="11" style="206" customWidth="1"/>
    <col min="19" max="19" width="10.83203125" style="206" customWidth="1"/>
    <col min="20" max="20" width="10.58203125" style="206" customWidth="1"/>
    <col min="21" max="21" width="11.58203125" style="206" customWidth="1"/>
    <col min="22" max="22" width="10.58203125" style="206" customWidth="1"/>
    <col min="23" max="16384" width="10" style="206"/>
  </cols>
  <sheetData>
    <row r="1" spans="1:44" ht="20.149999999999999" customHeight="1" x14ac:dyDescent="0.2">
      <c r="A1" s="1"/>
      <c r="B1" s="1" t="s">
        <v>2810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1032</v>
      </c>
      <c r="AK1" s="1"/>
      <c r="AL1" s="1"/>
      <c r="AM1" s="1"/>
      <c r="AN1" s="1"/>
      <c r="AO1" s="1"/>
      <c r="AP1" s="1"/>
      <c r="AQ1" s="1"/>
      <c r="AR1" s="1"/>
    </row>
    <row r="2" spans="1:44" ht="20.149999999999999" customHeight="1" x14ac:dyDescent="0.2">
      <c r="A2" s="2" t="s">
        <v>815</v>
      </c>
      <c r="B2" s="1"/>
      <c r="C2" s="205">
        <f>SUM(平成15年度!C17:C19)</f>
        <v>151811</v>
      </c>
      <c r="D2" s="205">
        <f>SUM(平成15年度!D17:D19)</f>
        <v>128307</v>
      </c>
      <c r="E2" s="205">
        <f>SUM(平成15年度!E17:E19)</f>
        <v>120224</v>
      </c>
      <c r="F2" s="205">
        <f>SUM(平成15年度!F17:F19)</f>
        <v>8083</v>
      </c>
      <c r="G2" s="205">
        <f>SUM(平成15年度!G17:G19)</f>
        <v>23504</v>
      </c>
      <c r="H2" s="205">
        <f>SUM(平成15年度!H17:H19)</f>
        <v>290100</v>
      </c>
      <c r="I2" s="205">
        <f>SUM(平成15年度!I17:I19)</f>
        <v>238259</v>
      </c>
      <c r="J2" s="205">
        <f>SUM(平成15年度!J17:J19)</f>
        <v>164969</v>
      </c>
      <c r="K2" s="205">
        <f>SUM(平成15年度!K17:K19)</f>
        <v>73290</v>
      </c>
      <c r="L2" s="205">
        <f>SUM(平成15年度!L17:L19)</f>
        <v>51841</v>
      </c>
      <c r="M2" s="205">
        <f>SUM(平成15年度!M17:M19)</f>
        <v>35201</v>
      </c>
      <c r="N2" s="205">
        <f>SUM(平成15年度!N17:N19)</f>
        <v>16640</v>
      </c>
      <c r="O2" s="205">
        <f>SUM(平成15年度!O17:O19)</f>
        <v>86938</v>
      </c>
      <c r="P2" s="205">
        <f>SUM(平成15年度!P17:P19)</f>
        <v>64722</v>
      </c>
      <c r="Q2" s="205">
        <f>SUM(平成15年度!Q17:Q19)</f>
        <v>22216</v>
      </c>
      <c r="R2" s="205">
        <f>SUM(平成15年度!R17:R19)</f>
        <v>336539</v>
      </c>
      <c r="S2" s="205">
        <f>SUM(平成15年度!S17:S19)</f>
        <v>891808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0.149999999999999" customHeight="1" x14ac:dyDescent="0.2">
      <c r="A3" s="2" t="s">
        <v>816</v>
      </c>
      <c r="B3" s="3"/>
      <c r="C3" s="3" t="s">
        <v>2809</v>
      </c>
      <c r="D3" s="3"/>
      <c r="E3" s="3" t="s">
        <v>1357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9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1055</v>
      </c>
      <c r="AK4" s="18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ROUND(+平成16年度!AK4/平成16年度!AM4,4)</f>
        <v>#VALUE!</v>
      </c>
      <c r="AP4" s="22" t="e">
        <f>ROUND(+平成16年度!AL4/平成16年度!AN4,4)</f>
        <v>#VALUE!</v>
      </c>
      <c r="AQ4" s="1"/>
      <c r="AR4" s="1"/>
    </row>
    <row r="5" spans="1:44" ht="20.149999999999999" customHeight="1" x14ac:dyDescent="0.2">
      <c r="A5" s="2" t="s">
        <v>829</v>
      </c>
      <c r="B5" s="23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26" t="s">
        <v>19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ROUND(+平成16年度!AK5/平成16年度!AM5,4)</f>
        <v>#VALUE!</v>
      </c>
      <c r="AP5" s="35" t="e">
        <f>ROUND(+平成16年度!AL5/平成16年度!AN5,4)</f>
        <v>#VALUE!</v>
      </c>
      <c r="AQ5" s="36" t="e">
        <f>ROUND((+平成16年度!AO5-平成16年度!AO4),4)</f>
        <v>#VALUE!</v>
      </c>
      <c r="AR5" s="36" t="e">
        <f>ROUND((+平成16年度!AP5-平成16年度!AP4),4)</f>
        <v>#VALUE!</v>
      </c>
    </row>
    <row r="6" spans="1:44" ht="20.149999999999999" customHeight="1" x14ac:dyDescent="0.2">
      <c r="A6" s="2" t="s">
        <v>847</v>
      </c>
      <c r="B6" s="37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ROUND(+平成16年度!AK6/平成16年度!AM6,4)</f>
        <v>0.28620000000000001</v>
      </c>
      <c r="AP6" s="35">
        <f>ROUND(+平成16年度!AL6/平成16年度!AN6,4)</f>
        <v>0.40529999999999999</v>
      </c>
      <c r="AQ6" s="36" t="e">
        <f>ROUND((+平成16年度!AO6-平成16年度!AO5),4)</f>
        <v>#VALUE!</v>
      </c>
      <c r="AR6" s="36" t="e">
        <f>ROUND((+平成16年度!AP6-平成16年度!AP5),4)</f>
        <v>#VALUE!</v>
      </c>
    </row>
    <row r="7" spans="1:44" ht="20.149999999999999" customHeight="1" x14ac:dyDescent="0.2">
      <c r="A7" s="2"/>
      <c r="B7" s="389"/>
      <c r="C7" s="334"/>
      <c r="D7" s="335"/>
      <c r="E7" s="336"/>
      <c r="F7" s="336"/>
      <c r="G7" s="337"/>
      <c r="H7" s="338"/>
      <c r="I7" s="335"/>
      <c r="J7" s="336"/>
      <c r="K7" s="336"/>
      <c r="L7" s="336"/>
      <c r="M7" s="336"/>
      <c r="N7" s="337"/>
      <c r="O7" s="334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</row>
    <row r="8" spans="1:44" ht="20.149999999999999" customHeight="1" x14ac:dyDescent="0.2">
      <c r="A8" s="2" t="s">
        <v>860</v>
      </c>
      <c r="B8" s="43" t="s">
        <v>40</v>
      </c>
      <c r="C8" s="319">
        <v>51211</v>
      </c>
      <c r="D8" s="45">
        <f>平成16年度!E8+平成16年度!F8</f>
        <v>43049</v>
      </c>
      <c r="E8" s="45">
        <f>平成16年度!C8-平成16年度!G8-平成16年度!F8</f>
        <v>40299</v>
      </c>
      <c r="F8" s="46">
        <v>2750</v>
      </c>
      <c r="G8" s="47">
        <v>8162</v>
      </c>
      <c r="H8" s="314">
        <v>97789</v>
      </c>
      <c r="I8" s="45">
        <f>平成16年度!J8+平成16年度!K8</f>
        <v>79792</v>
      </c>
      <c r="J8" s="46">
        <v>55433</v>
      </c>
      <c r="K8" s="49">
        <v>24359</v>
      </c>
      <c r="L8" s="45">
        <f>平成16年度!M8+平成16年度!N8</f>
        <v>17997</v>
      </c>
      <c r="M8" s="46">
        <v>12179</v>
      </c>
      <c r="N8" s="47">
        <v>5818</v>
      </c>
      <c r="O8" s="319">
        <v>29618</v>
      </c>
      <c r="P8" s="45">
        <f>平成16年度!O8-平成16年度!Q8</f>
        <v>21839</v>
      </c>
      <c r="Q8" s="47">
        <v>7779</v>
      </c>
      <c r="R8" s="44">
        <v>112749</v>
      </c>
      <c r="S8" s="46">
        <v>297518</v>
      </c>
      <c r="T8" s="50">
        <f>平成16年度!C8/平成16年度!R8</f>
        <v>0.45420358495419028</v>
      </c>
      <c r="U8" s="51">
        <f>平成16年度!H8/平成16年度!S8</f>
        <v>0.32868263432800704</v>
      </c>
      <c r="V8" s="52">
        <f>平成16年度!L8/平成16年度!H8</f>
        <v>0.18403910460276718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ROUND(+平成16年度!AK8/平成16年度!AM8,4)</f>
        <v>#VALUE!</v>
      </c>
      <c r="AP8" s="35">
        <f>ROUND(+平成16年度!AL8/平成16年度!AN8,4)</f>
        <v>1.6304000000000001</v>
      </c>
      <c r="AQ8" s="36" t="e">
        <f>ROUND((+平成16年度!AO8-平成16年度!AO6),4)</f>
        <v>#VALUE!</v>
      </c>
      <c r="AR8" s="36">
        <f>ROUND((+平成16年度!AP8-平成16年度!AP6),4)</f>
        <v>1.2251000000000001</v>
      </c>
    </row>
    <row r="9" spans="1:44" ht="20.149999999999999" customHeight="1" x14ac:dyDescent="0.2">
      <c r="A9" s="2" t="s">
        <v>862</v>
      </c>
      <c r="B9" s="43" t="s">
        <v>41</v>
      </c>
      <c r="C9" s="319">
        <v>51247</v>
      </c>
      <c r="D9" s="45">
        <f>平成16年度!E9+平成16年度!F9</f>
        <v>43047</v>
      </c>
      <c r="E9" s="45">
        <f>平成16年度!C9-平成16年度!G9-平成16年度!F9</f>
        <v>40299</v>
      </c>
      <c r="F9" s="46">
        <v>2748</v>
      </c>
      <c r="G9" s="47">
        <v>8200</v>
      </c>
      <c r="H9" s="314">
        <v>97657</v>
      </c>
      <c r="I9" s="45">
        <f>平成16年度!J9+平成16年度!K9</f>
        <v>79618</v>
      </c>
      <c r="J9" s="46">
        <v>55334</v>
      </c>
      <c r="K9" s="49">
        <v>24284</v>
      </c>
      <c r="L9" s="45">
        <f>平成16年度!M9+平成16年度!N9</f>
        <v>18039</v>
      </c>
      <c r="M9" s="46">
        <v>12219</v>
      </c>
      <c r="N9" s="47">
        <v>5820</v>
      </c>
      <c r="O9" s="319">
        <v>29568</v>
      </c>
      <c r="P9" s="45">
        <f>平成16年度!O9-平成16年度!Q9</f>
        <v>21825</v>
      </c>
      <c r="Q9" s="47">
        <v>7743</v>
      </c>
      <c r="R9" s="44">
        <v>112935</v>
      </c>
      <c r="S9" s="46">
        <v>297614</v>
      </c>
      <c r="T9" s="50">
        <f>平成16年度!C9/平成16年度!R9</f>
        <v>0.45377429494842164</v>
      </c>
      <c r="U9" s="51">
        <f>平成16年度!H9/平成16年度!S9</f>
        <v>0.32813308513712391</v>
      </c>
      <c r="V9" s="52">
        <f>平成16年度!L9/平成16年度!H9</f>
        <v>0.18471794136621031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ROUND(+平成16年度!AK9/平成16年度!AM9,4)</f>
        <v>#VALUE!</v>
      </c>
      <c r="AP9" s="35">
        <f>ROUND(+平成16年度!AL9/平成16年度!AN9,4)</f>
        <v>1.6746000000000001</v>
      </c>
      <c r="AQ9" s="36" t="e">
        <f>ROUND((+平成16年度!AO9-平成16年度!AO8),4)</f>
        <v>#VALUE!</v>
      </c>
      <c r="AR9" s="36">
        <f>ROUND((+平成16年度!AP9-平成16年度!AP8),4)</f>
        <v>4.4200000000000003E-2</v>
      </c>
    </row>
    <row r="10" spans="1:44" ht="20.149999999999999" customHeight="1" x14ac:dyDescent="0.2">
      <c r="A10" s="2" t="s">
        <v>864</v>
      </c>
      <c r="B10" s="53" t="s">
        <v>42</v>
      </c>
      <c r="C10" s="320">
        <v>51411</v>
      </c>
      <c r="D10" s="55">
        <f>平成16年度!E10+平成16年度!F10</f>
        <v>43170</v>
      </c>
      <c r="E10" s="55">
        <f>平成16年度!C10-平成16年度!G10-平成16年度!F10</f>
        <v>40414</v>
      </c>
      <c r="F10" s="56">
        <v>2756</v>
      </c>
      <c r="G10" s="57">
        <v>8241</v>
      </c>
      <c r="H10" s="315">
        <v>97823</v>
      </c>
      <c r="I10" s="55">
        <f>平成16年度!J10+平成16年度!K10</f>
        <v>79695</v>
      </c>
      <c r="J10" s="56">
        <v>55463</v>
      </c>
      <c r="K10" s="59">
        <v>24232</v>
      </c>
      <c r="L10" s="55">
        <f>平成16年度!M10+平成16年度!N10</f>
        <v>18128</v>
      </c>
      <c r="M10" s="56">
        <v>12275</v>
      </c>
      <c r="N10" s="57">
        <v>5853</v>
      </c>
      <c r="O10" s="320">
        <v>29635</v>
      </c>
      <c r="P10" s="55">
        <f>平成16年度!O10-平成16年度!Q10</f>
        <v>21919</v>
      </c>
      <c r="Q10" s="57">
        <v>7716</v>
      </c>
      <c r="R10" s="54">
        <v>113075</v>
      </c>
      <c r="S10" s="56">
        <v>297792</v>
      </c>
      <c r="T10" s="60">
        <f>平成16年度!C10/平成16年度!R10</f>
        <v>0.4546628344019456</v>
      </c>
      <c r="U10" s="61">
        <f>平成16年度!H10/平成16年度!S10</f>
        <v>0.32849438534278957</v>
      </c>
      <c r="V10" s="62">
        <f>平成16年度!L10/平成16年度!H10</f>
        <v>0.18531429213988529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ROUND(+平成16年度!AK10/平成16年度!AM10,4)</f>
        <v>#VALUE!</v>
      </c>
      <c r="AP10" s="68">
        <f>ROUND(+平成16年度!AL10/平成16年度!AN10,4)</f>
        <v>1.7114</v>
      </c>
      <c r="AQ10" s="36" t="e">
        <f>ROUND((+平成16年度!AO10-平成16年度!AO9),4)</f>
        <v>#VALUE!</v>
      </c>
      <c r="AR10" s="36">
        <f>ROUND((+平成16年度!AP10-平成16年度!AP9),4)</f>
        <v>3.6799999999999999E-2</v>
      </c>
    </row>
    <row r="11" spans="1:44" ht="20.149999999999999" customHeight="1" x14ac:dyDescent="0.2">
      <c r="A11" s="2" t="s">
        <v>866</v>
      </c>
      <c r="B11" s="53" t="s">
        <v>43</v>
      </c>
      <c r="C11" s="320">
        <v>51471</v>
      </c>
      <c r="D11" s="55">
        <f>平成16年度!E11+平成16年度!F11</f>
        <v>43030</v>
      </c>
      <c r="E11" s="55">
        <f>平成16年度!C11-平成16年度!G11-平成16年度!F11</f>
        <v>40223</v>
      </c>
      <c r="F11" s="56">
        <v>2807</v>
      </c>
      <c r="G11" s="57">
        <v>8441</v>
      </c>
      <c r="H11" s="315">
        <v>97959</v>
      </c>
      <c r="I11" s="55">
        <f>平成16年度!J11+平成16年度!K11</f>
        <v>79399</v>
      </c>
      <c r="J11" s="56">
        <v>55214</v>
      </c>
      <c r="K11" s="59">
        <v>24185</v>
      </c>
      <c r="L11" s="55">
        <f>平成16年度!M11+平成16年度!N11</f>
        <v>18560</v>
      </c>
      <c r="M11" s="56">
        <v>12540</v>
      </c>
      <c r="N11" s="57">
        <v>6020</v>
      </c>
      <c r="O11" s="320">
        <v>29695</v>
      </c>
      <c r="P11" s="55">
        <f>平成16年度!O11-平成16年度!Q11</f>
        <v>21713</v>
      </c>
      <c r="Q11" s="57">
        <v>7982</v>
      </c>
      <c r="R11" s="54">
        <v>113205</v>
      </c>
      <c r="S11" s="56">
        <v>297925</v>
      </c>
      <c r="T11" s="60">
        <f>平成16年度!C11/平成16年度!R11</f>
        <v>0.45467073009142706</v>
      </c>
      <c r="U11" s="61">
        <f>平成16年度!H11/平成16年度!S11</f>
        <v>0.32880422925232861</v>
      </c>
      <c r="V11" s="62">
        <f>平成16年度!L11/平成16年度!H11</f>
        <v>0.18946702191733275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907</v>
      </c>
      <c r="AK11" s="70" t="e">
        <f>平成16年度!H21</f>
        <v>#VALUE!</v>
      </c>
      <c r="AL11" s="71">
        <f>平成16年度!C21</f>
        <v>51934.25</v>
      </c>
      <c r="AM11" s="72">
        <f>平成16年度!S21</f>
        <v>300024.58333333331</v>
      </c>
      <c r="AN11" s="72">
        <f>平成16年度!R21</f>
        <v>114149.58333333333</v>
      </c>
      <c r="AO11" s="73" t="e">
        <f>ROUND(+平成16年度!AK11/平成16年度!AM11,4)</f>
        <v>#VALUE!</v>
      </c>
      <c r="AP11" s="74">
        <f>ROUND(+平成16年度!AL11/平成16年度!AN11,4)</f>
        <v>0.45500000000000002</v>
      </c>
      <c r="AQ11" s="36" t="e">
        <f>ROUND((+平成16年度!AO11-平成16年度!AO10),4)</f>
        <v>#VALUE!</v>
      </c>
      <c r="AR11" s="36">
        <f>ROUND((+平成16年度!AP11-平成16年度!AP10),4)</f>
        <v>-1.2564</v>
      </c>
    </row>
    <row r="12" spans="1:44" ht="20.149999999999999" customHeight="1" x14ac:dyDescent="0.2">
      <c r="A12" s="2" t="s">
        <v>868</v>
      </c>
      <c r="B12" s="53" t="s">
        <v>44</v>
      </c>
      <c r="C12" s="320">
        <v>51577</v>
      </c>
      <c r="D12" s="55">
        <f>平成16年度!E12+平成16年度!F12</f>
        <v>43085</v>
      </c>
      <c r="E12" s="55">
        <f>平成16年度!C12-平成16年度!G12-平成16年度!F12</f>
        <v>40271</v>
      </c>
      <c r="F12" s="56">
        <v>2814</v>
      </c>
      <c r="G12" s="57">
        <v>8492</v>
      </c>
      <c r="H12" s="315">
        <v>98120</v>
      </c>
      <c r="I12" s="55">
        <f>平成16年度!J12+平成16年度!K12</f>
        <v>79448</v>
      </c>
      <c r="J12" s="56">
        <v>55338</v>
      </c>
      <c r="K12" s="59">
        <v>24110</v>
      </c>
      <c r="L12" s="55">
        <f>平成16年度!M12+平成16年度!N12</f>
        <v>18672</v>
      </c>
      <c r="M12" s="56">
        <v>12606</v>
      </c>
      <c r="N12" s="57">
        <v>6066</v>
      </c>
      <c r="O12" s="320">
        <v>29741</v>
      </c>
      <c r="P12" s="55">
        <f>平成16年度!O12-平成16年度!Q12</f>
        <v>21780</v>
      </c>
      <c r="Q12" s="57">
        <v>7961</v>
      </c>
      <c r="R12" s="54">
        <v>113272</v>
      </c>
      <c r="S12" s="56">
        <v>297945</v>
      </c>
      <c r="T12" s="60">
        <f>平成16年度!C12/平成16年度!R12</f>
        <v>0.4553375944628858</v>
      </c>
      <c r="U12" s="61">
        <f>平成16年度!H12/平成16年度!S12</f>
        <v>0.32932252596955813</v>
      </c>
      <c r="V12" s="62">
        <f>平成16年度!L12/平成16年度!H12</f>
        <v>0.19029759478189973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1103</v>
      </c>
      <c r="AK12" s="1"/>
      <c r="AL12" s="1"/>
      <c r="AM12" s="1"/>
      <c r="AN12" s="1"/>
      <c r="AO12" s="1"/>
      <c r="AP12" s="1"/>
      <c r="AQ12" s="1"/>
      <c r="AR12" s="1"/>
    </row>
    <row r="13" spans="1:44" ht="20.149999999999999" customHeight="1" x14ac:dyDescent="0.2">
      <c r="A13" s="75" t="s">
        <v>275</v>
      </c>
      <c r="B13" s="43" t="s">
        <v>45</v>
      </c>
      <c r="C13" s="319">
        <v>51607</v>
      </c>
      <c r="D13" s="45">
        <f>平成16年度!E13+平成16年度!F13</f>
        <v>43052</v>
      </c>
      <c r="E13" s="45">
        <f>平成16年度!C13-平成16年度!G13-平成16年度!F13</f>
        <v>40226</v>
      </c>
      <c r="F13" s="46">
        <v>2826</v>
      </c>
      <c r="G13" s="47">
        <v>8555</v>
      </c>
      <c r="H13" s="315">
        <f>平成16年度!I13+平成16年度!L13</f>
        <v>98140</v>
      </c>
      <c r="I13" s="45">
        <f>平成16年度!J13+平成16年度!K13</f>
        <v>79377</v>
      </c>
      <c r="J13" s="46">
        <v>55340</v>
      </c>
      <c r="K13" s="49">
        <v>24037</v>
      </c>
      <c r="L13" s="45">
        <f>平成16年度!M13+平成16年度!N13</f>
        <v>18763</v>
      </c>
      <c r="M13" s="46">
        <v>12684</v>
      </c>
      <c r="N13" s="47">
        <v>6079</v>
      </c>
      <c r="O13" s="319">
        <v>29686</v>
      </c>
      <c r="P13" s="45">
        <f>平成16年度!O13-平成16年度!Q13</f>
        <v>21756</v>
      </c>
      <c r="Q13" s="47">
        <v>7930</v>
      </c>
      <c r="R13" s="44">
        <v>113426</v>
      </c>
      <c r="S13" s="46">
        <v>298137</v>
      </c>
      <c r="T13" s="50">
        <f>平成16年度!C13/平成16年度!R13</f>
        <v>0.45498386613298536</v>
      </c>
      <c r="U13" s="51">
        <f>平成16年度!H13/平成16年度!S13</f>
        <v>0.3291775257683548</v>
      </c>
      <c r="V13" s="52">
        <f>平成16年度!L13/平成16年度!H13</f>
        <v>0.19118606072957001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1106</v>
      </c>
      <c r="AK13" s="76" t="e">
        <f>平成16年度!AK10/平成16年度!AK4</f>
        <v>#VALUE!</v>
      </c>
      <c r="AL13" s="77" t="e">
        <f>平成16年度!AL10/平成16年度!AL4</f>
        <v>#VALUE!</v>
      </c>
      <c r="AM13" s="77" t="e">
        <f>平成16年度!AM10/平成16年度!AM4</f>
        <v>#VALUE!</v>
      </c>
      <c r="AN13" s="77" t="e">
        <f>平成16年度!AN10/平成16年度!AN4</f>
        <v>#VALUE!</v>
      </c>
      <c r="AO13" s="78" t="e">
        <f>平成16年度!AO10/平成16年度!AO4</f>
        <v>#VALUE!</v>
      </c>
      <c r="AP13" s="74" t="e">
        <f>平成16年度!AP10/平成16年度!AP4</f>
        <v>#VALUE!</v>
      </c>
      <c r="AQ13" s="1"/>
      <c r="AR13" s="1"/>
    </row>
    <row r="14" spans="1:44" ht="20.149999999999999" customHeight="1" x14ac:dyDescent="0.2">
      <c r="A14" s="75" t="s">
        <v>275</v>
      </c>
      <c r="B14" s="43" t="s">
        <v>46</v>
      </c>
      <c r="C14" s="319">
        <v>51736</v>
      </c>
      <c r="D14" s="45">
        <f>平成16年度!E14+平成16年度!F14</f>
        <v>43124</v>
      </c>
      <c r="E14" s="45">
        <f>平成16年度!C14-平成16年度!G14-平成16年度!F14</f>
        <v>40293</v>
      </c>
      <c r="F14" s="46">
        <v>2831</v>
      </c>
      <c r="G14" s="47">
        <v>8612</v>
      </c>
      <c r="H14" s="314">
        <f>平成16年度!I14+平成16年度!L14</f>
        <v>98268</v>
      </c>
      <c r="I14" s="45">
        <f>平成16年度!J14+平成16年度!K14</f>
        <v>79392</v>
      </c>
      <c r="J14" s="46">
        <v>55393</v>
      </c>
      <c r="K14" s="49">
        <v>23999</v>
      </c>
      <c r="L14" s="45">
        <f>平成16年度!M14+平成16年度!N14</f>
        <v>18876</v>
      </c>
      <c r="M14" s="46">
        <v>12750</v>
      </c>
      <c r="N14" s="47">
        <v>6126</v>
      </c>
      <c r="O14" s="319">
        <v>29675</v>
      </c>
      <c r="P14" s="45">
        <f>平成16年度!O14-平成16年度!Q14</f>
        <v>21788</v>
      </c>
      <c r="Q14" s="47">
        <v>7887</v>
      </c>
      <c r="R14" s="44">
        <v>113593</v>
      </c>
      <c r="S14" s="46">
        <v>298282</v>
      </c>
      <c r="T14" s="50">
        <f>平成16年度!C14/平成16年度!R14</f>
        <v>0.45545059994894049</v>
      </c>
      <c r="U14" s="51">
        <f>平成16年度!H14/平成16年度!S14</f>
        <v>0.32944663104042482</v>
      </c>
      <c r="V14" s="52">
        <f>平成16年度!L14/平成16年度!H14</f>
        <v>0.19208694590304065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0.149999999999999" customHeight="1" x14ac:dyDescent="0.2">
      <c r="A15" s="75" t="s">
        <v>275</v>
      </c>
      <c r="B15" s="53" t="s">
        <v>47</v>
      </c>
      <c r="C15" s="320">
        <v>51760</v>
      </c>
      <c r="D15" s="55">
        <f>平成16年度!E15+平成16年度!F15</f>
        <v>43119</v>
      </c>
      <c r="E15" s="55">
        <f>平成16年度!C15-平成16年度!G15-平成16年度!F15</f>
        <v>40304</v>
      </c>
      <c r="F15" s="56">
        <v>2815</v>
      </c>
      <c r="G15" s="57">
        <v>8641</v>
      </c>
      <c r="H15" s="315">
        <f>平成16年度!I15+平成16年度!L15</f>
        <v>98159</v>
      </c>
      <c r="I15" s="55">
        <f>平成16年度!J15+平成16年度!K15</f>
        <v>79262</v>
      </c>
      <c r="J15" s="56">
        <v>55349</v>
      </c>
      <c r="K15" s="59">
        <v>23913</v>
      </c>
      <c r="L15" s="55">
        <f>平成16年度!M15+平成16年度!N15</f>
        <v>18897</v>
      </c>
      <c r="M15" s="56">
        <v>12766</v>
      </c>
      <c r="N15" s="57">
        <v>6131</v>
      </c>
      <c r="O15" s="320">
        <v>29618</v>
      </c>
      <c r="P15" s="55">
        <f>平成16年度!O15-平成16年度!Q15</f>
        <v>21828</v>
      </c>
      <c r="Q15" s="57">
        <v>7790</v>
      </c>
      <c r="R15" s="54">
        <v>113782</v>
      </c>
      <c r="S15" s="56">
        <v>298444</v>
      </c>
      <c r="T15" s="60">
        <f>平成16年度!C15/平成16年度!R15</f>
        <v>0.45490499375999721</v>
      </c>
      <c r="U15" s="61">
        <f>平成16年度!H15/平成16年度!S15</f>
        <v>0.32890257468737855</v>
      </c>
      <c r="V15" s="62">
        <f>平成16年度!L15/平成16年度!H15</f>
        <v>0.19251418616734076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1111</v>
      </c>
      <c r="AK15" s="1"/>
      <c r="AL15" s="1"/>
      <c r="AM15" s="1"/>
      <c r="AN15" s="1"/>
      <c r="AO15" s="1"/>
      <c r="AP15" s="1"/>
      <c r="AQ15" s="1"/>
      <c r="AR15" s="1"/>
    </row>
    <row r="16" spans="1:44" ht="20.149999999999999" customHeight="1" x14ac:dyDescent="0.2">
      <c r="A16" s="1" t="s">
        <v>275</v>
      </c>
      <c r="B16" s="43" t="s">
        <v>48</v>
      </c>
      <c r="C16" s="319">
        <v>51709</v>
      </c>
      <c r="D16" s="45">
        <f>平成16年度!E16+平成16年度!F16</f>
        <v>43044</v>
      </c>
      <c r="E16" s="45">
        <f>平成16年度!C16-平成16年度!G16-平成16年度!F16</f>
        <v>40232</v>
      </c>
      <c r="F16" s="46">
        <v>2812</v>
      </c>
      <c r="G16" s="47">
        <v>8665</v>
      </c>
      <c r="H16" s="314">
        <f>平成16年度!I16+平成16年度!L16</f>
        <v>98044</v>
      </c>
      <c r="I16" s="45">
        <f>平成16年度!J16+平成16年度!K16</f>
        <v>79118</v>
      </c>
      <c r="J16" s="56">
        <v>55277</v>
      </c>
      <c r="K16" s="49">
        <v>23841</v>
      </c>
      <c r="L16" s="45">
        <f>平成16年度!M16+平成16年度!N16</f>
        <v>18926</v>
      </c>
      <c r="M16" s="46">
        <v>12793</v>
      </c>
      <c r="N16" s="47">
        <v>6133</v>
      </c>
      <c r="O16" s="319">
        <v>29595</v>
      </c>
      <c r="P16" s="45">
        <f>平成16年度!O16-平成16年度!Q16</f>
        <v>21857</v>
      </c>
      <c r="Q16" s="47">
        <v>7738</v>
      </c>
      <c r="R16" s="44">
        <v>113783</v>
      </c>
      <c r="S16" s="46">
        <v>298467</v>
      </c>
      <c r="T16" s="50">
        <f>平成16年度!C16/平成16年度!R16</f>
        <v>0.45445277414024943</v>
      </c>
      <c r="U16" s="51">
        <f>平成16年度!H16/平成16年度!S16</f>
        <v>0.32849192708071578</v>
      </c>
      <c r="V16" s="52">
        <f>平成16年度!L16/平成16年度!H16</f>
        <v>0.19303577985394313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0.149999999999999" customHeight="1" x14ac:dyDescent="0.2">
      <c r="A17" s="1"/>
      <c r="B17" s="43" t="s">
        <v>49</v>
      </c>
      <c r="C17" s="319">
        <v>51783</v>
      </c>
      <c r="D17" s="45">
        <f>平成16年度!E17+平成16年度!F17</f>
        <v>42979</v>
      </c>
      <c r="E17" s="45">
        <f>平成16年度!C17-平成16年度!G17-平成16年度!F17</f>
        <v>40121</v>
      </c>
      <c r="F17" s="46">
        <v>2858</v>
      </c>
      <c r="G17" s="47">
        <v>8804</v>
      </c>
      <c r="H17" s="315">
        <f>平成16年度!I17+平成16年度!L17</f>
        <v>98112</v>
      </c>
      <c r="I17" s="45">
        <f>平成16年度!J17+平成16年度!K17</f>
        <v>78877</v>
      </c>
      <c r="J17" s="46">
        <v>55147</v>
      </c>
      <c r="K17" s="49">
        <v>23730</v>
      </c>
      <c r="L17" s="45">
        <f>平成16年度!M17+平成16年度!N17</f>
        <v>19235</v>
      </c>
      <c r="M17" s="46">
        <v>12988</v>
      </c>
      <c r="N17" s="47">
        <v>6247</v>
      </c>
      <c r="O17" s="319">
        <v>29439</v>
      </c>
      <c r="P17" s="45">
        <f>平成16年度!O17-平成16年度!Q17</f>
        <v>21643</v>
      </c>
      <c r="Q17" s="47">
        <v>7796</v>
      </c>
      <c r="R17" s="44">
        <v>113822</v>
      </c>
      <c r="S17" s="46">
        <v>298525</v>
      </c>
      <c r="T17" s="50">
        <f>平成16年度!C17/平成16年度!R17</f>
        <v>0.45494719825692748</v>
      </c>
      <c r="U17" s="51">
        <f>平成16年度!H17/平成16年度!S17</f>
        <v>0.32865589146637636</v>
      </c>
      <c r="V17" s="52">
        <f>平成16年度!L17/平成16年度!H17</f>
        <v>0.19605145140247879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1:44" ht="20.149999999999999" customHeight="1" x14ac:dyDescent="0.2">
      <c r="A18" s="1"/>
      <c r="B18" s="53" t="s">
        <v>50</v>
      </c>
      <c r="C18" s="320">
        <f>51795+2033</f>
        <v>53828</v>
      </c>
      <c r="D18" s="55">
        <f>平成16年度!E18+平成16年度!F18</f>
        <v>44591</v>
      </c>
      <c r="E18" s="55">
        <f>平成16年度!C18-平成16年度!G18-平成16年度!F18</f>
        <v>41573</v>
      </c>
      <c r="F18" s="56">
        <f>2861+157</f>
        <v>3018</v>
      </c>
      <c r="G18" s="57">
        <f>8859+378</f>
        <v>9237</v>
      </c>
      <c r="H18" s="315">
        <f>平成16年度!I18+平成16年度!L18</f>
        <v>102182</v>
      </c>
      <c r="I18" s="55">
        <f>平成16年度!J18+平成16年度!K18</f>
        <v>82021</v>
      </c>
      <c r="J18" s="56">
        <f>102182-20161-24622</f>
        <v>57399</v>
      </c>
      <c r="K18" s="59">
        <f>23621+1001</f>
        <v>24622</v>
      </c>
      <c r="L18" s="55">
        <f>平成16年度!M18+平成16年度!N18</f>
        <v>20161</v>
      </c>
      <c r="M18" s="56">
        <f>13055+622</f>
        <v>13677</v>
      </c>
      <c r="N18" s="57">
        <f>6270+214</f>
        <v>6484</v>
      </c>
      <c r="O18" s="320">
        <v>30523</v>
      </c>
      <c r="P18" s="55">
        <f>平成16年度!O18-平成16年度!Q18</f>
        <v>22470</v>
      </c>
      <c r="Q18" s="57">
        <v>8053</v>
      </c>
      <c r="R18" s="54">
        <v>117970</v>
      </c>
      <c r="S18" s="56">
        <v>309998</v>
      </c>
      <c r="T18" s="60">
        <f>平成16年度!C18/平成16年度!R18</f>
        <v>0.45628549631262183</v>
      </c>
      <c r="U18" s="61">
        <f>平成16年度!H18/平成16年度!S18</f>
        <v>0.32962148142891246</v>
      </c>
      <c r="V18" s="62">
        <f>平成16年度!L18/平成16年度!H18</f>
        <v>0.19730480906617603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ROUND(+平成16年度!AK18/平成16年度!AM18,4)</f>
        <v>0.27060000000000001</v>
      </c>
      <c r="AP18" s="22">
        <f>ROUND(+平成16年度!AL18/平成16年度!AN18,4)</f>
        <v>0.38550000000000001</v>
      </c>
      <c r="AQ18" s="1"/>
      <c r="AR18" s="1"/>
    </row>
    <row r="19" spans="1:44" ht="20.149999999999999" customHeight="1" x14ac:dyDescent="0.2">
      <c r="A19" s="1"/>
      <c r="B19" s="53" t="s">
        <v>51</v>
      </c>
      <c r="C19" s="320">
        <f>51842+2029</f>
        <v>53871</v>
      </c>
      <c r="D19" s="55">
        <f>平成16年度!E19+平成16年度!F19</f>
        <v>44580</v>
      </c>
      <c r="E19" s="55">
        <f>平成16年度!C19-平成16年度!G19-平成16年度!F19</f>
        <v>41570</v>
      </c>
      <c r="F19" s="56">
        <f>2851+159</f>
        <v>3010</v>
      </c>
      <c r="G19" s="57">
        <f>8915+376</f>
        <v>9291</v>
      </c>
      <c r="H19" s="315">
        <f>平成16年度!I19+平成16年度!L19</f>
        <v>102115</v>
      </c>
      <c r="I19" s="55">
        <f>平成16年度!J19+平成16年度!K19</f>
        <v>81872</v>
      </c>
      <c r="J19" s="56">
        <f>102115-20243-24502</f>
        <v>57370</v>
      </c>
      <c r="K19" s="59">
        <f>23504+998</f>
        <v>24502</v>
      </c>
      <c r="L19" s="55">
        <f>平成16年度!M19+平成16年度!N19</f>
        <v>20243</v>
      </c>
      <c r="M19" s="56">
        <f>13117+623</f>
        <v>13740</v>
      </c>
      <c r="N19" s="57">
        <f>6289+214</f>
        <v>6503</v>
      </c>
      <c r="O19" s="320">
        <v>30469</v>
      </c>
      <c r="P19" s="55">
        <f>平成16年度!O19-平成16年度!Q19</f>
        <v>22493</v>
      </c>
      <c r="Q19" s="57">
        <v>7976</v>
      </c>
      <c r="R19" s="54">
        <v>118183</v>
      </c>
      <c r="S19" s="56">
        <v>309648</v>
      </c>
      <c r="T19" s="60">
        <f>平成16年度!C19/平成16年度!R19</f>
        <v>0.45582698019173656</v>
      </c>
      <c r="U19" s="61">
        <f>平成16年度!H19/平成16年度!S19</f>
        <v>0.32977768304655608</v>
      </c>
      <c r="V19" s="62">
        <f>平成16年度!L19/平成16年度!H19</f>
        <v>0.19823728149635214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ROUND(+平成16年度!AK19/平成16年度!AM19,4)</f>
        <v>0.28050000000000003</v>
      </c>
      <c r="AP19" s="35">
        <f>ROUND(+平成16年度!AL19/平成16年度!AN19,4)</f>
        <v>0.39810000000000001</v>
      </c>
      <c r="AQ19" s="36">
        <f>ROUND((+平成16年度!AO19-平成16年度!AO18),4)</f>
        <v>9.9000000000000008E-3</v>
      </c>
      <c r="AR19" s="36">
        <f>ROUND((+平成16年度!AP19-平成16年度!AP18),4)</f>
        <v>1.26E-2</v>
      </c>
    </row>
    <row r="20" spans="1:44" ht="20.149999999999999" customHeight="1" x14ac:dyDescent="0.2">
      <c r="A20" s="1"/>
      <c r="B20" s="43" t="s">
        <v>52</v>
      </c>
      <c r="C20" s="314">
        <f>SUM(平成16年度!C8:C19)</f>
        <v>623211</v>
      </c>
      <c r="D20" s="45">
        <f>SUM(平成16年度!D8:D19)</f>
        <v>519870</v>
      </c>
      <c r="E20" s="79">
        <f>SUM(平成16年度!E8:E19)</f>
        <v>485825</v>
      </c>
      <c r="F20" s="79">
        <f>SUM(平成16年度!F8:F19)</f>
        <v>34045</v>
      </c>
      <c r="G20" s="80">
        <f>SUM(平成16年度!G8:G19)</f>
        <v>103341</v>
      </c>
      <c r="H20" s="314">
        <f>SUM(平成16年度!H8:H19)</f>
        <v>1184368</v>
      </c>
      <c r="I20" s="45">
        <f>SUM(平成16年度!I8:I19)</f>
        <v>957871</v>
      </c>
      <c r="J20" s="79">
        <f>SUM(平成16年度!J8:J19)</f>
        <v>668057</v>
      </c>
      <c r="K20" s="79">
        <f>SUM(平成16年度!K8:K19)</f>
        <v>289814</v>
      </c>
      <c r="L20" s="79">
        <f>SUM(平成16年度!L8:L19)</f>
        <v>226497</v>
      </c>
      <c r="M20" s="79">
        <f>SUM(平成16年度!M8:M19)</f>
        <v>153217</v>
      </c>
      <c r="N20" s="80">
        <f>SUM(平成16年度!N8:N19)</f>
        <v>73280</v>
      </c>
      <c r="O20" s="314">
        <f>SUM(平成16年度!O8:O19)</f>
        <v>357262</v>
      </c>
      <c r="P20" s="45">
        <f>SUM(平成16年度!P8:P19)</f>
        <v>262911</v>
      </c>
      <c r="Q20" s="80">
        <f>SUM(平成16年度!Q8:Q19)</f>
        <v>94351</v>
      </c>
      <c r="R20" s="48">
        <f>SUM(平成16年度!R8:R19)</f>
        <v>1369795</v>
      </c>
      <c r="S20" s="45">
        <f>SUM(平成16年度!S8:S19)</f>
        <v>3600295</v>
      </c>
      <c r="T20" s="50">
        <f>平成16年度!C20/平成16年度!R20</f>
        <v>0.45496661909263797</v>
      </c>
      <c r="U20" s="51">
        <f>平成16年度!H20/平成16年度!S20</f>
        <v>0.32896415432624271</v>
      </c>
      <c r="V20" s="52">
        <f>平成16年度!L20/平成16年度!H20</f>
        <v>0.19123870283560515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1088</v>
      </c>
      <c r="AK20" s="31">
        <f>平成11年度!H19</f>
        <v>85006</v>
      </c>
      <c r="AL20" s="32">
        <f>平成11年度!C19</f>
        <v>43579</v>
      </c>
      <c r="AM20" s="33">
        <f>平成11年度!P19</f>
        <v>292833</v>
      </c>
      <c r="AN20" s="33">
        <f>平成11年度!O19</f>
        <v>106170</v>
      </c>
      <c r="AO20" s="34">
        <f>ROUND(+平成16年度!AK20/平成16年度!AM20,4)</f>
        <v>0.2903</v>
      </c>
      <c r="AP20" s="35">
        <f>ROUND(+平成16年度!AL20/平成16年度!AN20,4)</f>
        <v>0.41049999999999998</v>
      </c>
      <c r="AQ20" s="36">
        <f>ROUND((+平成16年度!AO20-平成16年度!AO19),4)</f>
        <v>9.7999999999999997E-3</v>
      </c>
      <c r="AR20" s="36">
        <f>ROUND((+平成16年度!AP20-平成16年度!AP19),4)</f>
        <v>1.24E-2</v>
      </c>
    </row>
    <row r="21" spans="1:44" ht="20.149999999999999" customHeight="1" x14ac:dyDescent="0.2">
      <c r="A21" s="1"/>
      <c r="B21" s="43" t="s">
        <v>53</v>
      </c>
      <c r="C21" s="314">
        <f>C20/COUNTA(C8:C19)</f>
        <v>51934.25</v>
      </c>
      <c r="D21" s="325">
        <f>ROUNDDOWN(平成16年度!E21+平成16年度!F21,0)</f>
        <v>43322</v>
      </c>
      <c r="E21" s="325">
        <f>平成16年度!C21-平成16年度!G21-平成16年度!F21</f>
        <v>40485.416666666664</v>
      </c>
      <c r="F21" s="322">
        <f>F20/COUNTA(F8:F19)</f>
        <v>2837.0833333333335</v>
      </c>
      <c r="G21" s="323">
        <f>G20/COUNTA(G8:G19)</f>
        <v>8611.75</v>
      </c>
      <c r="H21" s="314" t="e">
        <f>#VALUE!</f>
        <v>#VALUE!</v>
      </c>
      <c r="I21" s="325" t="e">
        <f>ROUNDDOWN(平成16年度!J21+平成16年度!K21,0)</f>
        <v>#VALUE!</v>
      </c>
      <c r="J21" s="325" t="e">
        <f>平成16年度!H21-平成16年度!L21-平成16年度!K21</f>
        <v>#VALUE!</v>
      </c>
      <c r="K21" s="322">
        <f>K20/COUNTA(K8:K19)</f>
        <v>24151.166666666668</v>
      </c>
      <c r="L21" s="322" t="e">
        <f>#VALUE!</f>
        <v>#VALUE!</v>
      </c>
      <c r="M21" s="322">
        <f>M20/COUNTA(M8:M19)</f>
        <v>12768.083333333334</v>
      </c>
      <c r="N21" s="323">
        <f>N20/COUNTA(N8:N19)</f>
        <v>6106.666666666667</v>
      </c>
      <c r="O21" s="314">
        <f>O20/COUNTA(O8:O19)</f>
        <v>29771.833333333332</v>
      </c>
      <c r="P21" s="321" t="e">
        <f>#VALUE!</f>
        <v>#VALUE!</v>
      </c>
      <c r="Q21" s="323">
        <f>Q20/COUNTA(Q8:Q19)</f>
        <v>7862.583333333333</v>
      </c>
      <c r="R21" s="314">
        <f>R20/COUNTA(R8:R19)</f>
        <v>114149.58333333333</v>
      </c>
      <c r="S21" s="321">
        <f>S20/COUNTA(S8:S19)</f>
        <v>300024.58333333331</v>
      </c>
      <c r="T21" s="50">
        <f>平成16年度!C21/平成16年度!R21</f>
        <v>0.45496661909263797</v>
      </c>
      <c r="U21" s="51" t="e">
        <f>平成16年度!H21/平成16年度!S21</f>
        <v>#VALUE!</v>
      </c>
      <c r="V21" s="52" t="e">
        <f>平成16年度!L21/平成16年度!H21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284</v>
      </c>
      <c r="AK21" s="31">
        <f>平成12年度!H19</f>
        <v>87854</v>
      </c>
      <c r="AL21" s="32">
        <f>平成12年度!C19</f>
        <v>45290</v>
      </c>
      <c r="AM21" s="33">
        <f>平成12年度!P19</f>
        <v>20917</v>
      </c>
      <c r="AN21" s="33">
        <f>平成12年度!O19</f>
        <v>27178</v>
      </c>
      <c r="AO21" s="34">
        <f>ROUND(+平成16年度!AK21/平成16年度!AM21,4)</f>
        <v>4.2000999999999999</v>
      </c>
      <c r="AP21" s="35">
        <f>ROUND(+平成16年度!AL21/平成16年度!AN21,4)</f>
        <v>1.6664000000000001</v>
      </c>
      <c r="AQ21" s="36">
        <f>ROUND((+平成16年度!AO21-平成16年度!AO20),4)</f>
        <v>3.9098000000000002</v>
      </c>
      <c r="AR21" s="36">
        <f>ROUND((+平成16年度!AP21-平成16年度!AP20),4)</f>
        <v>1.2559</v>
      </c>
    </row>
    <row r="22" spans="1:44" ht="20.149999999999999" customHeight="1" x14ac:dyDescent="0.2">
      <c r="A22" s="1"/>
      <c r="B22" s="81"/>
      <c r="C22" s="316"/>
      <c r="D22" s="83"/>
      <c r="E22" s="84"/>
      <c r="F22" s="84"/>
      <c r="G22" s="85"/>
      <c r="H22" s="316"/>
      <c r="I22" s="86"/>
      <c r="J22" s="84"/>
      <c r="K22" s="84"/>
      <c r="L22" s="87"/>
      <c r="M22" s="84"/>
      <c r="N22" s="85"/>
      <c r="O22" s="316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607</v>
      </c>
      <c r="AK22" s="31">
        <f>平成13年度!H19</f>
        <v>91363</v>
      </c>
      <c r="AL22" s="32">
        <f>平成13年度!C19</f>
        <v>47502</v>
      </c>
      <c r="AM22" s="33">
        <f>平成13年度!P19</f>
        <v>21019</v>
      </c>
      <c r="AN22" s="33">
        <f>平成13年度!O19</f>
        <v>27824</v>
      </c>
      <c r="AO22" s="34">
        <f>ROUND(+平成16年度!AK22/平成16年度!AM22,4)</f>
        <v>4.3467000000000002</v>
      </c>
      <c r="AP22" s="35">
        <f>ROUND(+平成16年度!AL22/平成16年度!AN22,4)</f>
        <v>1.7072000000000001</v>
      </c>
      <c r="AQ22" s="36">
        <f>ROUND((+平成16年度!AO22-平成16年度!AO21),4)</f>
        <v>0.14660000000000001</v>
      </c>
      <c r="AR22" s="36">
        <f>ROUND((+平成16年度!AP22-平成16年度!AP21),4)</f>
        <v>4.0800000000000003E-2</v>
      </c>
    </row>
    <row r="23" spans="1:44" ht="20.149999999999999" customHeight="1" x14ac:dyDescent="0.2">
      <c r="A23" s="1"/>
      <c r="B23" s="43" t="s">
        <v>54</v>
      </c>
      <c r="C23" s="314">
        <f>平成16年度!C8</f>
        <v>51211</v>
      </c>
      <c r="D23" s="45">
        <f>平成16年度!D8</f>
        <v>43049</v>
      </c>
      <c r="E23" s="79">
        <f>平成16年度!E8</f>
        <v>40299</v>
      </c>
      <c r="F23" s="79">
        <f>平成16年度!F8</f>
        <v>2750</v>
      </c>
      <c r="G23" s="80">
        <f>平成16年度!G8</f>
        <v>8162</v>
      </c>
      <c r="H23" s="314">
        <f>平成16年度!H8</f>
        <v>97789</v>
      </c>
      <c r="I23" s="45">
        <f>平成16年度!I8</f>
        <v>79792</v>
      </c>
      <c r="J23" s="79">
        <f>平成16年度!J8</f>
        <v>55433</v>
      </c>
      <c r="K23" s="79">
        <f>平成16年度!K8</f>
        <v>24359</v>
      </c>
      <c r="L23" s="79">
        <f>平成16年度!L8</f>
        <v>17997</v>
      </c>
      <c r="M23" s="79">
        <f>平成16年度!M8</f>
        <v>12179</v>
      </c>
      <c r="N23" s="80">
        <f>平成16年度!N8</f>
        <v>5818</v>
      </c>
      <c r="O23" s="314">
        <f>平成16年度!O8</f>
        <v>29618</v>
      </c>
      <c r="P23" s="45">
        <f>平成16年度!P8</f>
        <v>21839</v>
      </c>
      <c r="Q23" s="80">
        <f>平成16年度!Q8</f>
        <v>7779</v>
      </c>
      <c r="R23" s="48">
        <f>平成16年度!R8</f>
        <v>112749</v>
      </c>
      <c r="S23" s="45">
        <f>平成16年度!S8</f>
        <v>297518</v>
      </c>
      <c r="T23" s="50">
        <f>平成16年度!C23/平成16年度!R23</f>
        <v>0.45420358495419028</v>
      </c>
      <c r="U23" s="51">
        <f>平成16年度!H23/平成16年度!S23</f>
        <v>0.32868263432800704</v>
      </c>
      <c r="V23" s="52">
        <f>平成16年度!L23/平成16年度!H23</f>
        <v>0.18403910460276718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ROUND(+平成16年度!AK23/平成16年度!AM23,4)</f>
        <v>4.4180999999999999</v>
      </c>
      <c r="AP23" s="68">
        <f>ROUND(+平成16年度!AL23/平成16年度!AN23,4)</f>
        <v>1.7375</v>
      </c>
      <c r="AQ23" s="36">
        <f>ROUND((+平成16年度!AO23-平成16年度!AO22),4)</f>
        <v>7.1400000000000005E-2</v>
      </c>
      <c r="AR23" s="36">
        <f>ROUND((+平成16年度!AP23-平成16年度!AP22),4)</f>
        <v>3.0300000000000001E-2</v>
      </c>
    </row>
    <row r="24" spans="1:44" ht="20.149999999999999" customHeight="1" x14ac:dyDescent="0.2">
      <c r="A24" s="1"/>
      <c r="B24" s="53" t="s">
        <v>55</v>
      </c>
      <c r="C24" s="315">
        <f>SUM(平成16年度!C8:C9)</f>
        <v>102458</v>
      </c>
      <c r="D24" s="55">
        <f>SUM(平成16年度!D8:D9)</f>
        <v>86096</v>
      </c>
      <c r="E24" s="89">
        <f>SUM(平成16年度!E8:E9)</f>
        <v>80598</v>
      </c>
      <c r="F24" s="89">
        <f>SUM(平成16年度!F8:F9)</f>
        <v>5498</v>
      </c>
      <c r="G24" s="90">
        <f>SUM(平成16年度!G8:G9)</f>
        <v>16362</v>
      </c>
      <c r="H24" s="315">
        <f>SUM(平成16年度!H8:H9)</f>
        <v>195446</v>
      </c>
      <c r="I24" s="55">
        <f>SUM(平成16年度!I8:I9)</f>
        <v>159410</v>
      </c>
      <c r="J24" s="89">
        <f>SUM(平成16年度!J8:J9)</f>
        <v>110767</v>
      </c>
      <c r="K24" s="89">
        <f>SUM(平成16年度!K8:K9)</f>
        <v>48643</v>
      </c>
      <c r="L24" s="89">
        <f>SUM(平成16年度!L8:L9)</f>
        <v>36036</v>
      </c>
      <c r="M24" s="89">
        <f>SUM(平成16年度!M8:M9)</f>
        <v>24398</v>
      </c>
      <c r="N24" s="90">
        <f>SUM(平成16年度!N8:N9)</f>
        <v>11638</v>
      </c>
      <c r="O24" s="315">
        <f>SUM(平成16年度!O8:O9)</f>
        <v>59186</v>
      </c>
      <c r="P24" s="55">
        <f>SUM(平成16年度!P8:P9)</f>
        <v>43664</v>
      </c>
      <c r="Q24" s="90">
        <f>SUM(平成16年度!Q8:Q9)</f>
        <v>15522</v>
      </c>
      <c r="R24" s="58">
        <f>SUM(平成16年度!R8:R9)</f>
        <v>225684</v>
      </c>
      <c r="S24" s="55">
        <f>SUM(平成16年度!S8:S9)</f>
        <v>595132</v>
      </c>
      <c r="T24" s="60">
        <f>平成16年度!C24/平成16年度!R24</f>
        <v>0.45398876304921926</v>
      </c>
      <c r="U24" s="61">
        <f>平成16年度!H24/平成16年度!S24</f>
        <v>0.32840781540901848</v>
      </c>
      <c r="V24" s="62">
        <f>平成16年度!L24/平成16年度!H24</f>
        <v>0.18437829374865691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907</v>
      </c>
      <c r="AK24" s="70">
        <f>平成16年度!H14</f>
        <v>98268</v>
      </c>
      <c r="AL24" s="71">
        <f>平成16年度!C14</f>
        <v>51736</v>
      </c>
      <c r="AM24" s="72">
        <f>平成16年度!S14</f>
        <v>298282</v>
      </c>
      <c r="AN24" s="72">
        <f>平成16年度!R14</f>
        <v>113593</v>
      </c>
      <c r="AO24" s="73">
        <f>ROUND(+平成16年度!AK24/平成16年度!AM24,4)</f>
        <v>0.32940000000000003</v>
      </c>
      <c r="AP24" s="74">
        <f>ROUND(+平成16年度!AL24/平成16年度!AN24,4)</f>
        <v>0.45550000000000002</v>
      </c>
      <c r="AQ24" s="36">
        <f>ROUND((+平成16年度!AO24-平成16年度!AO23),4)</f>
        <v>-4.0887000000000002</v>
      </c>
      <c r="AR24" s="36">
        <f>ROUND((+平成16年度!AP24-平成16年度!AP23),4)</f>
        <v>-1.282</v>
      </c>
    </row>
    <row r="25" spans="1:44" ht="20.149999999999999" customHeight="1" x14ac:dyDescent="0.2">
      <c r="A25" s="1"/>
      <c r="B25" s="53" t="s">
        <v>56</v>
      </c>
      <c r="C25" s="315">
        <f>SUM(平成16年度!C8:C10)</f>
        <v>153869</v>
      </c>
      <c r="D25" s="55">
        <f>SUM(平成16年度!D8:D10)</f>
        <v>129266</v>
      </c>
      <c r="E25" s="89">
        <f>SUM(平成16年度!E8:E10)</f>
        <v>121012</v>
      </c>
      <c r="F25" s="89">
        <f>SUM(平成16年度!F8:F10)</f>
        <v>8254</v>
      </c>
      <c r="G25" s="90">
        <f>SUM(平成16年度!G8:G10)</f>
        <v>24603</v>
      </c>
      <c r="H25" s="315">
        <f>SUM(平成16年度!H8:H10)</f>
        <v>293269</v>
      </c>
      <c r="I25" s="55">
        <f>SUM(平成16年度!I8:I10)</f>
        <v>239105</v>
      </c>
      <c r="J25" s="89">
        <f>SUM(平成16年度!J8:J10)</f>
        <v>166230</v>
      </c>
      <c r="K25" s="89">
        <f>SUM(平成16年度!K8:K10)</f>
        <v>72875</v>
      </c>
      <c r="L25" s="89">
        <f>SUM(平成16年度!L8:L10)</f>
        <v>54164</v>
      </c>
      <c r="M25" s="89">
        <f>SUM(平成16年度!M8:M10)</f>
        <v>36673</v>
      </c>
      <c r="N25" s="90">
        <f>SUM(平成16年度!N8:N10)</f>
        <v>17491</v>
      </c>
      <c r="O25" s="315">
        <f>SUM(平成16年度!O8:O10)</f>
        <v>88821</v>
      </c>
      <c r="P25" s="55">
        <f>SUM(平成16年度!P8:P10)</f>
        <v>65583</v>
      </c>
      <c r="Q25" s="90">
        <f>SUM(平成16年度!Q8:Q10)</f>
        <v>23238</v>
      </c>
      <c r="R25" s="58">
        <f>SUM(平成16年度!R8:R10)</f>
        <v>338759</v>
      </c>
      <c r="S25" s="55">
        <f>SUM(平成16年度!S8:S10)</f>
        <v>892924</v>
      </c>
      <c r="T25" s="60">
        <f>平成16年度!C25/平成16年度!R25</f>
        <v>0.45421376258638146</v>
      </c>
      <c r="U25" s="61">
        <f>平成16年度!H25/平成16年度!S25</f>
        <v>0.32843668666090281</v>
      </c>
      <c r="V25" s="62">
        <f>平成16年度!L25/平成16年度!H25</f>
        <v>0.18469050598597192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1137</v>
      </c>
      <c r="AK25" s="1"/>
      <c r="AL25" s="1"/>
      <c r="AM25" s="1"/>
      <c r="AN25" s="1"/>
      <c r="AO25" s="1"/>
      <c r="AP25" s="1"/>
      <c r="AQ25" s="1"/>
      <c r="AR25" s="1"/>
    </row>
    <row r="26" spans="1:44" ht="20.149999999999999" customHeight="1" x14ac:dyDescent="0.2">
      <c r="A26" s="1"/>
      <c r="B26" s="53" t="s">
        <v>57</v>
      </c>
      <c r="C26" s="315">
        <f>SUM(平成16年度!C8:C11)</f>
        <v>205340</v>
      </c>
      <c r="D26" s="55">
        <f>SUM(平成16年度!D8:D11)</f>
        <v>172296</v>
      </c>
      <c r="E26" s="89">
        <f>SUM(平成16年度!E8:E11)</f>
        <v>161235</v>
      </c>
      <c r="F26" s="89">
        <f>SUM(平成16年度!F8:F11)</f>
        <v>11061</v>
      </c>
      <c r="G26" s="90">
        <f>SUM(平成16年度!G8:G11)</f>
        <v>33044</v>
      </c>
      <c r="H26" s="315">
        <f>SUM(平成16年度!H8:H11)</f>
        <v>391228</v>
      </c>
      <c r="I26" s="55">
        <f>SUM(平成16年度!I8:I11)</f>
        <v>318504</v>
      </c>
      <c r="J26" s="89">
        <f>SUM(平成16年度!J8:J11)</f>
        <v>221444</v>
      </c>
      <c r="K26" s="89">
        <f>SUM(平成16年度!K8:K11)</f>
        <v>97060</v>
      </c>
      <c r="L26" s="89">
        <f>SUM(平成16年度!L8:L11)</f>
        <v>72724</v>
      </c>
      <c r="M26" s="89">
        <f>SUM(平成16年度!M8:M11)</f>
        <v>49213</v>
      </c>
      <c r="N26" s="90">
        <f>SUM(平成16年度!N8:N11)</f>
        <v>23511</v>
      </c>
      <c r="O26" s="315">
        <f>SUM(平成16年度!O8:O11)</f>
        <v>118516</v>
      </c>
      <c r="P26" s="55">
        <f>SUM(平成16年度!P8:P11)</f>
        <v>87296</v>
      </c>
      <c r="Q26" s="90">
        <f>SUM(平成16年度!Q8:Q11)</f>
        <v>31220</v>
      </c>
      <c r="R26" s="58">
        <f>SUM(平成16年度!R8:R11)</f>
        <v>451964</v>
      </c>
      <c r="S26" s="55">
        <f>SUM(平成16年度!S8:S11)</f>
        <v>1190849</v>
      </c>
      <c r="T26" s="60">
        <f>平成16年度!C26/平成16年度!R26</f>
        <v>0.45432822083174768</v>
      </c>
      <c r="U26" s="61">
        <f>平成16年度!H26/平成16年度!S26</f>
        <v>0.32852863797173276</v>
      </c>
      <c r="V26" s="62">
        <f>平成16年度!L26/平成16年度!H26</f>
        <v>0.18588649074197144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1106</v>
      </c>
      <c r="AK26" s="76">
        <f>平成16年度!AK23/平成16年度!AK18</f>
        <v>1.2014763517369964</v>
      </c>
      <c r="AL26" s="77">
        <f>平成16年度!AL23/平成16年度!AL18</f>
        <v>1.241609726688103</v>
      </c>
      <c r="AM26" s="77">
        <f>平成16年度!AM23/平成16年度!AM18</f>
        <v>7.3587858569634068E-2</v>
      </c>
      <c r="AN26" s="77">
        <f>平成16年度!AN23/平成16年度!AN18</f>
        <v>0.27549271221732602</v>
      </c>
      <c r="AO26" s="78">
        <f>平成16年度!AO23/平成16年度!AO18</f>
        <v>16.327050997782706</v>
      </c>
      <c r="AP26" s="74">
        <f>平成16年度!AP23/平成16年度!AP18</f>
        <v>4.5071335927367056</v>
      </c>
      <c r="AQ26" s="1"/>
      <c r="AR26" s="1"/>
    </row>
    <row r="27" spans="1:44" ht="20.149999999999999" customHeight="1" x14ac:dyDescent="0.2">
      <c r="A27" s="1"/>
      <c r="B27" s="53" t="s">
        <v>58</v>
      </c>
      <c r="C27" s="315">
        <f>SUM(平成16年度!C8:C12)</f>
        <v>256917</v>
      </c>
      <c r="D27" s="55">
        <f>SUM(平成16年度!D8:D12)</f>
        <v>215381</v>
      </c>
      <c r="E27" s="89">
        <f>SUM(平成16年度!E8:E12)</f>
        <v>201506</v>
      </c>
      <c r="F27" s="89">
        <f>SUM(平成16年度!F8:F12)</f>
        <v>13875</v>
      </c>
      <c r="G27" s="90">
        <f>SUM(平成16年度!G8:G12)</f>
        <v>41536</v>
      </c>
      <c r="H27" s="315">
        <f>SUM(平成16年度!H8:H12)</f>
        <v>489348</v>
      </c>
      <c r="I27" s="55">
        <f>SUM(平成16年度!I8:I12)</f>
        <v>397952</v>
      </c>
      <c r="J27" s="89">
        <f>SUM(平成16年度!J8:J12)</f>
        <v>276782</v>
      </c>
      <c r="K27" s="89">
        <f>SUM(平成16年度!K8:K12)</f>
        <v>121170</v>
      </c>
      <c r="L27" s="89">
        <f>SUM(平成16年度!L8:L12)</f>
        <v>91396</v>
      </c>
      <c r="M27" s="89">
        <f>SUM(平成16年度!M8:M12)</f>
        <v>61819</v>
      </c>
      <c r="N27" s="90">
        <f>SUM(平成16年度!N8:N12)</f>
        <v>29577</v>
      </c>
      <c r="O27" s="315">
        <f>SUM(平成16年度!O8:O12)</f>
        <v>148257</v>
      </c>
      <c r="P27" s="55">
        <f>SUM(平成16年度!P8:P12)</f>
        <v>109076</v>
      </c>
      <c r="Q27" s="90">
        <f>SUM(平成16年度!Q8:Q12)</f>
        <v>39181</v>
      </c>
      <c r="R27" s="58">
        <f>SUM(平成16年度!R8:R12)</f>
        <v>565236</v>
      </c>
      <c r="S27" s="55">
        <f>SUM(平成16年度!S8:S12)</f>
        <v>1488794</v>
      </c>
      <c r="T27" s="60">
        <f>平成16年度!C27/平成16年度!R27</f>
        <v>0.45453049699594505</v>
      </c>
      <c r="U27" s="61">
        <f>平成16年度!H27/平成16年度!S27</f>
        <v>0.32868751486102171</v>
      </c>
      <c r="V27" s="62">
        <f>平成16年度!L27/平成16年度!H27</f>
        <v>0.18677096871755888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0.149999999999999" customHeight="1" x14ac:dyDescent="0.2">
      <c r="A28" s="1"/>
      <c r="B28" s="53" t="s">
        <v>59</v>
      </c>
      <c r="C28" s="315">
        <f>SUM(平成16年度!C8:C13)</f>
        <v>308524</v>
      </c>
      <c r="D28" s="55">
        <f>SUM(平成16年度!D8:D13)</f>
        <v>258433</v>
      </c>
      <c r="E28" s="89">
        <f>SUM(平成16年度!E8:E13)</f>
        <v>241732</v>
      </c>
      <c r="F28" s="89">
        <f>SUM(平成16年度!F8:F13)</f>
        <v>16701</v>
      </c>
      <c r="G28" s="90">
        <f>SUM(平成16年度!G8:G13)</f>
        <v>50091</v>
      </c>
      <c r="H28" s="315">
        <f>SUM(平成16年度!H8:H13)</f>
        <v>587488</v>
      </c>
      <c r="I28" s="55">
        <f>SUM(平成16年度!I8:I13)</f>
        <v>477329</v>
      </c>
      <c r="J28" s="89">
        <f>SUM(平成16年度!J8:J13)</f>
        <v>332122</v>
      </c>
      <c r="K28" s="89">
        <f>SUM(平成16年度!K8:K13)</f>
        <v>145207</v>
      </c>
      <c r="L28" s="89">
        <f>SUM(平成16年度!L8:L13)</f>
        <v>110159</v>
      </c>
      <c r="M28" s="89">
        <f>SUM(平成16年度!M8:M13)</f>
        <v>74503</v>
      </c>
      <c r="N28" s="90">
        <f>SUM(平成16年度!N8:N13)</f>
        <v>35656</v>
      </c>
      <c r="O28" s="315">
        <f>SUM(平成16年度!O8:O13)</f>
        <v>177943</v>
      </c>
      <c r="P28" s="55">
        <f>SUM(平成16年度!P8:P13)</f>
        <v>130832</v>
      </c>
      <c r="Q28" s="90">
        <f>SUM(平成16年度!Q8:Q13)</f>
        <v>47111</v>
      </c>
      <c r="R28" s="58">
        <f>SUM(平成16年度!R8:R13)</f>
        <v>678662</v>
      </c>
      <c r="S28" s="55">
        <f>SUM(平成16年度!S8:S13)</f>
        <v>1786931</v>
      </c>
      <c r="T28" s="60">
        <f>平成16年度!C28/平成16年度!R28</f>
        <v>0.45460626939477972</v>
      </c>
      <c r="U28" s="61">
        <f>平成16年度!H28/平成16年度!S28</f>
        <v>0.32876926977034926</v>
      </c>
      <c r="V28" s="62">
        <f>平成16年度!L28/平成16年度!H28</f>
        <v>0.18750851081213574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20.149999999999999" customHeight="1" x14ac:dyDescent="0.2">
      <c r="A29" s="1"/>
      <c r="B29" s="53" t="s">
        <v>60</v>
      </c>
      <c r="C29" s="315">
        <f>SUM(平成16年度!C8:C14)</f>
        <v>360260</v>
      </c>
      <c r="D29" s="55">
        <f>SUM(平成16年度!D8:D14)</f>
        <v>301557</v>
      </c>
      <c r="E29" s="89">
        <f>SUM(平成16年度!E8:E14)</f>
        <v>282025</v>
      </c>
      <c r="F29" s="89">
        <f>SUM(平成16年度!F8:F14)</f>
        <v>19532</v>
      </c>
      <c r="G29" s="90">
        <f>SUM(平成16年度!G8:G14)</f>
        <v>58703</v>
      </c>
      <c r="H29" s="315">
        <f>SUM(平成16年度!H8:H14)</f>
        <v>685756</v>
      </c>
      <c r="I29" s="55">
        <f>SUM(平成16年度!I8:I14)</f>
        <v>556721</v>
      </c>
      <c r="J29" s="89">
        <f>SUM(平成16年度!J8:J14)</f>
        <v>387515</v>
      </c>
      <c r="K29" s="89">
        <f>SUM(平成16年度!K8:K14)</f>
        <v>169206</v>
      </c>
      <c r="L29" s="89">
        <f>SUM(平成16年度!L8:L14)</f>
        <v>129035</v>
      </c>
      <c r="M29" s="89">
        <f>SUM(平成16年度!M8:M14)</f>
        <v>87253</v>
      </c>
      <c r="N29" s="90">
        <f>SUM(平成16年度!N8:N14)</f>
        <v>41782</v>
      </c>
      <c r="O29" s="315">
        <f>SUM(平成16年度!O8:O14)</f>
        <v>207618</v>
      </c>
      <c r="P29" s="55">
        <f>SUM(平成16年度!P8:P14)</f>
        <v>152620</v>
      </c>
      <c r="Q29" s="90">
        <f>SUM(平成16年度!Q8:Q14)</f>
        <v>54998</v>
      </c>
      <c r="R29" s="58">
        <f>SUM(平成16年度!R8:R14)</f>
        <v>792255</v>
      </c>
      <c r="S29" s="55">
        <f>SUM(平成16年度!S8:S14)</f>
        <v>2085213</v>
      </c>
      <c r="T29" s="60">
        <f>平成16年度!C29/平成16年度!R29</f>
        <v>0.45472732895343038</v>
      </c>
      <c r="U29" s="61">
        <f>平成16年度!H29/平成16年度!S29</f>
        <v>0.32886616379237998</v>
      </c>
      <c r="V29" s="62">
        <f>平成16年度!L29/平成16年度!H29</f>
        <v>0.18816459498713828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0.149999999999999" customHeight="1" x14ac:dyDescent="0.2">
      <c r="A30" s="1"/>
      <c r="B30" s="53" t="s">
        <v>61</v>
      </c>
      <c r="C30" s="315">
        <f>SUM(平成16年度!C8:C15)</f>
        <v>412020</v>
      </c>
      <c r="D30" s="55">
        <f>SUM(平成16年度!D8:D15)</f>
        <v>344676</v>
      </c>
      <c r="E30" s="89">
        <f>SUM(平成16年度!E8:E15)</f>
        <v>322329</v>
      </c>
      <c r="F30" s="89">
        <f>SUM(平成16年度!F8:F15)</f>
        <v>22347</v>
      </c>
      <c r="G30" s="90">
        <f>SUM(平成16年度!G8:G15)</f>
        <v>67344</v>
      </c>
      <c r="H30" s="315">
        <f>SUM(平成16年度!H8:H15)</f>
        <v>783915</v>
      </c>
      <c r="I30" s="55">
        <f>SUM(平成16年度!I8:I15)</f>
        <v>635983</v>
      </c>
      <c r="J30" s="89">
        <f>SUM(平成16年度!J8:J15)</f>
        <v>442864</v>
      </c>
      <c r="K30" s="89">
        <f>SUM(平成16年度!K8:K15)</f>
        <v>193119</v>
      </c>
      <c r="L30" s="89">
        <f>SUM(平成16年度!L8:L15)</f>
        <v>147932</v>
      </c>
      <c r="M30" s="89">
        <f>SUM(平成16年度!M8:M15)</f>
        <v>100019</v>
      </c>
      <c r="N30" s="90">
        <f>SUM(平成16年度!N8:N15)</f>
        <v>47913</v>
      </c>
      <c r="O30" s="315">
        <f>SUM(平成16年度!O8:O15)</f>
        <v>237236</v>
      </c>
      <c r="P30" s="55">
        <f>SUM(平成16年度!P8:P15)</f>
        <v>174448</v>
      </c>
      <c r="Q30" s="90">
        <f>SUM(平成16年度!Q8:Q15)</f>
        <v>62788</v>
      </c>
      <c r="R30" s="58">
        <f>SUM(平成16年度!R8:R15)</f>
        <v>906037</v>
      </c>
      <c r="S30" s="55">
        <f>SUM(平成16年度!S8:S15)</f>
        <v>2383657</v>
      </c>
      <c r="T30" s="60">
        <f>平成16年度!C30/平成16年度!R30</f>
        <v>0.45474964046722155</v>
      </c>
      <c r="U30" s="61">
        <f>平成16年度!H30/平成16年度!S30</f>
        <v>0.32887072259137956</v>
      </c>
      <c r="V30" s="62">
        <f>平成16年度!L30/平成16年度!H30</f>
        <v>0.1887092350573723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0.149999999999999" customHeight="1" x14ac:dyDescent="0.2">
      <c r="A31" s="1"/>
      <c r="B31" s="53" t="s">
        <v>62</v>
      </c>
      <c r="C31" s="315">
        <f>SUM(平成16年度!C8:C16)</f>
        <v>463729</v>
      </c>
      <c r="D31" s="55">
        <f>SUM(平成16年度!D8:D16)</f>
        <v>387720</v>
      </c>
      <c r="E31" s="89">
        <f>SUM(平成16年度!E8:E16)</f>
        <v>362561</v>
      </c>
      <c r="F31" s="89">
        <f>SUM(平成16年度!F8:F16)</f>
        <v>25159</v>
      </c>
      <c r="G31" s="90">
        <f>SUM(平成16年度!G8:G16)</f>
        <v>76009</v>
      </c>
      <c r="H31" s="315">
        <f>SUM(平成16年度!H8:H16)</f>
        <v>881959</v>
      </c>
      <c r="I31" s="55">
        <f>SUM(平成16年度!I8:I16)</f>
        <v>715101</v>
      </c>
      <c r="J31" s="89">
        <f>SUM(平成16年度!J8:J16)</f>
        <v>498141</v>
      </c>
      <c r="K31" s="89">
        <f>SUM(平成16年度!K8:K16)</f>
        <v>216960</v>
      </c>
      <c r="L31" s="89">
        <f>SUM(平成16年度!L8:L16)</f>
        <v>166858</v>
      </c>
      <c r="M31" s="89">
        <f>SUM(平成16年度!M8:M16)</f>
        <v>112812</v>
      </c>
      <c r="N31" s="90">
        <f>SUM(平成16年度!N8:N16)</f>
        <v>54046</v>
      </c>
      <c r="O31" s="315">
        <f>SUM(平成16年度!O8:O16)</f>
        <v>266831</v>
      </c>
      <c r="P31" s="55">
        <f>SUM(平成16年度!P8:P16)</f>
        <v>196305</v>
      </c>
      <c r="Q31" s="90">
        <f>SUM(平成16年度!Q8:Q16)</f>
        <v>70526</v>
      </c>
      <c r="R31" s="58">
        <f>SUM(平成16年度!R8:R16)</f>
        <v>1019820</v>
      </c>
      <c r="S31" s="55">
        <f>SUM(平成16年度!S8:S16)</f>
        <v>2682124</v>
      </c>
      <c r="T31" s="60">
        <f>平成16年度!C31/平成16年度!R31</f>
        <v>0.45471651860132178</v>
      </c>
      <c r="U31" s="61">
        <f>平成16年度!H31/平成16年度!S31</f>
        <v>0.32882857019287698</v>
      </c>
      <c r="V31" s="62">
        <f>平成16年度!L31/平成16年度!H31</f>
        <v>0.1891902004514949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20.149999999999999" customHeight="1" x14ac:dyDescent="0.2">
      <c r="A32" s="1"/>
      <c r="B32" s="53" t="s">
        <v>63</v>
      </c>
      <c r="C32" s="315">
        <f>SUM(平成16年度!C8:C17)</f>
        <v>515512</v>
      </c>
      <c r="D32" s="55">
        <f>SUM(平成16年度!D8:D17)</f>
        <v>430699</v>
      </c>
      <c r="E32" s="89">
        <f>SUM(平成16年度!E8:E17)</f>
        <v>402682</v>
      </c>
      <c r="F32" s="89">
        <f>SUM(平成16年度!F8:F17)</f>
        <v>28017</v>
      </c>
      <c r="G32" s="90">
        <f>SUM(平成16年度!G8:G17)</f>
        <v>84813</v>
      </c>
      <c r="H32" s="315">
        <f>SUM(平成16年度!H8:H17)</f>
        <v>980071</v>
      </c>
      <c r="I32" s="55">
        <f>SUM(平成16年度!I8:I17)</f>
        <v>793978</v>
      </c>
      <c r="J32" s="89">
        <f>SUM(平成16年度!J8:J17)</f>
        <v>553288</v>
      </c>
      <c r="K32" s="89">
        <f>SUM(平成16年度!K8:K17)</f>
        <v>240690</v>
      </c>
      <c r="L32" s="89">
        <f>SUM(平成16年度!L8:L17)</f>
        <v>186093</v>
      </c>
      <c r="M32" s="89">
        <f>SUM(平成16年度!M8:M17)</f>
        <v>125800</v>
      </c>
      <c r="N32" s="90">
        <f>SUM(平成16年度!N8:N17)</f>
        <v>60293</v>
      </c>
      <c r="O32" s="315">
        <f>SUM(平成16年度!O8:O17)</f>
        <v>296270</v>
      </c>
      <c r="P32" s="55">
        <f>SUM(平成16年度!P8:P17)</f>
        <v>217948</v>
      </c>
      <c r="Q32" s="90">
        <f>SUM(平成16年度!Q8:Q17)</f>
        <v>78322</v>
      </c>
      <c r="R32" s="58">
        <f>SUM(平成16年度!R8:R17)</f>
        <v>1133642</v>
      </c>
      <c r="S32" s="55">
        <f>SUM(平成16年度!S8:S17)</f>
        <v>2980649</v>
      </c>
      <c r="T32" s="60">
        <f>平成16年度!C32/平成16年度!R32</f>
        <v>0.45473967972252261</v>
      </c>
      <c r="U32" s="61">
        <f>平成16年度!H32/平成16年度!S32</f>
        <v>0.32881127566513196</v>
      </c>
      <c r="V32" s="62">
        <f>平成16年度!L32/平成16年度!H32</f>
        <v>0.18987705992729098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20.149999999999999" customHeight="1" x14ac:dyDescent="0.2">
      <c r="A33" s="1"/>
      <c r="B33" s="53" t="s">
        <v>64</v>
      </c>
      <c r="C33" s="315">
        <f>SUM(平成16年度!C8:C18)</f>
        <v>569340</v>
      </c>
      <c r="D33" s="55">
        <f>SUM(平成16年度!D8:D18)</f>
        <v>475290</v>
      </c>
      <c r="E33" s="89">
        <f>SUM(平成16年度!E8:E18)</f>
        <v>444255</v>
      </c>
      <c r="F33" s="89">
        <f>SUM(平成16年度!F8:F18)</f>
        <v>31035</v>
      </c>
      <c r="G33" s="90">
        <f>SUM(平成16年度!G8:G18)</f>
        <v>94050</v>
      </c>
      <c r="H33" s="315">
        <f>SUM(平成16年度!H8:H18)</f>
        <v>1082253</v>
      </c>
      <c r="I33" s="55">
        <f>SUM(平成16年度!I8:I18)</f>
        <v>875999</v>
      </c>
      <c r="J33" s="89">
        <f>SUM(平成16年度!J8:J18)</f>
        <v>610687</v>
      </c>
      <c r="K33" s="89">
        <f>SUM(平成16年度!K8:K18)</f>
        <v>265312</v>
      </c>
      <c r="L33" s="89">
        <f>SUM(平成16年度!L8:L18)</f>
        <v>206254</v>
      </c>
      <c r="M33" s="89">
        <f>SUM(平成16年度!M8:M18)</f>
        <v>139477</v>
      </c>
      <c r="N33" s="90">
        <f>SUM(平成16年度!N8:N18)</f>
        <v>66777</v>
      </c>
      <c r="O33" s="315">
        <f>SUM(平成16年度!O8:O18)</f>
        <v>326793</v>
      </c>
      <c r="P33" s="55">
        <f>SUM(平成16年度!P8:P18)</f>
        <v>240418</v>
      </c>
      <c r="Q33" s="90">
        <f>SUM(平成16年度!Q8:Q18)</f>
        <v>86375</v>
      </c>
      <c r="R33" s="58">
        <f>SUM(平成16年度!R8:R18)</f>
        <v>1251612</v>
      </c>
      <c r="S33" s="55">
        <f>SUM(平成16年度!S8:S18)</f>
        <v>3290647</v>
      </c>
      <c r="T33" s="60">
        <f>平成16年度!C33/平成16年度!R33</f>
        <v>0.45488537981419164</v>
      </c>
      <c r="U33" s="61">
        <f>平成16年度!H33/平成16年度!S33</f>
        <v>0.32888760173911086</v>
      </c>
      <c r="V33" s="62">
        <f>平成16年度!L33/平成16年度!H33</f>
        <v>0.1905783582951491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20.149999999999999" customHeight="1" x14ac:dyDescent="0.2">
      <c r="A34" s="1"/>
      <c r="B34" s="53" t="s">
        <v>65</v>
      </c>
      <c r="C34" s="315">
        <f>SUM(平成16年度!C8:C19)</f>
        <v>623211</v>
      </c>
      <c r="D34" s="55">
        <f>SUM(平成16年度!D8:D19)</f>
        <v>519870</v>
      </c>
      <c r="E34" s="89">
        <f>SUM(平成16年度!E8:E19)</f>
        <v>485825</v>
      </c>
      <c r="F34" s="89">
        <f>SUM(平成16年度!F8:F19)</f>
        <v>34045</v>
      </c>
      <c r="G34" s="90">
        <f>SUM(平成16年度!G8:G19)</f>
        <v>103341</v>
      </c>
      <c r="H34" s="315">
        <f>SUM(平成16年度!H8:H19)</f>
        <v>1184368</v>
      </c>
      <c r="I34" s="55">
        <f>SUM(平成16年度!I8:I19)</f>
        <v>957871</v>
      </c>
      <c r="J34" s="89">
        <f>SUM(平成16年度!J8:J19)</f>
        <v>668057</v>
      </c>
      <c r="K34" s="89">
        <f>SUM(平成16年度!K8:K19)</f>
        <v>289814</v>
      </c>
      <c r="L34" s="89">
        <f>SUM(平成16年度!L8:L19)</f>
        <v>226497</v>
      </c>
      <c r="M34" s="89">
        <f>SUM(平成16年度!M8:M19)</f>
        <v>153217</v>
      </c>
      <c r="N34" s="90">
        <f>SUM(平成16年度!N8:N19)</f>
        <v>73280</v>
      </c>
      <c r="O34" s="315">
        <f>SUM(平成16年度!O8:O19)</f>
        <v>357262</v>
      </c>
      <c r="P34" s="55">
        <f>SUM(平成16年度!P8:P19)</f>
        <v>262911</v>
      </c>
      <c r="Q34" s="90">
        <f>SUM(平成16年度!Q8:Q19)</f>
        <v>94351</v>
      </c>
      <c r="R34" s="58">
        <f>SUM(平成16年度!R8:R19)</f>
        <v>1369795</v>
      </c>
      <c r="S34" s="55">
        <f>SUM(平成16年度!S8:S19)</f>
        <v>3600295</v>
      </c>
      <c r="T34" s="60">
        <f>平成16年度!C34/平成16年度!R34</f>
        <v>0.45496661909263797</v>
      </c>
      <c r="U34" s="61">
        <f>平成16年度!H34/平成16年度!S34</f>
        <v>0.32896415432624271</v>
      </c>
      <c r="V34" s="62">
        <f>平成16年度!L34/平成16年度!H34</f>
        <v>0.19123870283560515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20.149999999999999" customHeight="1" x14ac:dyDescent="0.2">
      <c r="A35" s="1"/>
      <c r="B35" s="91" t="s">
        <v>66</v>
      </c>
      <c r="C35" s="317">
        <f>平成15年度!C19+SUM(平成16年度!C8:C18)</f>
        <v>619931</v>
      </c>
      <c r="D35" s="93">
        <f>平成15年度!D19+SUM(平成16年度!D8:D18)</f>
        <v>517995</v>
      </c>
      <c r="E35" s="94">
        <f>平成15年度!E19+SUM(平成16年度!E8:E18)</f>
        <v>484275</v>
      </c>
      <c r="F35" s="94">
        <f>平成15年度!F19+SUM(平成16年度!F8:F18)</f>
        <v>33720</v>
      </c>
      <c r="G35" s="95">
        <f>平成15年度!G19+SUM(平成16年度!G8:G18)</f>
        <v>101936</v>
      </c>
      <c r="H35" s="317">
        <f>平成15年度!H19+SUM(平成16年度!H8:H18)</f>
        <v>1178889</v>
      </c>
      <c r="I35" s="93">
        <f>平成15年度!I19+SUM(平成16年度!I8:I18)</f>
        <v>955277</v>
      </c>
      <c r="J35" s="94">
        <f>平成15年度!J19+SUM(平成16年度!J8:J18)</f>
        <v>665627</v>
      </c>
      <c r="K35" s="94">
        <f>平成15年度!K19+SUM(平成16年度!K8:K18)</f>
        <v>289650</v>
      </c>
      <c r="L35" s="94">
        <f>平成15年度!L19+SUM(平成16年度!L8:L18)</f>
        <v>223612</v>
      </c>
      <c r="M35" s="94">
        <f>平成15年度!M19+SUM(平成16年度!M8:M18)</f>
        <v>151255</v>
      </c>
      <c r="N35" s="95">
        <f>平成15年度!N19+SUM(平成16年度!N8:N18)</f>
        <v>72357</v>
      </c>
      <c r="O35" s="317"/>
      <c r="P35" s="93"/>
      <c r="Q35" s="95"/>
      <c r="R35" s="92">
        <f>平成15年度!O19+SUM(平成16年度!R8:R18)</f>
        <v>1280527</v>
      </c>
      <c r="S35" s="93">
        <f>平成15年度!P19+SUM(平成16年度!S8:S18)</f>
        <v>3312219</v>
      </c>
      <c r="T35" s="96">
        <f>平成16年度!C35/平成16年度!R35</f>
        <v>0.48412177173929172</v>
      </c>
      <c r="U35" s="97">
        <f>平成16年度!H35/平成16年度!S35</f>
        <v>0.35592121173147068</v>
      </c>
      <c r="V35" s="98">
        <f>平成16年度!L35/平成16年度!H35</f>
        <v>0.1896802837247612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平成16年度!K35/12</f>
        <v>24137.5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20.149999999999999" customHeight="1" x14ac:dyDescent="0.2">
      <c r="A37" s="1"/>
      <c r="B37" s="101" t="s">
        <v>67</v>
      </c>
      <c r="C37" s="324">
        <f>平成16年度!C2+平成16年度!C31</f>
        <v>615540</v>
      </c>
      <c r="D37" s="103">
        <f>平成16年度!D2+平成16年度!D31</f>
        <v>516027</v>
      </c>
      <c r="E37" s="104">
        <f>平成16年度!E2+平成16年度!E31</f>
        <v>482785</v>
      </c>
      <c r="F37" s="104">
        <f>平成16年度!F2+平成16年度!F31</f>
        <v>33242</v>
      </c>
      <c r="G37" s="105">
        <f>平成16年度!G2+平成16年度!G31</f>
        <v>99513</v>
      </c>
      <c r="H37" s="102">
        <f>平成16年度!H2+平成16年度!H31</f>
        <v>1172059</v>
      </c>
      <c r="I37" s="103">
        <f>平成16年度!I2+平成16年度!I31</f>
        <v>953360</v>
      </c>
      <c r="J37" s="104">
        <f>平成16年度!J2+平成16年度!J31</f>
        <v>663110</v>
      </c>
      <c r="K37" s="104">
        <f>平成16年度!K2+平成16年度!K31</f>
        <v>290250</v>
      </c>
      <c r="L37" s="104">
        <f>平成16年度!L2+平成16年度!L31</f>
        <v>218699</v>
      </c>
      <c r="M37" s="104">
        <f>平成16年度!M2+平成16年度!M31</f>
        <v>148013</v>
      </c>
      <c r="N37" s="106">
        <f>平成16年度!N2+平成16年度!N31</f>
        <v>70686</v>
      </c>
      <c r="O37" s="106">
        <f>平成16年度!O2+平成16年度!O31</f>
        <v>353769</v>
      </c>
      <c r="P37" s="106">
        <f>平成16年度!P2+平成16年度!P31</f>
        <v>261027</v>
      </c>
      <c r="Q37" s="106">
        <f>平成16年度!Q2+平成16年度!Q31</f>
        <v>92742</v>
      </c>
      <c r="R37" s="106">
        <f>平成16年度!R2+平成16年度!R31</f>
        <v>1356359</v>
      </c>
      <c r="S37" s="103">
        <f>平成16年度!S2+平成16年度!S31</f>
        <v>3573932</v>
      </c>
      <c r="T37" s="107">
        <f>平成16年度!C37/平成16年度!R37</f>
        <v>0.45381790514163284</v>
      </c>
      <c r="U37" s="107">
        <f>平成16年度!H37/平成16年度!S37</f>
        <v>0.32794664252145816</v>
      </c>
      <c r="V37" s="108">
        <f>平成16年度!L37/平成16年度!H37</f>
        <v>0.1865938489444644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20.149999999999999" customHeight="1" x14ac:dyDescent="0.2">
      <c r="A38" s="1"/>
      <c r="B38" s="109" t="s">
        <v>53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#VALUE!</f>
        <v>#VALUE!</v>
      </c>
      <c r="R38" s="114" t="e">
        <f>#VALUE!</f>
        <v>#VALUE!</v>
      </c>
      <c r="S38" s="111" t="e">
        <f>#VALUE!</f>
        <v>#VALUE!</v>
      </c>
      <c r="T38" s="115" t="e">
        <f>平成16年度!C38/平成16年度!R38</f>
        <v>#VALUE!</v>
      </c>
      <c r="U38" s="115" t="e">
        <f>平成16年度!H38/平成16年度!S38</f>
        <v>#VALUE!</v>
      </c>
      <c r="V38" s="116" t="e">
        <f>平成16年度!L38/平成16年度!H38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20.149999999999999" customHeight="1" x14ac:dyDescent="0.2">
      <c r="A40" s="1"/>
      <c r="B40" s="1" t="s">
        <v>475</v>
      </c>
      <c r="C40" s="1"/>
      <c r="D40" s="1"/>
      <c r="E40" s="1"/>
      <c r="F40" s="1"/>
      <c r="G40" s="1"/>
      <c r="H40" s="1"/>
      <c r="I40" s="1"/>
      <c r="J40" s="1" t="s">
        <v>1152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20.149999999999999" customHeight="1" x14ac:dyDescent="0.2">
      <c r="A41" s="1"/>
      <c r="B41" s="1"/>
      <c r="C41" s="1" t="s">
        <v>682</v>
      </c>
      <c r="D41" s="1" t="s">
        <v>1483</v>
      </c>
      <c r="E41" s="1" t="s">
        <v>1484</v>
      </c>
      <c r="F41" s="1" t="s">
        <v>1485</v>
      </c>
      <c r="G41" s="1"/>
      <c r="H41" s="1"/>
      <c r="I41" s="1"/>
      <c r="J41" s="1"/>
      <c r="K41" s="1" t="s">
        <v>405</v>
      </c>
      <c r="L41" s="1" t="s">
        <v>1160</v>
      </c>
      <c r="M41" s="1" t="s">
        <v>817</v>
      </c>
      <c r="N41" s="1" t="s">
        <v>907</v>
      </c>
      <c r="O41" s="1"/>
      <c r="P41" s="1"/>
      <c r="Q41" s="1"/>
      <c r="R41" s="1" t="s">
        <v>1158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ROUND(+平成16年度!R43*平成16年度!N42,0)</f>
        <v>27605</v>
      </c>
      <c r="S42" s="1" t="s">
        <v>1165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20.149999999999999" customHeight="1" x14ac:dyDescent="0.2">
      <c r="A43" s="1"/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ROUND((+平成14年度!K19+平成16年度!K27)/6,0)</f>
        <v>24368</v>
      </c>
      <c r="H43" s="1"/>
      <c r="I43" s="1"/>
      <c r="J43" s="1"/>
      <c r="K43" s="1"/>
      <c r="L43" s="1">
        <f>ROUND(+平成16年度!L42/平成16年度!K42,4)</f>
        <v>0.99850000000000005</v>
      </c>
      <c r="M43" s="1">
        <f>ROUND(+平成16年度!M42/平成16年度!L42,4)</f>
        <v>1.0199</v>
      </c>
      <c r="N43" s="1">
        <f>平成16年度!M43</f>
        <v>1.0199</v>
      </c>
      <c r="O43" s="1"/>
      <c r="P43" s="1"/>
      <c r="Q43" s="1"/>
      <c r="R43" s="1">
        <f>ROUND((平成16年度!M43+平成16年度!N43)/2,4)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20.149999999999999" customHeight="1" x14ac:dyDescent="0.2">
      <c r="A44" s="1"/>
      <c r="B44" s="121" t="s">
        <v>482</v>
      </c>
      <c r="C44" s="121"/>
      <c r="D44" s="122">
        <f>平成16年度!D43/平成16年度!C43</f>
        <v>1.0781186534811042</v>
      </c>
      <c r="E44" s="122">
        <f>平成16年度!E43/平成16年度!D43</f>
        <v>1.0713588239364606</v>
      </c>
      <c r="F44" s="123">
        <f>ROUND(+平成16年度!F43/平成16年度!E43,4)</f>
        <v>1.0658000000000001</v>
      </c>
      <c r="G44" s="123">
        <f>ROUND(+平成16年度!G43/平成16年度!F43,4)</f>
        <v>0.98450000000000004</v>
      </c>
      <c r="H44" s="1"/>
      <c r="I44" s="1"/>
      <c r="J44" s="1" t="s">
        <v>1168</v>
      </c>
      <c r="K44" s="1">
        <f>ROUND(+平成16年度!K46/平成16年度!K42,4)</f>
        <v>0.99309999999999998</v>
      </c>
      <c r="L44" s="1">
        <f>ROUND(+平成16年度!L46/平成16年度!L42,4)</f>
        <v>0.99739999999999995</v>
      </c>
      <c r="M44" s="1">
        <f>ROUND(+平成16年度!M46/平成16年度!M42,4)</f>
        <v>1.0001</v>
      </c>
      <c r="N44" s="1">
        <f>平成16年度!M44</f>
        <v>1.0001</v>
      </c>
      <c r="O44" s="1"/>
      <c r="P44" s="1"/>
      <c r="Q44" s="1"/>
      <c r="R44" s="1">
        <f>ROUND((+平成16年度!N44+平成16年度!M44)/2,4)</f>
        <v>1.0001</v>
      </c>
      <c r="S44" s="1"/>
      <c r="T44" s="1"/>
      <c r="U44" s="1"/>
      <c r="V44" s="1"/>
      <c r="W44" s="117"/>
      <c r="X44" s="124" t="s">
        <v>275</v>
      </c>
      <c r="Y44" s="1"/>
      <c r="Z44" s="125" t="str">
        <f>平成16年度!C3</f>
        <v>平成16年度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20.149999999999999" customHeight="1" x14ac:dyDescent="0.25">
      <c r="A45" s="1"/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ROUND(+平成16年度!F46*平成16年度!G43,0)</f>
        <v>24617</v>
      </c>
      <c r="H45" s="126">
        <f>平成16年度!G45*平成16年度!G47</f>
        <v>24235.4365</v>
      </c>
      <c r="I45" s="1"/>
      <c r="J45" s="1"/>
      <c r="K45" s="1"/>
      <c r="L45" s="1"/>
      <c r="M45" s="1"/>
      <c r="N45" s="3">
        <f>ROUND(+平成16年度!N44*平成16年度!N42,0)</f>
        <v>27069</v>
      </c>
      <c r="O45" s="3"/>
      <c r="P45" s="3"/>
      <c r="Q45" s="3"/>
      <c r="R45" s="3">
        <f>ROUND(+平成16年度!R42*平成16年度!R44,0)</f>
        <v>27608</v>
      </c>
      <c r="S45" s="1"/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0.149999999999999" customHeight="1" x14ac:dyDescent="0.2">
      <c r="A46" s="1"/>
      <c r="B46" s="121" t="s">
        <v>498</v>
      </c>
      <c r="C46" s="122">
        <f>平成16年度!C45/平成16年度!C43</f>
        <v>1.0183691570579507</v>
      </c>
      <c r="D46" s="122">
        <f>平成16年度!D45/平成16年度!D43</f>
        <v>1.0172149991157995</v>
      </c>
      <c r="E46" s="122">
        <f>平成16年度!E45/平成16年度!E43</f>
        <v>1.0149703606952676</v>
      </c>
      <c r="F46" s="122">
        <f>ROUND(+平成16年度!F45/平成16年度!F43,4)</f>
        <v>1.0102</v>
      </c>
      <c r="G46" s="122">
        <f>ROUND((+平成16年度!E46+平成16年度!F46)/2,4)</f>
        <v>1.0125999999999999</v>
      </c>
      <c r="H46" s="1"/>
      <c r="I46" s="1"/>
      <c r="J46" s="1" t="s">
        <v>1185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20.149999999999999" customHeight="1" x14ac:dyDescent="0.2">
      <c r="A47" s="1"/>
      <c r="B47" s="121" t="s">
        <v>509</v>
      </c>
      <c r="C47" s="121"/>
      <c r="D47" s="122">
        <f>平成16年度!D45/平成16年度!C45</f>
        <v>1.076896779077434</v>
      </c>
      <c r="E47" s="122">
        <f>平成16年度!E45/平成16年度!D45</f>
        <v>1.0689947089947089</v>
      </c>
      <c r="F47" s="122">
        <f>ROUND(+平成16年度!F45/平成16年度!E45,4)</f>
        <v>1.0608</v>
      </c>
      <c r="G47" s="122">
        <f>ROUND(+平成16年度!G45/平成16年度!F45,4)</f>
        <v>0.98450000000000004</v>
      </c>
      <c r="H47" s="1"/>
      <c r="I47" s="1"/>
      <c r="J47" s="1"/>
      <c r="K47" s="1"/>
      <c r="L47" s="1">
        <f>ROUND(+平成16年度!L46/平成16年度!K46,4)</f>
        <v>1.0027999999999999</v>
      </c>
      <c r="M47" s="1">
        <f>ROUND(+平成16年度!M46/平成16年度!L46,4)</f>
        <v>1.0226</v>
      </c>
      <c r="N47" s="1">
        <f>平成16年度!M47</f>
        <v>1.0226</v>
      </c>
      <c r="O47" s="1"/>
      <c r="P47" s="1"/>
      <c r="Q47" s="1"/>
      <c r="R47" s="1">
        <f>平成16年度!N47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平成16年度!M8</f>
        <v>12179</v>
      </c>
      <c r="AE47" s="144" t="s">
        <v>275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0.14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1198</v>
      </c>
      <c r="K48" s="1"/>
      <c r="L48" s="1"/>
      <c r="M48" s="1"/>
      <c r="N48" s="3">
        <f>ROUND(+平成16年度!M46*平成16年度!N47,0)</f>
        <v>27209</v>
      </c>
      <c r="O48" s="3"/>
      <c r="P48" s="3"/>
      <c r="Q48" s="3"/>
      <c r="R48" s="149">
        <f>ROUND(+平成16年度!N48*平成16年度!R47,0)</f>
        <v>27824</v>
      </c>
      <c r="S48" s="1"/>
      <c r="T48" s="1"/>
      <c r="U48" s="1"/>
      <c r="V48" s="1"/>
      <c r="W48" s="117" t="s">
        <v>308</v>
      </c>
      <c r="X48" s="134" t="s">
        <v>40</v>
      </c>
      <c r="Y48" s="150">
        <f>平成16年度!C8</f>
        <v>51211</v>
      </c>
      <c r="Z48" s="151">
        <f>平成16年度!H8</f>
        <v>97789</v>
      </c>
      <c r="AA48" s="151">
        <f>平成16年度!Z48-平成16年度!AB48-平成16年度!AC48</f>
        <v>55433</v>
      </c>
      <c r="AB48" s="151">
        <f>平成16年度!K8</f>
        <v>24359</v>
      </c>
      <c r="AC48" s="152">
        <f>平成16年度!AD47+平成16年度!AD48</f>
        <v>17997</v>
      </c>
      <c r="AD48" s="153">
        <f>平成16年度!N8</f>
        <v>5818</v>
      </c>
      <c r="AE48" s="151">
        <f>平成16年度!R8</f>
        <v>112749</v>
      </c>
      <c r="AF48" s="150">
        <f>平成16年度!S8</f>
        <v>297518</v>
      </c>
      <c r="AG48" s="154">
        <f>平成16年度!Y48/+平成16年度!AE48</f>
        <v>0.45420358495419028</v>
      </c>
      <c r="AH48" s="155">
        <f>平成16年度!Z48/+平成16年度!AF48</f>
        <v>0.32868263432800704</v>
      </c>
      <c r="AI48" s="156">
        <f>平成16年度!AC48/+平成16年度!Z48</f>
        <v>0.18403910460276718</v>
      </c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0.149999999999999" customHeight="1" x14ac:dyDescent="0.2">
      <c r="A49" s="1"/>
      <c r="B49" s="1"/>
      <c r="C49" s="1"/>
      <c r="D49" s="1"/>
      <c r="E49" s="1"/>
      <c r="F49" s="1"/>
      <c r="G49" s="99" t="s">
        <v>940</v>
      </c>
      <c r="H49" s="99" t="s">
        <v>940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275</v>
      </c>
      <c r="Z49" s="144"/>
      <c r="AA49" s="144"/>
      <c r="AB49" s="144"/>
      <c r="AC49" s="157"/>
      <c r="AD49" s="146">
        <f>平成16年度!M9</f>
        <v>12219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0.149999999999999" customHeight="1" x14ac:dyDescent="0.2">
      <c r="A50" s="1"/>
      <c r="B50" s="1"/>
      <c r="C50" s="1"/>
      <c r="D50" s="1"/>
      <c r="E50" s="1"/>
      <c r="F50" s="1"/>
      <c r="G50" s="160">
        <f>IF(+平成16年度!G45&gt;0,ROUNDUP(+平成16年度!G45,-2),ROUNDDOWN(+平成16年度!G45,-2))</f>
        <v>24700</v>
      </c>
      <c r="H50" s="160">
        <f>IF(+平成16年度!H45&gt;0,ROUNDUP(+平成16年度!H45,-2),ROUNDDOWN(+平成16年度!H45,-2))</f>
        <v>24300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41</v>
      </c>
      <c r="Y50" s="150">
        <f>平成16年度!C9</f>
        <v>51247</v>
      </c>
      <c r="Z50" s="151">
        <f>平成16年度!H9</f>
        <v>97657</v>
      </c>
      <c r="AA50" s="151">
        <f>平成16年度!Z50-平成16年度!AB50-平成16年度!AC50</f>
        <v>55334</v>
      </c>
      <c r="AB50" s="151">
        <f>平成16年度!K9</f>
        <v>24284</v>
      </c>
      <c r="AC50" s="152">
        <f>平成16年度!AD49+平成16年度!AD50</f>
        <v>18039</v>
      </c>
      <c r="AD50" s="153">
        <f>平成16年度!N9</f>
        <v>5820</v>
      </c>
      <c r="AE50" s="151">
        <f>平成16年度!R9</f>
        <v>112935</v>
      </c>
      <c r="AF50" s="150">
        <f>平成16年度!S9</f>
        <v>297614</v>
      </c>
      <c r="AG50" s="154">
        <f>平成16年度!Y50/+平成16年度!AE50</f>
        <v>0.45377429494842164</v>
      </c>
      <c r="AH50" s="155">
        <f>平成16年度!Z50/+平成16年度!AF50</f>
        <v>0.32813308513712391</v>
      </c>
      <c r="AI50" s="156">
        <f>平成16年度!AC50/+平成16年度!Z50</f>
        <v>0.18471794136621031</v>
      </c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20.149999999999999" customHeight="1" x14ac:dyDescent="0.2">
      <c r="A51" s="161" t="s">
        <v>1205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405</v>
      </c>
      <c r="L51" s="1" t="s">
        <v>1160</v>
      </c>
      <c r="M51" s="1" t="s">
        <v>817</v>
      </c>
      <c r="N51" s="1" t="s">
        <v>907</v>
      </c>
      <c r="O51" s="1"/>
      <c r="P51" s="1"/>
      <c r="Q51" s="1"/>
      <c r="R51" s="1" t="s">
        <v>1158</v>
      </c>
      <c r="S51" s="1"/>
      <c r="T51" s="1"/>
      <c r="U51" s="1"/>
      <c r="V51" s="1"/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平成16年度!M10</f>
        <v>12275</v>
      </c>
      <c r="AE51" s="144"/>
      <c r="AF51" s="144"/>
      <c r="AG51" s="147" t="s">
        <v>275</v>
      </c>
      <c r="AH51" s="147" t="s">
        <v>275</v>
      </c>
      <c r="AI51" s="148" t="s">
        <v>275</v>
      </c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20.149999999999999" customHeight="1" x14ac:dyDescent="0.2">
      <c r="A52" s="1" t="s">
        <v>1217</v>
      </c>
      <c r="B52" s="1"/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I52" s="1"/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42</v>
      </c>
      <c r="Y52" s="150">
        <f>平成16年度!C10</f>
        <v>51411</v>
      </c>
      <c r="Z52" s="151">
        <f>平成16年度!H10</f>
        <v>97823</v>
      </c>
      <c r="AA52" s="151">
        <f>平成16年度!Z52-平成16年度!AB52-平成16年度!AC52</f>
        <v>55463</v>
      </c>
      <c r="AB52" s="151">
        <f>平成16年度!K10</f>
        <v>24232</v>
      </c>
      <c r="AC52" s="152">
        <f>平成16年度!AD51+平成16年度!AD52</f>
        <v>18128</v>
      </c>
      <c r="AD52" s="153">
        <f>平成16年度!N10</f>
        <v>5853</v>
      </c>
      <c r="AE52" s="151">
        <f>平成16年度!R10</f>
        <v>113075</v>
      </c>
      <c r="AF52" s="150">
        <f>平成16年度!S10</f>
        <v>297792</v>
      </c>
      <c r="AG52" s="154">
        <f>平成16年度!Y52/+平成16年度!AE52</f>
        <v>0.4546628344019456</v>
      </c>
      <c r="AH52" s="155">
        <f>平成16年度!Z52/+平成16年度!AF52</f>
        <v>0.32849438534278957</v>
      </c>
      <c r="AI52" s="156">
        <f>平成16年度!AC52/+平成16年度!Z52</f>
        <v>0.18531429213988529</v>
      </c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20.14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275</v>
      </c>
      <c r="AB53" s="144"/>
      <c r="AC53" s="157"/>
      <c r="AD53" s="146">
        <f>平成16年度!M11</f>
        <v>12540</v>
      </c>
      <c r="AE53" s="144"/>
      <c r="AF53" s="143"/>
      <c r="AG53" s="158" t="s">
        <v>275</v>
      </c>
      <c r="AH53" s="147" t="s">
        <v>275</v>
      </c>
      <c r="AI53" s="159" t="s">
        <v>275</v>
      </c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20.149999999999999" customHeight="1" x14ac:dyDescent="0.2">
      <c r="A54" s="1"/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ROUND(SUM(+平成16年度!S8:S12)/5,0)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43</v>
      </c>
      <c r="Y54" s="150">
        <f>平成16年度!C11</f>
        <v>51471</v>
      </c>
      <c r="Z54" s="151">
        <f>平成16年度!H11</f>
        <v>97959</v>
      </c>
      <c r="AA54" s="151">
        <f>平成16年度!Z54-平成16年度!AB54-平成16年度!AC54</f>
        <v>55214</v>
      </c>
      <c r="AB54" s="151">
        <f>平成16年度!K11</f>
        <v>24185</v>
      </c>
      <c r="AC54" s="152">
        <f>平成16年度!AD53+平成16年度!AD54</f>
        <v>18560</v>
      </c>
      <c r="AD54" s="153">
        <f>平成16年度!N11</f>
        <v>6020</v>
      </c>
      <c r="AE54" s="151">
        <f>平成16年度!R11</f>
        <v>113205</v>
      </c>
      <c r="AF54" s="150">
        <f>平成16年度!S11</f>
        <v>297925</v>
      </c>
      <c r="AG54" s="154">
        <f>平成16年度!Y54/+平成16年度!AE54</f>
        <v>0.45467073009142706</v>
      </c>
      <c r="AH54" s="155">
        <f>平成16年度!Z54/+平成16年度!AF54</f>
        <v>0.32880422925232861</v>
      </c>
      <c r="AI54" s="156">
        <f>平成16年度!AC54/+平成16年度!Z54</f>
        <v>0.18946702191733275</v>
      </c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20.149999999999999" customHeight="1" x14ac:dyDescent="0.2">
      <c r="A55" s="1"/>
      <c r="B55" s="121" t="s">
        <v>1232</v>
      </c>
      <c r="C55" s="121"/>
      <c r="D55" s="122" t="e">
        <f>平成16年度!D54/平成16年度!C54</f>
        <v>#VALUE!</v>
      </c>
      <c r="E55" s="122" t="e">
        <f>平成16年度!E54/平成16年度!D54</f>
        <v>#VALUE!</v>
      </c>
      <c r="F55" s="123" t="e">
        <f>ROUND(+平成16年度!F54/平成16年度!E54,4)</f>
        <v>#VALUE!</v>
      </c>
      <c r="G55" s="123" t="e">
        <f>ROUND(+平成16年度!G54/平成16年度!F54,4)</f>
        <v>#VALUE!</v>
      </c>
      <c r="H55" s="123" t="e">
        <f>ROUND(+平成16年度!H54/平成16年度!G54,4)</f>
        <v>#VALUE!</v>
      </c>
      <c r="I55" s="1"/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ROUND(ROUND(+平成16年度!M55/平成16年度!L55,4)*平成16年度!M55,0)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275</v>
      </c>
      <c r="AB55" s="144"/>
      <c r="AC55" s="145"/>
      <c r="AD55" s="146">
        <f>平成16年度!M12</f>
        <v>12606</v>
      </c>
      <c r="AE55" s="144"/>
      <c r="AF55" s="144"/>
      <c r="AG55" s="147" t="s">
        <v>275</v>
      </c>
      <c r="AH55" s="147" t="s">
        <v>275</v>
      </c>
      <c r="AI55" s="148" t="s">
        <v>275</v>
      </c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20.149999999999999" customHeight="1" x14ac:dyDescent="0.25">
      <c r="A56" s="1"/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ROUND(ROUND(+平成16年度!M56/平成16年度!L56,4)*平成16年度!M56,0)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44</v>
      </c>
      <c r="Y56" s="150">
        <f>平成16年度!C12</f>
        <v>51577</v>
      </c>
      <c r="Z56" s="151">
        <f>平成16年度!H12</f>
        <v>98120</v>
      </c>
      <c r="AA56" s="151">
        <f>平成16年度!Z56-平成16年度!AB56-平成16年度!AC56</f>
        <v>55338</v>
      </c>
      <c r="AB56" s="151">
        <f>平成16年度!K12</f>
        <v>24110</v>
      </c>
      <c r="AC56" s="152">
        <f>平成16年度!AD55+平成16年度!AD56</f>
        <v>18672</v>
      </c>
      <c r="AD56" s="153">
        <f>平成16年度!N12</f>
        <v>6066</v>
      </c>
      <c r="AE56" s="151">
        <f>平成16年度!R12</f>
        <v>113272</v>
      </c>
      <c r="AF56" s="150">
        <f>平成16年度!S12</f>
        <v>297945</v>
      </c>
      <c r="AG56" s="154">
        <f>平成16年度!Y56/+平成16年度!AE56</f>
        <v>0.4553375944628858</v>
      </c>
      <c r="AH56" s="155">
        <f>平成16年度!Z56/+平成16年度!AF56</f>
        <v>0.32932252596955813</v>
      </c>
      <c r="AI56" s="156">
        <f>平成16年度!AC56/+平成16年度!Z56</f>
        <v>0.19029759478189973</v>
      </c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20.149999999999999" customHeight="1" x14ac:dyDescent="0.2">
      <c r="A57" s="1"/>
      <c r="B57" s="121" t="s">
        <v>1241</v>
      </c>
      <c r="C57" s="122" t="e">
        <f>平成16年度!C56/平成16年度!C54</f>
        <v>#VALUE!</v>
      </c>
      <c r="D57" s="122" t="e">
        <f>平成16年度!D56/平成16年度!D54</f>
        <v>#VALUE!</v>
      </c>
      <c r="E57" s="122" t="e">
        <f>平成16年度!E56/平成16年度!E54</f>
        <v>#VALUE!</v>
      </c>
      <c r="F57" s="122" t="e">
        <f>ROUND(+平成16年度!F56/平成16年度!F54,4)</f>
        <v>#VALUE!</v>
      </c>
      <c r="G57" s="122" t="e">
        <f>ROUND((+平成16年度!E57+平成16年度!F57)/2,4)</f>
        <v>#VALUE!</v>
      </c>
      <c r="H57" s="1"/>
      <c r="I57" s="1"/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O57" s="1"/>
      <c r="P57" s="1"/>
      <c r="Q57" s="1"/>
      <c r="R57" s="1" t="s">
        <v>1247</v>
      </c>
      <c r="S57" s="1" t="s">
        <v>1248</v>
      </c>
      <c r="T57" s="1"/>
      <c r="U57" s="1"/>
      <c r="V57" s="1"/>
      <c r="W57" s="117"/>
      <c r="X57" s="142"/>
      <c r="Y57" s="143"/>
      <c r="Z57" s="144"/>
      <c r="AA57" s="144" t="s">
        <v>275</v>
      </c>
      <c r="AB57" s="144"/>
      <c r="AC57" s="145"/>
      <c r="AD57" s="146">
        <f>平成16年度!M13</f>
        <v>12684</v>
      </c>
      <c r="AE57" s="144"/>
      <c r="AF57" s="144"/>
      <c r="AG57" s="147" t="s">
        <v>275</v>
      </c>
      <c r="AH57" s="147" t="s">
        <v>275</v>
      </c>
      <c r="AI57" s="148" t="s">
        <v>275</v>
      </c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20.149999999999999" customHeight="1" x14ac:dyDescent="0.2">
      <c r="A58" s="1"/>
      <c r="B58" s="121" t="s">
        <v>509</v>
      </c>
      <c r="C58" s="121"/>
      <c r="D58" s="122" t="e">
        <f>平成16年度!D56/平成16年度!C56</f>
        <v>#VALUE!</v>
      </c>
      <c r="E58" s="122" t="e">
        <f>平成16年度!E56/平成16年度!D56</f>
        <v>#VALUE!</v>
      </c>
      <c r="F58" s="122" t="e">
        <f>ROUND(+平成16年度!F56/平成16年度!E56,4)</f>
        <v>#VALUE!</v>
      </c>
      <c r="G58" s="122" t="e">
        <f>ROUND(+平成16年度!G56/平成16年度!F56,4)</f>
        <v>#VALUE!</v>
      </c>
      <c r="H58" s="1"/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45</v>
      </c>
      <c r="Y58" s="150">
        <f>平成16年度!C13</f>
        <v>51607</v>
      </c>
      <c r="Z58" s="151">
        <f>平成16年度!H13</f>
        <v>98140</v>
      </c>
      <c r="AA58" s="151">
        <f>平成16年度!Z58-平成16年度!AB58-平成16年度!AC58</f>
        <v>55340</v>
      </c>
      <c r="AB58" s="151">
        <f>平成16年度!K13</f>
        <v>24037</v>
      </c>
      <c r="AC58" s="152">
        <f>平成16年度!AD57+平成16年度!AD58</f>
        <v>18763</v>
      </c>
      <c r="AD58" s="153">
        <f>平成16年度!N13</f>
        <v>6079</v>
      </c>
      <c r="AE58" s="151">
        <f>平成16年度!R13</f>
        <v>113426</v>
      </c>
      <c r="AF58" s="150">
        <f>平成16年度!S13</f>
        <v>298137</v>
      </c>
      <c r="AG58" s="154">
        <f>平成16年度!Y58/+平成16年度!AE58</f>
        <v>0.45498386613298536</v>
      </c>
      <c r="AH58" s="155">
        <f>平成16年度!Z58/+平成16年度!AF58</f>
        <v>0.3291775257683548</v>
      </c>
      <c r="AI58" s="156">
        <f>平成16年度!AC58/+平成16年度!Z58</f>
        <v>0.19118606072957001</v>
      </c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20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ROUND(+平成16年度!K58/平成16年度!J58,4)</f>
        <v>0.99309999999999998</v>
      </c>
      <c r="L59" s="36">
        <f>ROUND(+平成16年度!L58/平成16年度!K58,4)</f>
        <v>1.0054000000000001</v>
      </c>
      <c r="M59" s="36">
        <f>ROUND(+平成16年度!M58/平成16年度!L58,4)</f>
        <v>0.99739999999999995</v>
      </c>
      <c r="N59" s="36">
        <f>ROUND(+平成16年度!N58/平成16年度!M58,4)</f>
        <v>1.0225</v>
      </c>
      <c r="O59" s="36"/>
      <c r="P59" s="36"/>
      <c r="Q59" s="36"/>
      <c r="R59" s="36">
        <f>ROUND(+平成16年度!R58/平成16年度!N58,4)</f>
        <v>1.0001</v>
      </c>
      <c r="S59" s="36">
        <f>ROUND(+平成16年度!S58/平成16年度!R58,4)</f>
        <v>1.0172000000000001</v>
      </c>
      <c r="T59" s="1"/>
      <c r="U59" s="1"/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平成16年度!M14</f>
        <v>12750</v>
      </c>
      <c r="AE59" s="144"/>
      <c r="AF59" s="144"/>
      <c r="AG59" s="147" t="s">
        <v>275</v>
      </c>
      <c r="AH59" s="147" t="s">
        <v>275</v>
      </c>
      <c r="AI59" s="148" t="s">
        <v>275</v>
      </c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0.149999999999999" customHeight="1" x14ac:dyDescent="0.2">
      <c r="A60" s="1"/>
      <c r="B60" s="1"/>
      <c r="C60" s="1"/>
      <c r="D60" s="1" t="e">
        <f>平成16年度!C57*平成16年度!D54</f>
        <v>#VALUE!</v>
      </c>
      <c r="E60" s="1" t="e">
        <f>平成16年度!D57*平成16年度!E54</f>
        <v>#VALUE!</v>
      </c>
      <c r="F60" s="1" t="e">
        <f>平成16年度!E57*平成16年度!F54</f>
        <v>#VALUE!</v>
      </c>
      <c r="G60" s="1" t="e">
        <f>平成16年度!F57*平成16年度!G54</f>
        <v>#VALUE!</v>
      </c>
      <c r="H60" s="162" t="e">
        <f>IF(+平成16年度!G57*平成16年度!H54&gt;0,ROUNDDOWN(+平成16年度!G57*平成16年度!H54,-2),ROUNDUP(+平成16年度!G57*平成16年度!H54,-2))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46</v>
      </c>
      <c r="Y60" s="150">
        <f>平成16年度!C14</f>
        <v>51736</v>
      </c>
      <c r="Z60" s="151">
        <f>平成16年度!H14</f>
        <v>98268</v>
      </c>
      <c r="AA60" s="151">
        <f>平成16年度!Z60-平成16年度!AB60-平成16年度!AC60</f>
        <v>55393</v>
      </c>
      <c r="AB60" s="151">
        <f>平成16年度!K14</f>
        <v>23999</v>
      </c>
      <c r="AC60" s="152">
        <f>平成16年度!AD59+平成16年度!AD60</f>
        <v>18876</v>
      </c>
      <c r="AD60" s="153">
        <f>平成16年度!N14</f>
        <v>6126</v>
      </c>
      <c r="AE60" s="151">
        <f>平成16年度!R14</f>
        <v>113593</v>
      </c>
      <c r="AF60" s="150">
        <f>平成16年度!S14</f>
        <v>298282</v>
      </c>
      <c r="AG60" s="154">
        <f>平成16年度!Y60/+平成16年度!AE60</f>
        <v>0.45545059994894049</v>
      </c>
      <c r="AH60" s="155">
        <f>平成16年度!Z60/+平成16年度!AF60</f>
        <v>0.32944663104042482</v>
      </c>
      <c r="AI60" s="156">
        <f>平成16年度!AC60/+平成16年度!Z60</f>
        <v>0.19208694590304065</v>
      </c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20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ROUND(+平成16年度!K60/平成16年度!J60,4)</f>
        <v>0.99850000000000005</v>
      </c>
      <c r="L61" s="36">
        <f>ROUND(+平成16年度!L60/平成16年度!K60,4)</f>
        <v>1.0005999999999999</v>
      </c>
      <c r="M61" s="36">
        <f>ROUND(+平成16年度!M60/平成16年度!L60,4)</f>
        <v>1.0077</v>
      </c>
      <c r="N61" s="36">
        <f>ROUND(+平成16年度!N60/平成16年度!M60,4)</f>
        <v>1.0170999999999999</v>
      </c>
      <c r="O61" s="36"/>
      <c r="P61" s="36"/>
      <c r="Q61" s="36"/>
      <c r="R61" s="36">
        <f>ROUND(+平成16年度!R60/平成16年度!N60,4)</f>
        <v>1.0059</v>
      </c>
      <c r="S61" s="36">
        <f>ROUND(+平成16年度!S60/平成16年度!R60,4)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275</v>
      </c>
      <c r="AB61" s="144"/>
      <c r="AC61" s="145"/>
      <c r="AD61" s="146">
        <f>平成16年度!M15</f>
        <v>12766</v>
      </c>
      <c r="AE61" s="144"/>
      <c r="AF61" s="144"/>
      <c r="AG61" s="147" t="s">
        <v>275</v>
      </c>
      <c r="AH61" s="147" t="s">
        <v>275</v>
      </c>
      <c r="AI61" s="148" t="s">
        <v>275</v>
      </c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20.149999999999999" customHeight="1" x14ac:dyDescent="0.2">
      <c r="A62" s="1" t="s">
        <v>11</v>
      </c>
      <c r="B62" s="1"/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47</v>
      </c>
      <c r="Y62" s="150">
        <f>平成16年度!C15</f>
        <v>51760</v>
      </c>
      <c r="Z62" s="151">
        <f>平成16年度!H15</f>
        <v>98159</v>
      </c>
      <c r="AA62" s="151">
        <f>平成16年度!Z62-平成16年度!AB62-平成16年度!AC62</f>
        <v>55349</v>
      </c>
      <c r="AB62" s="151">
        <f>平成16年度!K15</f>
        <v>23913</v>
      </c>
      <c r="AC62" s="152">
        <f>平成16年度!AD61+平成16年度!AD62</f>
        <v>18897</v>
      </c>
      <c r="AD62" s="153">
        <f>平成16年度!N15</f>
        <v>6131</v>
      </c>
      <c r="AE62" s="151">
        <f>平成16年度!R15</f>
        <v>113782</v>
      </c>
      <c r="AF62" s="150">
        <f>平成16年度!S15</f>
        <v>298444</v>
      </c>
      <c r="AG62" s="154">
        <f>平成16年度!Y62/+平成16年度!AE62</f>
        <v>0.45490499375999721</v>
      </c>
      <c r="AH62" s="155">
        <f>平成16年度!Z62/+平成16年度!AF62</f>
        <v>0.32890257468737855</v>
      </c>
      <c r="AI62" s="156">
        <f>平成16年度!AC62/+平成16年度!Z62</f>
        <v>0.19251418616734076</v>
      </c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20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ROUND(+平成16年度!K62/平成16年度!J62,4)</f>
        <v>1.0068999999999999</v>
      </c>
      <c r="L63" s="36">
        <f>ROUND(+平成16年度!L62/平成16年度!K62,4)</f>
        <v>1.0145</v>
      </c>
      <c r="M63" s="36">
        <f>ROUND(+平成16年度!M62/平成16年度!L62,4)</f>
        <v>1.0133000000000001</v>
      </c>
      <c r="N63" s="36">
        <f>ROUND(+平成16年度!N62/平成16年度!M62,4)</f>
        <v>1.0256000000000001</v>
      </c>
      <c r="O63" s="36"/>
      <c r="P63" s="36"/>
      <c r="Q63" s="36"/>
      <c r="R63" s="36">
        <f>ROUND(+平成16年度!R62/平成16年度!N62,4)</f>
        <v>1.0128999999999999</v>
      </c>
      <c r="S63" s="36">
        <f>ROUND(+平成16年度!S62/平成16年度!R62,4)</f>
        <v>1.0219</v>
      </c>
      <c r="T63" s="1"/>
      <c r="U63" s="1"/>
      <c r="V63" s="1"/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平成16年度!M16</f>
        <v>12793</v>
      </c>
      <c r="AE63" s="144"/>
      <c r="AF63" s="143"/>
      <c r="AG63" s="158" t="s">
        <v>275</v>
      </c>
      <c r="AH63" s="147" t="s">
        <v>275</v>
      </c>
      <c r="AI63" s="159" t="s">
        <v>275</v>
      </c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20.149999999999999" customHeight="1" x14ac:dyDescent="0.2">
      <c r="A64" s="1"/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ROUND(SUM(+平成16年度!R8:R12)/5,0)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48</v>
      </c>
      <c r="Y64" s="150">
        <f>平成16年度!C16</f>
        <v>51709</v>
      </c>
      <c r="Z64" s="151">
        <f>平成16年度!H16</f>
        <v>98044</v>
      </c>
      <c r="AA64" s="151">
        <f>平成16年度!Z64-平成16年度!AB64-平成16年度!AC64</f>
        <v>55277</v>
      </c>
      <c r="AB64" s="151">
        <f>平成16年度!K16</f>
        <v>23841</v>
      </c>
      <c r="AC64" s="152">
        <f>平成16年度!AD63+平成16年度!AD64</f>
        <v>18926</v>
      </c>
      <c r="AD64" s="153">
        <f>平成16年度!N16</f>
        <v>6133</v>
      </c>
      <c r="AE64" s="151">
        <f>平成16年度!R16</f>
        <v>113783</v>
      </c>
      <c r="AF64" s="150">
        <f>平成16年度!S16</f>
        <v>298467</v>
      </c>
      <c r="AG64" s="154">
        <f>平成16年度!Y64/+平成16年度!AE64</f>
        <v>0.45445277414024943</v>
      </c>
      <c r="AH64" s="155">
        <f>平成16年度!Z64/+平成16年度!AF64</f>
        <v>0.32849192708071578</v>
      </c>
      <c r="AI64" s="156">
        <f>平成16年度!AC64/+平成16年度!Z64</f>
        <v>0.19303577985394313</v>
      </c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20.149999999999999" customHeight="1" x14ac:dyDescent="0.2">
      <c r="A65" s="163"/>
      <c r="B65" s="121" t="s">
        <v>1232</v>
      </c>
      <c r="C65" s="121"/>
      <c r="D65" s="122" t="e">
        <f>平成16年度!D64/平成16年度!C64</f>
        <v>#VALUE!</v>
      </c>
      <c r="E65" s="122" t="e">
        <f>平成16年度!E64/平成16年度!D64</f>
        <v>#VALUE!</v>
      </c>
      <c r="F65" s="123" t="e">
        <f>ROUND(+平成16年度!F64/平成16年度!E64,4)</f>
        <v>#VALUE!</v>
      </c>
      <c r="G65" s="123" t="e">
        <f>ROUND(+平成16年度!G64/平成16年度!F64,4)</f>
        <v>#VALUE!</v>
      </c>
      <c r="H65" s="123" t="e">
        <f>ROUND(+平成16年度!H64/平成16年度!G64,4)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平成16年度!M17</f>
        <v>12988</v>
      </c>
      <c r="AE65" s="144"/>
      <c r="AF65" s="143"/>
      <c r="AG65" s="158" t="s">
        <v>275</v>
      </c>
      <c r="AH65" s="147" t="s">
        <v>275</v>
      </c>
      <c r="AI65" s="159" t="s">
        <v>275</v>
      </c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149999999999999" customHeight="1" x14ac:dyDescent="0.25">
      <c r="A66" s="1"/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49</v>
      </c>
      <c r="Y66" s="150">
        <f>平成16年度!C17</f>
        <v>51783</v>
      </c>
      <c r="Z66" s="151">
        <f>平成16年度!H17</f>
        <v>98112</v>
      </c>
      <c r="AA66" s="151">
        <f>平成16年度!Z66-平成16年度!AB66-平成16年度!AC66</f>
        <v>55147</v>
      </c>
      <c r="AB66" s="151">
        <f>平成16年度!K17</f>
        <v>23730</v>
      </c>
      <c r="AC66" s="152">
        <f>平成16年度!AD65+平成16年度!AD66</f>
        <v>19235</v>
      </c>
      <c r="AD66" s="153">
        <f>平成16年度!N17</f>
        <v>6247</v>
      </c>
      <c r="AE66" s="151">
        <f>平成16年度!R17</f>
        <v>113822</v>
      </c>
      <c r="AF66" s="150">
        <f>平成16年度!S17</f>
        <v>298525</v>
      </c>
      <c r="AG66" s="154">
        <f>平成16年度!Y66/+平成16年度!AE66</f>
        <v>0.45494719825692748</v>
      </c>
      <c r="AH66" s="155">
        <f>平成16年度!Z66/+平成16年度!AF66</f>
        <v>0.32865589146637636</v>
      </c>
      <c r="AI66" s="156">
        <f>平成16年度!AC66/+平成16年度!Z66</f>
        <v>0.19605145140247879</v>
      </c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20.149999999999999" customHeight="1" x14ac:dyDescent="0.2">
      <c r="A67" s="1"/>
      <c r="B67" s="121" t="s">
        <v>1241</v>
      </c>
      <c r="C67" s="122" t="e">
        <f>平成16年度!C66/平成16年度!C64</f>
        <v>#VALUE!</v>
      </c>
      <c r="D67" s="122" t="e">
        <f>平成16年度!D66/平成16年度!D64</f>
        <v>#VALUE!</v>
      </c>
      <c r="E67" s="122" t="e">
        <f>平成16年度!E66/平成16年度!E64</f>
        <v>#VALUE!</v>
      </c>
      <c r="F67" s="122" t="e">
        <f>ROUND(+平成16年度!F66/平成16年度!F64,4)</f>
        <v>#VALUE!</v>
      </c>
      <c r="G67" s="122" t="e">
        <f>ROUND((+平成16年度!E67+平成16年度!F67)/2,4)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平成16年度!M18</f>
        <v>13677</v>
      </c>
      <c r="AE67" s="144"/>
      <c r="AF67" s="143"/>
      <c r="AG67" s="158" t="s">
        <v>275</v>
      </c>
      <c r="AH67" s="147" t="s">
        <v>275</v>
      </c>
      <c r="AI67" s="159" t="s">
        <v>275</v>
      </c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20.149999999999999" customHeight="1" x14ac:dyDescent="0.2">
      <c r="A68" s="1"/>
      <c r="B68" s="121" t="s">
        <v>509</v>
      </c>
      <c r="C68" s="121"/>
      <c r="D68" s="122" t="e">
        <f>平成16年度!D66/平成16年度!C66</f>
        <v>#VALUE!</v>
      </c>
      <c r="E68" s="122">
        <f>平成16年度!E66/平成16年度!D66</f>
        <v>0.25925412132844117</v>
      </c>
      <c r="F68" s="122">
        <f>ROUND(+平成16年度!F66/平成16年度!E66,4)</f>
        <v>1.0185999999999999</v>
      </c>
      <c r="G68" s="122">
        <f>ROUND(+平成16年度!G66/平成16年度!F66,4)</f>
        <v>1.0221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50</v>
      </c>
      <c r="Y68" s="150">
        <f>平成16年度!C18</f>
        <v>53828</v>
      </c>
      <c r="Z68" s="151">
        <f>平成16年度!H18</f>
        <v>102182</v>
      </c>
      <c r="AA68" s="151">
        <f>平成16年度!Z68-平成16年度!AB68-平成16年度!AC68</f>
        <v>57399</v>
      </c>
      <c r="AB68" s="151">
        <f>平成16年度!K18</f>
        <v>24622</v>
      </c>
      <c r="AC68" s="152">
        <f>平成16年度!AD67+平成16年度!AD68</f>
        <v>20161</v>
      </c>
      <c r="AD68" s="153">
        <f>平成16年度!N18</f>
        <v>6484</v>
      </c>
      <c r="AE68" s="151">
        <f>平成16年度!R18</f>
        <v>117970</v>
      </c>
      <c r="AF68" s="150">
        <f>平成16年度!S18</f>
        <v>309998</v>
      </c>
      <c r="AG68" s="154">
        <f>平成16年度!Y68/+平成16年度!AE68</f>
        <v>0.45628549631262183</v>
      </c>
      <c r="AH68" s="155">
        <f>平成16年度!Z68/+平成16年度!AF68</f>
        <v>0.32962148142891246</v>
      </c>
      <c r="AI68" s="156">
        <f>平成16年度!AC68/+平成16年度!Z68</f>
        <v>0.19730480906617603</v>
      </c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20.14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275</v>
      </c>
      <c r="AB69" s="144"/>
      <c r="AC69" s="157"/>
      <c r="AD69" s="146">
        <f>平成16年度!M19</f>
        <v>13740</v>
      </c>
      <c r="AE69" s="144"/>
      <c r="AF69" s="143"/>
      <c r="AG69" s="158" t="s">
        <v>275</v>
      </c>
      <c r="AH69" s="147" t="s">
        <v>275</v>
      </c>
      <c r="AI69" s="159" t="s">
        <v>275</v>
      </c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20.149999999999999" customHeight="1" x14ac:dyDescent="0.2">
      <c r="A70" s="1"/>
      <c r="B70" s="1"/>
      <c r="C70" s="1"/>
      <c r="D70" s="1" t="e">
        <f>平成16年度!C67*平成16年度!D64</f>
        <v>#VALUE!</v>
      </c>
      <c r="E70" s="1" t="e">
        <f>平成16年度!D67*平成16年度!E64</f>
        <v>#VALUE!</v>
      </c>
      <c r="F70" s="1" t="e">
        <f>平成16年度!E67*平成16年度!F64</f>
        <v>#VALUE!</v>
      </c>
      <c r="G70" s="1" t="e">
        <f>平成16年度!F67*平成16年度!G64</f>
        <v>#VALUE!</v>
      </c>
      <c r="H70" s="162" t="e">
        <f>IF(+平成16年度!G67*平成16年度!H64&gt;0,ROUNDDOWN(+平成16年度!G67*平成16年度!H64,-2),ROUNDUP(+平成16年度!G67*平成16年度!H64,-2))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51</v>
      </c>
      <c r="Y70" s="150">
        <f>平成16年度!C19</f>
        <v>53871</v>
      </c>
      <c r="Z70" s="151">
        <f>平成16年度!H19</f>
        <v>102115</v>
      </c>
      <c r="AA70" s="151">
        <f>平成16年度!Z70-平成16年度!AB70-平成16年度!AC70</f>
        <v>57370</v>
      </c>
      <c r="AB70" s="151">
        <f>平成16年度!K19</f>
        <v>24502</v>
      </c>
      <c r="AC70" s="152">
        <f>平成16年度!AD69+平成16年度!AD70</f>
        <v>20243</v>
      </c>
      <c r="AD70" s="153">
        <f>平成16年度!N19</f>
        <v>6503</v>
      </c>
      <c r="AE70" s="151">
        <f>平成16年度!R19</f>
        <v>118183</v>
      </c>
      <c r="AF70" s="150">
        <f>平成16年度!S19</f>
        <v>309648</v>
      </c>
      <c r="AG70" s="154">
        <f>平成16年度!Y70/+平成16年度!AE70</f>
        <v>0.45582698019173656</v>
      </c>
      <c r="AH70" s="155">
        <f>平成16年度!Z70/+平成16年度!AF70</f>
        <v>0.32977768304655608</v>
      </c>
      <c r="AI70" s="156">
        <f>平成16年度!AC70/+平成16年度!Z70</f>
        <v>0.19823728149635214</v>
      </c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20.14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平成16年度!AD47+平成16年度!AD49+平成16年度!AD51+平成16年度!AD53+平成16年度!AD55+平成16年度!AD57+平成16年度!AD59+平成16年度!AD61+平成16年度!AD63+平成16年度!AD65+平成16年度!AD67+平成16年度!AD69</f>
        <v>153217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20.14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52</v>
      </c>
      <c r="Y72" s="150">
        <f>SUM(平成16年度!Y48:Y70)</f>
        <v>623211</v>
      </c>
      <c r="Z72" s="151">
        <f>SUM(平成16年度!Z48:Z70)</f>
        <v>1184368</v>
      </c>
      <c r="AA72" s="151">
        <f>SUM(平成16年度!AA48:AA70)</f>
        <v>668057</v>
      </c>
      <c r="AB72" s="151">
        <f>SUM(平成16年度!AB48:AB70)</f>
        <v>289814</v>
      </c>
      <c r="AC72" s="152">
        <f>SUM(平成16年度!AC48:AC70)</f>
        <v>226497</v>
      </c>
      <c r="AD72" s="153">
        <f>平成16年度!AD48+平成16年度!AD50+平成16年度!AD52+平成16年度!AD54+平成16年度!AD56+平成16年度!AD58+平成16年度!AD60+平成16年度!AD62+平成16年度!AD64+平成16年度!AD66+平成16年度!AD68+平成16年度!AD70</f>
        <v>73280</v>
      </c>
      <c r="AE72" s="150">
        <f>SUM(平成16年度!AE48:AE70)</f>
        <v>1369795</v>
      </c>
      <c r="AF72" s="151">
        <f>SUM(平成16年度!AF48:AF70)</f>
        <v>3600295</v>
      </c>
      <c r="AG72" s="154">
        <f>平成16年度!Y72/+平成16年度!AE72</f>
        <v>0.45496661909263797</v>
      </c>
      <c r="AH72" s="155">
        <f>平成16年度!Z72/+平成16年度!AF72</f>
        <v>0.32896415432624271</v>
      </c>
      <c r="AI72" s="156">
        <f>平成16年度!AC72/+平成16年度!Z72</f>
        <v>0.19123870283560515</v>
      </c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20.14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69</v>
      </c>
      <c r="Y73" s="143" t="s">
        <v>69</v>
      </c>
      <c r="Z73" s="144" t="s">
        <v>69</v>
      </c>
      <c r="AA73" s="144" t="e">
        <f>平成16年度!AA74+平成16年度!AB74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20.149999999999999" customHeight="1" x14ac:dyDescent="0.2">
      <c r="A74" s="1"/>
      <c r="B74" s="1"/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平成16年度!Y74/+平成16年度!AE74</f>
        <v>#VALUE!</v>
      </c>
      <c r="AH74" s="170" t="e">
        <f>平成16年度!Z74/+平成16年度!AF74</f>
        <v>#VALUE!</v>
      </c>
      <c r="AI74" s="171" t="e">
        <f>平成16年度!AC74/+平成16年度!Z74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平成16年度!M2+平成16年度!AD47+平成16年度!AD49+平成16年度!AD51+平成16年度!AD53+平成16年度!AD55+平成16年度!AD57+平成16年度!AD59+平成16年度!AD61+平成16年度!AD63</f>
        <v>148013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20.149999999999999" customHeight="1" x14ac:dyDescent="0.2">
      <c r="A76" s="1" t="s">
        <v>1339</v>
      </c>
      <c r="B76" s="1">
        <v>2</v>
      </c>
      <c r="C76" s="1">
        <f>平成16年度!C75+平成16年度!C77</f>
        <v>478663</v>
      </c>
      <c r="D76" s="1">
        <f>平成16年度!D75+平成16年度!D77</f>
        <v>497118</v>
      </c>
      <c r="E76" s="1">
        <f>平成16年度!E75+平成16年度!E77</f>
        <v>515553</v>
      </c>
      <c r="F76" s="1">
        <f>平成16年度!F75+平成16年度!F77</f>
        <v>534452</v>
      </c>
      <c r="G76" s="1">
        <f>平成16年度!G75+平成16年度!G77</f>
        <v>555972</v>
      </c>
      <c r="H76" s="1">
        <f>平成16年度!H75+平成16年度!H77</f>
        <v>584076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593</v>
      </c>
      <c r="X76" s="134" t="s">
        <v>52</v>
      </c>
      <c r="Y76" s="181">
        <f>平成16年度!C2+SUM(平成16年度!Y48:Y64)</f>
        <v>615540</v>
      </c>
      <c r="Z76" s="182">
        <f>平成16年度!H2+SUM(平成16年度!Z48:Z64)</f>
        <v>1172059</v>
      </c>
      <c r="AA76" s="182">
        <f>平成16年度!J2+SUM(平成16年度!AA48:AA64)</f>
        <v>663110</v>
      </c>
      <c r="AB76" s="182">
        <f>平成16年度!K2+SUM(平成16年度!AB48:AB64)</f>
        <v>290250</v>
      </c>
      <c r="AC76" s="183">
        <f>平成16年度!L2+SUM(平成16年度!AC48:AC64)</f>
        <v>218699</v>
      </c>
      <c r="AD76" s="184">
        <f>平成16年度!N2+平成16年度!AD48+平成16年度!AD50+平成16年度!AD52+平成16年度!AD54+平成16年度!AD56+平成16年度!AD58+平成16年度!AD60+平成16年度!AD62+平成16年度!AD64</f>
        <v>70686</v>
      </c>
      <c r="AE76" s="181">
        <f>平成16年度!R2+SUM(平成16年度!AE48:AE64)</f>
        <v>1356359</v>
      </c>
      <c r="AF76" s="182">
        <f>平成16年度!S2+SUM(平成16年度!AF48:AF64)</f>
        <v>3573932</v>
      </c>
      <c r="AG76" s="185">
        <f>平成16年度!Y76/+平成16年度!AE76</f>
        <v>0.45381790514163284</v>
      </c>
      <c r="AH76" s="186">
        <f>平成16年度!Z76/+平成16年度!AF76</f>
        <v>0.32794664252145816</v>
      </c>
      <c r="AI76" s="187">
        <f>平成16年度!AC76/+平成16年度!Z76</f>
        <v>0.1865938489444644</v>
      </c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平成16年度!H27</f>
        <v>489348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1343</v>
      </c>
      <c r="X77" s="142" t="s">
        <v>69</v>
      </c>
      <c r="Y77" s="189"/>
      <c r="Z77" s="190"/>
      <c r="AA77" s="190" t="e">
        <f>平成16年度!AA78+平成16年度!AB78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平成16年度!H20</f>
        <v>1184368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平成16年度!Y78/+平成16年度!AE78</f>
        <v>#VALUE!</v>
      </c>
      <c r="AH78" s="202" t="e">
        <f>平成16年度!Z78/+平成16年度!AF78</f>
        <v>#VALUE!</v>
      </c>
      <c r="AI78" s="203" t="e">
        <f>平成16年度!AC78/+平成16年度!Z78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20.149999999999999" customHeight="1" x14ac:dyDescent="0.2">
      <c r="A79" s="1"/>
      <c r="B79" s="1"/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平成16年度!H21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20.149999999999999" customHeight="1" x14ac:dyDescent="0.2">
      <c r="A80" s="1" t="s">
        <v>1347</v>
      </c>
      <c r="B80" s="1"/>
      <c r="C80" s="204">
        <f>ROUND(+平成16年度!C78/平成16年度!C76,8)</f>
        <v>2.02529337</v>
      </c>
      <c r="D80" s="204">
        <f>ROUND(+平成16年度!D78/平成16年度!D76,8)</f>
        <v>2.0240164300000001</v>
      </c>
      <c r="E80" s="204">
        <f>ROUND(+平成16年度!E78/平成16年度!E76,8)</f>
        <v>2.02072144</v>
      </c>
      <c r="F80" s="204">
        <f>ROUND(+平成16年度!F78/平成16年度!F76,8)</f>
        <v>2.0253886200000002</v>
      </c>
      <c r="G80" s="204">
        <f>ROUND(+平成16年度!G78/平成16年度!G76,8)</f>
        <v>2.02343283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20.149999999999999" customHeight="1" x14ac:dyDescent="0.2">
      <c r="A81" s="1" t="s">
        <v>1348</v>
      </c>
      <c r="B81" s="1"/>
      <c r="C81" s="204">
        <f>ROUND(+平成16年度!C78/平成16年度!C77,8)</f>
        <v>2.4246736000000002</v>
      </c>
      <c r="D81" s="204">
        <f>ROUND(+平成16年度!D78/平成16年度!D77,8)</f>
        <v>2.4232626499999999</v>
      </c>
      <c r="E81" s="204">
        <f>ROUND(+平成16年度!E78/平成16年度!E77,8)</f>
        <v>2.4196870499999998</v>
      </c>
      <c r="F81" s="204">
        <f>ROUND(+平成16年度!F78/平成16年度!F77,8)</f>
        <v>2.4238196300000001</v>
      </c>
      <c r="G81" s="204">
        <f>ROUND(+平成16年度!G78/平成16年度!G77,8)</f>
        <v>2.42133062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20.149999999999999" customHeight="1" x14ac:dyDescent="0.2">
      <c r="A82" s="1" t="s">
        <v>1349</v>
      </c>
      <c r="B82" s="1"/>
      <c r="C82" s="1"/>
      <c r="D82" s="204">
        <f>ROUND(+平成16年度!D78/平成16年度!C78,8)</f>
        <v>1.0379004999999999</v>
      </c>
      <c r="E82" s="204">
        <f>ROUND(+平成16年度!E78/平成16年度!D78,8)</f>
        <v>1.0353954299999999</v>
      </c>
      <c r="F82" s="204">
        <f>ROUND(+平成16年度!F78/平成16年度!E78,8)</f>
        <v>1.03905205</v>
      </c>
      <c r="G82" s="204">
        <f>ROUND(+平成16年度!G78/平成16年度!F78,8)</f>
        <v>1.03926103</v>
      </c>
      <c r="H82" s="204" t="s">
        <v>275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20.149999999999999" customHeight="1" x14ac:dyDescent="0.2">
      <c r="A83" s="1" t="s">
        <v>1351</v>
      </c>
      <c r="B83" s="1"/>
      <c r="C83" s="1"/>
      <c r="D83" s="1"/>
      <c r="E83" s="1">
        <f>(+平成16年度!C81+平成16年度!D81)/2*平成16年度!E77/12</f>
        <v>86969.35035953125</v>
      </c>
      <c r="F83" s="1">
        <f>(+平成16年度!D81+平成16年度!E81)/2*平成16年度!F77/12</f>
        <v>90118.818755025</v>
      </c>
      <c r="G83" s="1">
        <f>(+平成16年度!E81+平成16年度!F81)/2*平成16年度!G77/12</f>
        <v>93764.033128671654</v>
      </c>
      <c r="H83" s="1">
        <f>(+平成16年度!F81+平成16年度!G81)/2*平成16年度!H77/12</f>
        <v>98790.191022375002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20.14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20.14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20.149999999999999" customHeight="1" x14ac:dyDescent="0.2">
      <c r="A86" s="1"/>
      <c r="B86" s="1"/>
      <c r="C86" s="1"/>
      <c r="D86" s="1"/>
      <c r="E86" s="1"/>
      <c r="F86" s="1" t="e">
        <f>(+平成16年度!D82+平成16年度!E82)/2*平成16年度!E79</f>
        <v>#VALUE!</v>
      </c>
      <c r="G86" s="1" t="e">
        <f>(+平成16年度!E82+平成16年度!F82)/2*平成16年度!F79</f>
        <v>#VALUE!</v>
      </c>
      <c r="H86" s="1" t="e">
        <f>(+平成16年度!F82+平成16年度!G82)/2*平成16年度!G79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4" orientation="landscape" horizontalDpi="400" verticalDpi="300" r:id="rId1"/>
  <headerFooter alignWithMargins="0">
    <oddHeader>&amp;L</oddHeader>
    <oddFooter>&amp;L&amp;Z&amp;F&amp;R&amp;F&amp;A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R8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9" sqref="C19"/>
    </sheetView>
  </sheetViews>
  <sheetFormatPr defaultColWidth="10" defaultRowHeight="14" x14ac:dyDescent="0.2"/>
  <cols>
    <col min="1" max="1" width="10" style="206" customWidth="1"/>
    <col min="2" max="2" width="9.75" style="206" customWidth="1"/>
    <col min="3" max="3" width="9.33203125" style="206" customWidth="1"/>
    <col min="4" max="4" width="9" style="206" customWidth="1"/>
    <col min="5" max="5" width="8.83203125" style="206" customWidth="1"/>
    <col min="6" max="6" width="9" style="206" customWidth="1"/>
    <col min="7" max="7" width="8.75" style="206" customWidth="1"/>
    <col min="8" max="8" width="11.08203125" style="206" customWidth="1"/>
    <col min="9" max="12" width="10" style="206" customWidth="1"/>
    <col min="13" max="13" width="9.33203125" style="206" customWidth="1"/>
    <col min="14" max="14" width="9.25" style="206" customWidth="1"/>
    <col min="15" max="15" width="10.75" style="206" customWidth="1"/>
    <col min="16" max="16" width="9" style="206" customWidth="1"/>
    <col min="17" max="17" width="8.58203125" style="206" customWidth="1"/>
    <col min="18" max="18" width="11" style="206" customWidth="1"/>
    <col min="19" max="19" width="10.83203125" style="206" customWidth="1"/>
    <col min="20" max="20" width="10.58203125" style="206" customWidth="1"/>
    <col min="21" max="21" width="11.58203125" style="206" customWidth="1"/>
    <col min="22" max="22" width="10.58203125" style="206" customWidth="1"/>
    <col min="23" max="16384" width="10" style="206"/>
  </cols>
  <sheetData>
    <row r="1" spans="1:44" ht="20.149999999999999" customHeight="1" x14ac:dyDescent="0.2">
      <c r="A1" s="1"/>
      <c r="B1" s="1" t="s">
        <v>2811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1032</v>
      </c>
      <c r="AK1" s="1"/>
      <c r="AL1" s="1"/>
      <c r="AM1" s="1"/>
      <c r="AN1" s="1"/>
      <c r="AO1" s="1"/>
      <c r="AP1" s="1"/>
      <c r="AQ1" s="1"/>
      <c r="AR1" s="1"/>
    </row>
    <row r="2" spans="1:44" ht="20.149999999999999" customHeight="1" x14ac:dyDescent="0.2">
      <c r="A2" s="2" t="s">
        <v>815</v>
      </c>
      <c r="B2" s="1"/>
      <c r="C2" s="205">
        <f>SUM(平成16年度!C17:C19)</f>
        <v>159482</v>
      </c>
      <c r="D2" s="205">
        <f>SUM(平成16年度!D17:D19)</f>
        <v>132150</v>
      </c>
      <c r="E2" s="205">
        <f>SUM(平成16年度!E17:E19)</f>
        <v>123264</v>
      </c>
      <c r="F2" s="205">
        <f>SUM(平成16年度!F17:F19)</f>
        <v>8886</v>
      </c>
      <c r="G2" s="205">
        <f>SUM(平成16年度!G17:G19)</f>
        <v>27332</v>
      </c>
      <c r="H2" s="205">
        <f>SUM(平成16年度!H17:H19)</f>
        <v>302409</v>
      </c>
      <c r="I2" s="205">
        <f>SUM(平成16年度!I17:I19)</f>
        <v>242770</v>
      </c>
      <c r="J2" s="205">
        <f>SUM(平成16年度!J17:J19)</f>
        <v>169916</v>
      </c>
      <c r="K2" s="205">
        <f>SUM(平成16年度!K17:K19)</f>
        <v>72854</v>
      </c>
      <c r="L2" s="205">
        <f>SUM(平成16年度!L17:L19)</f>
        <v>59639</v>
      </c>
      <c r="M2" s="205">
        <f>SUM(平成16年度!M17:M19)</f>
        <v>40405</v>
      </c>
      <c r="N2" s="205">
        <f>SUM(平成16年度!N17:N19)</f>
        <v>19234</v>
      </c>
      <c r="O2" s="205">
        <f>SUM(平成16年度!O17:O19)</f>
        <v>90431</v>
      </c>
      <c r="P2" s="205">
        <f>SUM(平成16年度!P17:P19)</f>
        <v>66606</v>
      </c>
      <c r="Q2" s="205">
        <f>SUM(平成16年度!Q17:Q19)</f>
        <v>23825</v>
      </c>
      <c r="R2" s="205">
        <f>SUM(平成16年度!R17:R19)</f>
        <v>349975</v>
      </c>
      <c r="S2" s="205">
        <f>SUM(平成16年度!S17:S19)</f>
        <v>918171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0.149999999999999" customHeight="1" x14ac:dyDescent="0.2">
      <c r="A3" s="2" t="s">
        <v>816</v>
      </c>
      <c r="B3" s="3"/>
      <c r="C3" s="3" t="s">
        <v>2812</v>
      </c>
      <c r="D3" s="3"/>
      <c r="E3" s="3" t="s">
        <v>1357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9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1055</v>
      </c>
      <c r="AK4" s="18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ROUND(+平成17年度!AK4/平成17年度!AM4,4)</f>
        <v>#VALUE!</v>
      </c>
      <c r="AP4" s="22" t="e">
        <f>ROUND(+平成17年度!AL4/平成17年度!AN4,4)</f>
        <v>#VALUE!</v>
      </c>
      <c r="AQ4" s="1"/>
      <c r="AR4" s="1"/>
    </row>
    <row r="5" spans="1:44" ht="20.149999999999999" customHeight="1" x14ac:dyDescent="0.2">
      <c r="A5" s="2" t="s">
        <v>829</v>
      </c>
      <c r="B5" s="23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26" t="s">
        <v>19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ROUND(+平成17年度!AK5/平成17年度!AM5,4)</f>
        <v>#VALUE!</v>
      </c>
      <c r="AP5" s="35" t="e">
        <f>ROUND(+平成17年度!AL5/平成17年度!AN5,4)</f>
        <v>#VALUE!</v>
      </c>
      <c r="AQ5" s="36" t="e">
        <f>ROUND((+平成17年度!AO5-平成17年度!AO4),4)</f>
        <v>#VALUE!</v>
      </c>
      <c r="AR5" s="36" t="e">
        <f>ROUND((+平成17年度!AP5-平成17年度!AP4),4)</f>
        <v>#VALUE!</v>
      </c>
    </row>
    <row r="6" spans="1:44" ht="20.149999999999999" customHeight="1" x14ac:dyDescent="0.2">
      <c r="A6" s="2" t="s">
        <v>847</v>
      </c>
      <c r="B6" s="37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ROUND(+平成17年度!AK6/平成17年度!AM6,4)</f>
        <v>0.28620000000000001</v>
      </c>
      <c r="AP6" s="35">
        <f>ROUND(+平成17年度!AL6/平成17年度!AN6,4)</f>
        <v>0.40529999999999999</v>
      </c>
      <c r="AQ6" s="36" t="e">
        <f>ROUND((+平成17年度!AO6-平成17年度!AO5),4)</f>
        <v>#VALUE!</v>
      </c>
      <c r="AR6" s="36" t="e">
        <f>ROUND((+平成17年度!AP6-平成17年度!AP5),4)</f>
        <v>#VALUE!</v>
      </c>
    </row>
    <row r="7" spans="1:44" ht="20.149999999999999" customHeight="1" x14ac:dyDescent="0.2">
      <c r="A7" s="2"/>
      <c r="B7" s="389"/>
      <c r="C7" s="334"/>
      <c r="D7" s="335"/>
      <c r="E7" s="336"/>
      <c r="F7" s="336"/>
      <c r="G7" s="337"/>
      <c r="H7" s="338"/>
      <c r="I7" s="335"/>
      <c r="J7" s="336"/>
      <c r="K7" s="336"/>
      <c r="L7" s="336"/>
      <c r="M7" s="336"/>
      <c r="N7" s="337"/>
      <c r="O7" s="334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</row>
    <row r="8" spans="1:44" ht="20.149999999999999" customHeight="1" x14ac:dyDescent="0.2">
      <c r="A8" s="2" t="s">
        <v>860</v>
      </c>
      <c r="B8" s="43" t="s">
        <v>40</v>
      </c>
      <c r="C8" s="319">
        <v>54439</v>
      </c>
      <c r="D8" s="45">
        <f>平成17年度!E8+平成17年度!F8</f>
        <v>44930</v>
      </c>
      <c r="E8" s="45">
        <f>平成17年度!C8-平成17年度!G8-平成17年度!F8</f>
        <v>41849</v>
      </c>
      <c r="F8" s="46">
        <v>3081</v>
      </c>
      <c r="G8" s="47">
        <v>9509</v>
      </c>
      <c r="H8" s="315">
        <f>平成17年度!I8+平成17年度!L8</f>
        <v>103182</v>
      </c>
      <c r="I8" s="45">
        <f>平成17年度!J8+平成17年度!K8</f>
        <v>82396</v>
      </c>
      <c r="J8" s="46">
        <f>103182-20786-24524</f>
        <v>57872</v>
      </c>
      <c r="K8" s="49">
        <v>24524</v>
      </c>
      <c r="L8" s="45">
        <f>平成17年度!M8+平成17年度!N8</f>
        <v>20786</v>
      </c>
      <c r="M8" s="46">
        <v>14086</v>
      </c>
      <c r="N8" s="47">
        <v>6700</v>
      </c>
      <c r="O8" s="319">
        <v>31083</v>
      </c>
      <c r="P8" s="45">
        <f>平成17年度!O8-平成17年度!Q8</f>
        <v>22789</v>
      </c>
      <c r="Q8" s="47">
        <v>8294</v>
      </c>
      <c r="R8" s="44">
        <v>118667</v>
      </c>
      <c r="S8" s="46">
        <v>310204</v>
      </c>
      <c r="T8" s="50">
        <f>平成17年度!C8/平成17年度!R8</f>
        <v>0.45875432934177152</v>
      </c>
      <c r="U8" s="51">
        <f>平成17年度!H8/平成17年度!S8</f>
        <v>0.3326262717437557</v>
      </c>
      <c r="V8" s="52">
        <f>平成17年度!L8/平成17年度!H8</f>
        <v>0.20144986528658099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ROUND(+平成17年度!AK8/平成17年度!AM8,4)</f>
        <v>#VALUE!</v>
      </c>
      <c r="AP8" s="35">
        <f>ROUND(+平成17年度!AL8/平成17年度!AN8,4)</f>
        <v>1.6304000000000001</v>
      </c>
      <c r="AQ8" s="36" t="e">
        <f>ROUND((+平成17年度!AO8-平成17年度!AO6),4)</f>
        <v>#VALUE!</v>
      </c>
      <c r="AR8" s="36">
        <f>ROUND((+平成17年度!AP8-平成17年度!AP6),4)</f>
        <v>1.2251000000000001</v>
      </c>
    </row>
    <row r="9" spans="1:44" ht="20.149999999999999" customHeight="1" x14ac:dyDescent="0.2">
      <c r="A9" s="2" t="s">
        <v>862</v>
      </c>
      <c r="B9" s="43" t="s">
        <v>41</v>
      </c>
      <c r="C9" s="319">
        <v>54484</v>
      </c>
      <c r="D9" s="45">
        <f>平成17年度!E9+平成17年度!F9</f>
        <v>44953</v>
      </c>
      <c r="E9" s="45">
        <f>平成17年度!C9-平成17年度!G9-平成17年度!F9</f>
        <v>41868</v>
      </c>
      <c r="F9" s="46">
        <v>3085</v>
      </c>
      <c r="G9" s="47">
        <v>9531</v>
      </c>
      <c r="H9" s="315">
        <f>平成17年度!I9+平成17年度!L9</f>
        <v>103104</v>
      </c>
      <c r="I9" s="45">
        <f>平成17年度!J9+平成17年度!K9</f>
        <v>82290</v>
      </c>
      <c r="J9" s="46">
        <f>103104-20814-24416</f>
        <v>57874</v>
      </c>
      <c r="K9" s="49">
        <v>24416</v>
      </c>
      <c r="L9" s="45">
        <f>平成17年度!M9+平成17年度!N9</f>
        <v>20814</v>
      </c>
      <c r="M9" s="46">
        <v>14117</v>
      </c>
      <c r="N9" s="47">
        <v>6697</v>
      </c>
      <c r="O9" s="319">
        <v>31039</v>
      </c>
      <c r="P9" s="45">
        <f>平成17年度!O9-平成17年度!Q9</f>
        <v>22828</v>
      </c>
      <c r="Q9" s="47">
        <v>8211</v>
      </c>
      <c r="R9" s="44">
        <v>118897</v>
      </c>
      <c r="S9" s="46">
        <v>310384</v>
      </c>
      <c r="T9" s="50">
        <f>平成17年度!C9/平成17年度!R9</f>
        <v>0.45824537204471094</v>
      </c>
      <c r="U9" s="51">
        <f>平成17年度!H9/平成17年度!S9</f>
        <v>0.33218207124078558</v>
      </c>
      <c r="V9" s="52">
        <f>平成17年度!L9/平成17年度!H9</f>
        <v>0.20187383612662943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ROUND(+平成17年度!AK9/平成17年度!AM9,4)</f>
        <v>#VALUE!</v>
      </c>
      <c r="AP9" s="35">
        <f>ROUND(+平成17年度!AL9/平成17年度!AN9,4)</f>
        <v>1.6746000000000001</v>
      </c>
      <c r="AQ9" s="36" t="e">
        <f>ROUND((+平成17年度!AO9-平成17年度!AO8),4)</f>
        <v>#VALUE!</v>
      </c>
      <c r="AR9" s="36">
        <f>ROUND((+平成17年度!AP9-平成17年度!AP8),4)</f>
        <v>4.4200000000000003E-2</v>
      </c>
    </row>
    <row r="10" spans="1:44" ht="20.149999999999999" customHeight="1" x14ac:dyDescent="0.2">
      <c r="A10" s="2" t="s">
        <v>864</v>
      </c>
      <c r="B10" s="53" t="s">
        <v>42</v>
      </c>
      <c r="C10" s="319">
        <v>54523</v>
      </c>
      <c r="D10" s="55">
        <f>平成17年度!E10+平成17年度!F10</f>
        <v>44940</v>
      </c>
      <c r="E10" s="55">
        <f>平成17年度!C10-平成17年度!G10-平成17年度!F10</f>
        <v>41864</v>
      </c>
      <c r="F10" s="46">
        <v>3076</v>
      </c>
      <c r="G10" s="47">
        <v>9583</v>
      </c>
      <c r="H10" s="315">
        <f>平成17年度!I10+平成17年度!L10</f>
        <v>103041</v>
      </c>
      <c r="I10" s="55">
        <f>平成17年度!J10+平成17年度!K10</f>
        <v>82149</v>
      </c>
      <c r="J10" s="46">
        <f>103041-20892-24329</f>
        <v>57820</v>
      </c>
      <c r="K10" s="49">
        <v>24329</v>
      </c>
      <c r="L10" s="55">
        <f>平成17年度!M10+平成17年度!N10</f>
        <v>20892</v>
      </c>
      <c r="M10" s="46">
        <v>14170</v>
      </c>
      <c r="N10" s="47">
        <v>6722</v>
      </c>
      <c r="O10" s="319">
        <v>30961</v>
      </c>
      <c r="P10" s="55">
        <f>平成17年度!O10-平成17年度!Q10</f>
        <v>22811</v>
      </c>
      <c r="Q10" s="47">
        <v>8150</v>
      </c>
      <c r="R10" s="44">
        <v>119036</v>
      </c>
      <c r="S10" s="46">
        <v>310523</v>
      </c>
      <c r="T10" s="60">
        <f>平成17年度!C10/平成17年度!R10</f>
        <v>0.45803790449947918</v>
      </c>
      <c r="U10" s="61">
        <f>平成17年度!H10/平成17年度!S10</f>
        <v>0.33183049242729201</v>
      </c>
      <c r="V10" s="62">
        <f>平成17年度!L10/平成17年度!H10</f>
        <v>0.20275424345648818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ROUND(+平成17年度!AK10/平成17年度!AM10,4)</f>
        <v>#VALUE!</v>
      </c>
      <c r="AP10" s="68">
        <f>ROUND(+平成17年度!AL10/平成17年度!AN10,4)</f>
        <v>1.7114</v>
      </c>
      <c r="AQ10" s="36" t="e">
        <f>ROUND((+平成17年度!AO10-平成17年度!AO9),4)</f>
        <v>#VALUE!</v>
      </c>
      <c r="AR10" s="36">
        <f>ROUND((+平成17年度!AP10-平成17年度!AP9),4)</f>
        <v>3.6799999999999999E-2</v>
      </c>
    </row>
    <row r="11" spans="1:44" ht="20.149999999999999" customHeight="1" x14ac:dyDescent="0.2">
      <c r="A11" s="2" t="s">
        <v>866</v>
      </c>
      <c r="B11" s="53" t="s">
        <v>43</v>
      </c>
      <c r="C11" s="319">
        <v>54589</v>
      </c>
      <c r="D11" s="55">
        <f>平成17年度!E11+平成17年度!F11</f>
        <v>44753</v>
      </c>
      <c r="E11" s="55">
        <f>平成17年度!C11-平成17年度!G11-平成17年度!F11</f>
        <v>41620</v>
      </c>
      <c r="F11" s="46">
        <v>3133</v>
      </c>
      <c r="G11" s="47">
        <v>9836</v>
      </c>
      <c r="H11" s="315">
        <f>平成17年度!I11+平成17年度!L11</f>
        <v>103023</v>
      </c>
      <c r="I11" s="55">
        <f>平成17年度!J11+平成17年度!K11</f>
        <v>81609</v>
      </c>
      <c r="J11" s="46">
        <f>103023-21414-24260</f>
        <v>57349</v>
      </c>
      <c r="K11" s="49">
        <v>24260</v>
      </c>
      <c r="L11" s="55">
        <f>平成17年度!M11+平成17年度!N11</f>
        <v>21414</v>
      </c>
      <c r="M11" s="46">
        <v>14527</v>
      </c>
      <c r="N11" s="47">
        <v>6887</v>
      </c>
      <c r="O11" s="319">
        <v>30927</v>
      </c>
      <c r="P11" s="55">
        <f>平成17年度!O11-平成17年度!Q11</f>
        <v>22479</v>
      </c>
      <c r="Q11" s="47">
        <v>8448</v>
      </c>
      <c r="R11" s="44">
        <v>119138</v>
      </c>
      <c r="S11" s="46">
        <v>310639</v>
      </c>
      <c r="T11" s="60">
        <f>平成17年度!C11/平成17年度!R11</f>
        <v>0.45819973476136916</v>
      </c>
      <c r="U11" s="61">
        <f>平成17年度!H11/平成17年度!S11</f>
        <v>0.33164863394486849</v>
      </c>
      <c r="V11" s="62">
        <f>平成17年度!L11/平成17年度!H11</f>
        <v>0.2078564980635392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907</v>
      </c>
      <c r="AK11" s="70" t="e">
        <f>平成17年度!H21</f>
        <v>#VALUE!</v>
      </c>
      <c r="AL11" s="71">
        <f>平成17年度!C21</f>
        <v>54643.75</v>
      </c>
      <c r="AM11" s="72">
        <f>平成17年度!S21</f>
        <v>310872.41666666669</v>
      </c>
      <c r="AN11" s="72">
        <f>平成17年度!R21</f>
        <v>119558.91666666667</v>
      </c>
      <c r="AO11" s="73" t="e">
        <f>ROUND(+平成17年度!AK11/平成17年度!AM11,4)</f>
        <v>#VALUE!</v>
      </c>
      <c r="AP11" s="74">
        <f>ROUND(+平成17年度!AL11/平成17年度!AN11,4)</f>
        <v>0.45700000000000002</v>
      </c>
      <c r="AQ11" s="36" t="e">
        <f>ROUND((+平成17年度!AO11-平成17年度!AO10),4)</f>
        <v>#VALUE!</v>
      </c>
      <c r="AR11" s="36">
        <f>ROUND((+平成17年度!AP11-平成17年度!AP10),4)</f>
        <v>-1.2544</v>
      </c>
    </row>
    <row r="12" spans="1:44" ht="20.149999999999999" customHeight="1" x14ac:dyDescent="0.2">
      <c r="A12" s="2" t="s">
        <v>868</v>
      </c>
      <c r="B12" s="53" t="s">
        <v>44</v>
      </c>
      <c r="C12" s="319">
        <v>54603</v>
      </c>
      <c r="D12" s="55">
        <f>平成17年度!E12+平成17年度!F12</f>
        <v>44728</v>
      </c>
      <c r="E12" s="55">
        <f>平成17年度!C12-平成17年度!G12-平成17年度!F12</f>
        <v>41593</v>
      </c>
      <c r="F12" s="46">
        <v>3135</v>
      </c>
      <c r="G12" s="47">
        <v>9875</v>
      </c>
      <c r="H12" s="315">
        <f>平成17年度!I12+平成17年度!L12</f>
        <v>102927</v>
      </c>
      <c r="I12" s="55">
        <f>平成17年度!J12+平成17年度!K12</f>
        <v>81446</v>
      </c>
      <c r="J12" s="46">
        <f>102927-24189-21481</f>
        <v>57257</v>
      </c>
      <c r="K12" s="49">
        <v>24189</v>
      </c>
      <c r="L12" s="55">
        <f>平成17年度!M12+平成17年度!N12</f>
        <v>21481</v>
      </c>
      <c r="M12" s="46">
        <v>14570</v>
      </c>
      <c r="N12" s="47">
        <v>6911</v>
      </c>
      <c r="O12" s="319">
        <v>30777</v>
      </c>
      <c r="P12" s="55">
        <f>平成17年度!O12-平成17年度!Q12</f>
        <v>22402</v>
      </c>
      <c r="Q12" s="47">
        <v>8375</v>
      </c>
      <c r="R12" s="44">
        <v>119355</v>
      </c>
      <c r="S12" s="46">
        <v>310840</v>
      </c>
      <c r="T12" s="60">
        <f>平成17年度!C12/平成17年度!R12</f>
        <v>0.45748397637300492</v>
      </c>
      <c r="U12" s="61">
        <f>平成17年度!H12/平成17年度!S12</f>
        <v>0.33112533779436365</v>
      </c>
      <c r="V12" s="62">
        <f>平成17年度!L12/平成17年度!H12</f>
        <v>0.20870131258076113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1103</v>
      </c>
      <c r="AK12" s="1"/>
      <c r="AL12" s="1"/>
      <c r="AM12" s="1"/>
      <c r="AN12" s="1"/>
      <c r="AO12" s="1"/>
      <c r="AP12" s="1"/>
      <c r="AQ12" s="1"/>
      <c r="AR12" s="1"/>
    </row>
    <row r="13" spans="1:44" ht="20.149999999999999" customHeight="1" x14ac:dyDescent="0.2">
      <c r="A13" s="75" t="s">
        <v>275</v>
      </c>
      <c r="B13" s="43" t="s">
        <v>45</v>
      </c>
      <c r="C13" s="319">
        <v>54604</v>
      </c>
      <c r="D13" s="45">
        <f>平成17年度!E13+平成17年度!F13</f>
        <v>44633</v>
      </c>
      <c r="E13" s="45">
        <f>平成17年度!C13-平成17年度!G13-平成17年度!F13</f>
        <v>41507</v>
      </c>
      <c r="F13" s="46">
        <v>3126</v>
      </c>
      <c r="G13" s="47">
        <v>9971</v>
      </c>
      <c r="H13" s="315">
        <f>平成17年度!I13+平成17年度!L13</f>
        <v>102829</v>
      </c>
      <c r="I13" s="45">
        <f>平成17年度!J13+平成17年度!K13</f>
        <v>81231</v>
      </c>
      <c r="J13" s="46">
        <v>57107</v>
      </c>
      <c r="K13" s="49">
        <v>24124</v>
      </c>
      <c r="L13" s="45">
        <f>平成17年度!M13+平成17年度!N13</f>
        <v>21598</v>
      </c>
      <c r="M13" s="46">
        <v>14666</v>
      </c>
      <c r="N13" s="47">
        <v>6932</v>
      </c>
      <c r="O13" s="319">
        <v>30640</v>
      </c>
      <c r="P13" s="45">
        <f>平成17年度!O13-平成17年度!Q13</f>
        <v>22293</v>
      </c>
      <c r="Q13" s="47">
        <v>8347</v>
      </c>
      <c r="R13" s="44">
        <v>119538</v>
      </c>
      <c r="S13" s="46">
        <v>310966</v>
      </c>
      <c r="T13" s="50">
        <f>平成17年度!C13/平成17年度!R13</f>
        <v>0.45679198246582675</v>
      </c>
      <c r="U13" s="51">
        <f>平成17年度!H13/平成17年度!S13</f>
        <v>0.33067602245904698</v>
      </c>
      <c r="V13" s="52">
        <f>平成17年度!L13/平成17年度!H13</f>
        <v>0.21003802429275789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1106</v>
      </c>
      <c r="AK13" s="76" t="e">
        <f>平成17年度!AK10/平成17年度!AK4</f>
        <v>#VALUE!</v>
      </c>
      <c r="AL13" s="77" t="e">
        <f>平成17年度!AL10/平成17年度!AL4</f>
        <v>#VALUE!</v>
      </c>
      <c r="AM13" s="77" t="e">
        <f>平成17年度!AM10/平成17年度!AM4</f>
        <v>#VALUE!</v>
      </c>
      <c r="AN13" s="77" t="e">
        <f>平成17年度!AN10/平成17年度!AN4</f>
        <v>#VALUE!</v>
      </c>
      <c r="AO13" s="78" t="e">
        <f>平成17年度!AO10/平成17年度!AO4</f>
        <v>#VALUE!</v>
      </c>
      <c r="AP13" s="74" t="e">
        <f>平成17年度!AP10/平成17年度!AP4</f>
        <v>#VALUE!</v>
      </c>
      <c r="AQ13" s="1"/>
      <c r="AR13" s="1"/>
    </row>
    <row r="14" spans="1:44" ht="20.149999999999999" customHeight="1" x14ac:dyDescent="0.2">
      <c r="A14" s="75" t="s">
        <v>275</v>
      </c>
      <c r="B14" s="43" t="s">
        <v>46</v>
      </c>
      <c r="C14" s="319">
        <v>54763</v>
      </c>
      <c r="D14" s="45">
        <f>平成17年度!E14+平成17年度!F14</f>
        <v>44738</v>
      </c>
      <c r="E14" s="45">
        <f>平成17年度!C14-平成17年度!G14-平成17年度!F14</f>
        <v>41602</v>
      </c>
      <c r="F14" s="46">
        <v>3136</v>
      </c>
      <c r="G14" s="47">
        <v>10025</v>
      </c>
      <c r="H14" s="314">
        <v>102988</v>
      </c>
      <c r="I14" s="45">
        <f>平成17年度!J14+平成17年度!K14</f>
        <v>81279</v>
      </c>
      <c r="J14" s="46">
        <v>57212</v>
      </c>
      <c r="K14" s="49">
        <v>24067</v>
      </c>
      <c r="L14" s="45">
        <f>平成17年度!M14+平成17年度!N14</f>
        <v>21709</v>
      </c>
      <c r="M14" s="46">
        <v>14742</v>
      </c>
      <c r="N14" s="47">
        <v>6967</v>
      </c>
      <c r="O14" s="319">
        <v>30639</v>
      </c>
      <c r="P14" s="45">
        <f>平成17年度!O14-平成17年度!Q14</f>
        <v>22325</v>
      </c>
      <c r="Q14" s="47">
        <v>8314</v>
      </c>
      <c r="R14" s="44">
        <v>119730</v>
      </c>
      <c r="S14" s="46">
        <v>311169</v>
      </c>
      <c r="T14" s="50">
        <f>平成17年度!C14/平成17年度!R14</f>
        <v>0.45738745510732481</v>
      </c>
      <c r="U14" s="51">
        <f>平成17年度!H14/平成17年度!S14</f>
        <v>0.3309712728453027</v>
      </c>
      <c r="V14" s="52">
        <f>平成17年度!L14/平成17年度!H14</f>
        <v>0.21079154852992582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0.149999999999999" customHeight="1" x14ac:dyDescent="0.2">
      <c r="A15" s="75" t="s">
        <v>275</v>
      </c>
      <c r="B15" s="53" t="s">
        <v>47</v>
      </c>
      <c r="C15" s="319">
        <v>54751</v>
      </c>
      <c r="D15" s="55">
        <f>平成17年度!E15+平成17年度!F15</f>
        <v>44721</v>
      </c>
      <c r="E15" s="55">
        <f>平成17年度!C15-平成17年度!G15-平成17年度!F15</f>
        <v>41585</v>
      </c>
      <c r="F15" s="46">
        <v>3136</v>
      </c>
      <c r="G15" s="47">
        <v>10030</v>
      </c>
      <c r="H15" s="315">
        <f>平成17年度!I15+平成17年度!L15</f>
        <v>102844</v>
      </c>
      <c r="I15" s="55">
        <f>平成17年度!J15+平成17年度!K15</f>
        <v>81128</v>
      </c>
      <c r="J15" s="46">
        <v>57141</v>
      </c>
      <c r="K15" s="49">
        <v>23987</v>
      </c>
      <c r="L15" s="55">
        <f>平成17年度!M15+平成17年度!N15</f>
        <v>21716</v>
      </c>
      <c r="M15" s="46">
        <v>14752</v>
      </c>
      <c r="N15" s="47">
        <v>6964</v>
      </c>
      <c r="O15" s="319">
        <v>30531</v>
      </c>
      <c r="P15" s="55">
        <f>平成17年度!O15-平成17年度!Q15</f>
        <v>22323</v>
      </c>
      <c r="Q15" s="47">
        <v>8208</v>
      </c>
      <c r="R15" s="44">
        <v>119860</v>
      </c>
      <c r="S15" s="46">
        <v>311169</v>
      </c>
      <c r="T15" s="60">
        <f>平成17年度!C15/平成17年度!R15</f>
        <v>0.45679125646587687</v>
      </c>
      <c r="U15" s="61">
        <f>平成17年度!H15/平成17年度!S15</f>
        <v>0.33050850181091301</v>
      </c>
      <c r="V15" s="62">
        <f>平成17年度!L15/平成17年度!H15</f>
        <v>0.21115475866360703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1111</v>
      </c>
      <c r="AK15" s="1"/>
      <c r="AL15" s="1"/>
      <c r="AM15" s="1"/>
      <c r="AN15" s="1"/>
      <c r="AO15" s="1"/>
      <c r="AP15" s="1"/>
      <c r="AQ15" s="1"/>
      <c r="AR15" s="1"/>
    </row>
    <row r="16" spans="1:44" ht="20.149999999999999" customHeight="1" x14ac:dyDescent="0.2">
      <c r="A16" s="1" t="s">
        <v>275</v>
      </c>
      <c r="B16" s="43" t="s">
        <v>48</v>
      </c>
      <c r="C16" s="319">
        <v>54738</v>
      </c>
      <c r="D16" s="45">
        <f>平成17年度!E16+平成17年度!F16</f>
        <v>44701</v>
      </c>
      <c r="E16" s="45">
        <f>平成17年度!C16-平成17年度!G16-平成17年度!F16</f>
        <v>41563</v>
      </c>
      <c r="F16" s="46">
        <v>3138</v>
      </c>
      <c r="G16" s="47">
        <v>10037</v>
      </c>
      <c r="H16" s="314">
        <v>102715</v>
      </c>
      <c r="I16" s="45">
        <f>平成17年度!J16+平成17年度!K16</f>
        <v>81000</v>
      </c>
      <c r="J16" s="46">
        <v>57125</v>
      </c>
      <c r="K16" s="49">
        <v>23875</v>
      </c>
      <c r="L16" s="45">
        <f>平成17年度!M16+平成17年度!N16</f>
        <v>21715</v>
      </c>
      <c r="M16" s="46">
        <v>14761</v>
      </c>
      <c r="N16" s="47">
        <v>6954</v>
      </c>
      <c r="O16" s="319">
        <v>30423</v>
      </c>
      <c r="P16" s="45">
        <f>平成17年度!O16-平成17年度!Q16</f>
        <v>22314</v>
      </c>
      <c r="Q16" s="47">
        <v>8109</v>
      </c>
      <c r="R16" s="44">
        <v>119959</v>
      </c>
      <c r="S16" s="46">
        <v>311265</v>
      </c>
      <c r="T16" s="50">
        <f>平成17年度!C16/平成17年度!R16</f>
        <v>0.45630590451737679</v>
      </c>
      <c r="U16" s="51">
        <f>平成17年度!H16/平成17年度!S16</f>
        <v>0.32999212889338664</v>
      </c>
      <c r="V16" s="52">
        <f>平成17年度!L16/平成17年度!H16</f>
        <v>0.21141021272452903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0.149999999999999" customHeight="1" x14ac:dyDescent="0.2">
      <c r="A17" s="1"/>
      <c r="B17" s="43" t="s">
        <v>49</v>
      </c>
      <c r="C17" s="319">
        <v>54762</v>
      </c>
      <c r="D17" s="45">
        <f>平成17年度!E17+平成17年度!F17</f>
        <v>44539</v>
      </c>
      <c r="E17" s="45">
        <f>平成17年度!C17-平成17年度!G17-平成17年度!F17</f>
        <v>41362</v>
      </c>
      <c r="F17" s="46">
        <v>3177</v>
      </c>
      <c r="G17" s="47">
        <v>10223</v>
      </c>
      <c r="H17" s="315">
        <v>102707</v>
      </c>
      <c r="I17" s="45">
        <f>平成17年度!J17+平成17年度!K17</f>
        <v>80630</v>
      </c>
      <c r="J17" s="46">
        <v>56887</v>
      </c>
      <c r="K17" s="49">
        <v>23743</v>
      </c>
      <c r="L17" s="45">
        <f>平成17年度!M17+平成17年度!N17</f>
        <v>22077</v>
      </c>
      <c r="M17" s="46">
        <v>15016</v>
      </c>
      <c r="N17" s="47">
        <v>7061</v>
      </c>
      <c r="O17" s="319">
        <v>30188</v>
      </c>
      <c r="P17" s="45">
        <f>平成17年度!O17-平成17年度!Q17</f>
        <v>22018</v>
      </c>
      <c r="Q17" s="47">
        <v>8170</v>
      </c>
      <c r="R17" s="44">
        <v>120078</v>
      </c>
      <c r="S17" s="46">
        <v>311285</v>
      </c>
      <c r="T17" s="50">
        <f>平成17年度!C17/平成17年度!R17</f>
        <v>0.45605356518263129</v>
      </c>
      <c r="U17" s="51">
        <f>平成17年度!H17/平成17年度!S17</f>
        <v>0.32994522704274221</v>
      </c>
      <c r="V17" s="52">
        <f>平成17年度!L17/平成17年度!H17</f>
        <v>0.21495126914426474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1:44" ht="20.149999999999999" customHeight="1" x14ac:dyDescent="0.2">
      <c r="A18" s="1"/>
      <c r="B18" s="53" t="s">
        <v>50</v>
      </c>
      <c r="C18" s="319">
        <v>54710</v>
      </c>
      <c r="D18" s="55">
        <f>平成17年度!E18+平成17年度!F18</f>
        <v>44461</v>
      </c>
      <c r="E18" s="55">
        <f>平成17年度!C18-平成17年度!G18-平成17年度!F18</f>
        <v>41286</v>
      </c>
      <c r="F18" s="46">
        <v>3175</v>
      </c>
      <c r="G18" s="47">
        <v>10249</v>
      </c>
      <c r="H18" s="315">
        <v>102512</v>
      </c>
      <c r="I18" s="55">
        <f>平成17年度!J18+平成17年度!K18</f>
        <v>80398</v>
      </c>
      <c r="J18" s="46">
        <v>56767</v>
      </c>
      <c r="K18" s="49">
        <v>23631</v>
      </c>
      <c r="L18" s="55">
        <f>平成17年度!M18+平成17年度!N18</f>
        <v>22114</v>
      </c>
      <c r="M18" s="46">
        <v>15039</v>
      </c>
      <c r="N18" s="47">
        <v>7075</v>
      </c>
      <c r="O18" s="319">
        <v>30010</v>
      </c>
      <c r="P18" s="55">
        <f>平成17年度!O18-平成17年度!Q18</f>
        <v>21932</v>
      </c>
      <c r="Q18" s="47">
        <v>8078</v>
      </c>
      <c r="R18" s="44">
        <v>120176</v>
      </c>
      <c r="S18" s="46">
        <v>311315</v>
      </c>
      <c r="T18" s="60">
        <f>平成17年度!C18/平成17年度!R18</f>
        <v>0.45524896818000266</v>
      </c>
      <c r="U18" s="61">
        <f>平成17年度!H18/平成17年度!S18</f>
        <v>0.32928705651831747</v>
      </c>
      <c r="V18" s="62">
        <f>平成17年度!L18/平成17年度!H18</f>
        <v>0.21572108631184642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ROUND(+平成17年度!AK18/平成17年度!AM18,4)</f>
        <v>0.27060000000000001</v>
      </c>
      <c r="AP18" s="22">
        <f>ROUND(+平成17年度!AL18/平成17年度!AN18,4)</f>
        <v>0.38550000000000001</v>
      </c>
      <c r="AQ18" s="1"/>
      <c r="AR18" s="1"/>
    </row>
    <row r="19" spans="1:44" ht="20.149999999999999" customHeight="1" x14ac:dyDescent="0.2">
      <c r="A19" s="1"/>
      <c r="B19" s="53" t="s">
        <v>51</v>
      </c>
      <c r="C19" s="319">
        <v>54759</v>
      </c>
      <c r="D19" s="55">
        <f>平成17年度!E19+平成17年度!F19</f>
        <v>44468</v>
      </c>
      <c r="E19" s="55">
        <f>平成17年度!C19-平成17年度!G19-平成17年度!F19</f>
        <v>41309</v>
      </c>
      <c r="F19" s="46">
        <v>3159</v>
      </c>
      <c r="G19" s="47">
        <v>10291</v>
      </c>
      <c r="H19" s="315">
        <v>102387</v>
      </c>
      <c r="I19" s="55">
        <f>平成17年度!J19+平成17年度!K19</f>
        <v>80224</v>
      </c>
      <c r="J19" s="46">
        <v>56692</v>
      </c>
      <c r="K19" s="49">
        <v>23532</v>
      </c>
      <c r="L19" s="55">
        <f>平成17年度!M19+平成17年度!N19</f>
        <v>22163</v>
      </c>
      <c r="M19" s="46">
        <v>15066</v>
      </c>
      <c r="N19" s="47">
        <v>7097</v>
      </c>
      <c r="O19" s="319">
        <v>29831</v>
      </c>
      <c r="P19" s="55">
        <f>平成17年度!O19-平成17年度!Q19</f>
        <v>21884</v>
      </c>
      <c r="Q19" s="47">
        <v>7947</v>
      </c>
      <c r="R19" s="44">
        <v>120273</v>
      </c>
      <c r="S19" s="46">
        <v>310710</v>
      </c>
      <c r="T19" s="60">
        <f>平成17年度!C19/平成17年度!R19</f>
        <v>0.45528921703125391</v>
      </c>
      <c r="U19" s="61">
        <f>平成17年度!H19/平成17年度!S19</f>
        <v>0.32952592449551027</v>
      </c>
      <c r="V19" s="62">
        <f>平成17年度!L19/平成17年度!H19</f>
        <v>0.21646302753279226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ROUND(+平成17年度!AK19/平成17年度!AM19,4)</f>
        <v>0.28050000000000003</v>
      </c>
      <c r="AP19" s="35">
        <f>ROUND(+平成17年度!AL19/平成17年度!AN19,4)</f>
        <v>0.39810000000000001</v>
      </c>
      <c r="AQ19" s="36">
        <f>ROUND((+平成17年度!AO19-平成17年度!AO18),4)</f>
        <v>9.9000000000000008E-3</v>
      </c>
      <c r="AR19" s="36">
        <f>ROUND((+平成17年度!AP19-平成17年度!AP18),4)</f>
        <v>1.26E-2</v>
      </c>
    </row>
    <row r="20" spans="1:44" ht="20.149999999999999" customHeight="1" x14ac:dyDescent="0.2">
      <c r="A20" s="1"/>
      <c r="B20" s="43" t="s">
        <v>52</v>
      </c>
      <c r="C20" s="314">
        <f>SUM(平成17年度!C8:C19)</f>
        <v>655725</v>
      </c>
      <c r="D20" s="45">
        <f>SUM(平成17年度!D8:D19)</f>
        <v>536565</v>
      </c>
      <c r="E20" s="79">
        <f>SUM(平成17年度!E8:E19)</f>
        <v>499008</v>
      </c>
      <c r="F20" s="79">
        <f>SUM(平成17年度!F8:F19)</f>
        <v>37557</v>
      </c>
      <c r="G20" s="80">
        <f>SUM(平成17年度!G8:G19)</f>
        <v>119160</v>
      </c>
      <c r="H20" s="314">
        <f>SUM(平成17年度!H8:H19)</f>
        <v>1234259</v>
      </c>
      <c r="I20" s="45">
        <f>SUM(平成17年度!I8:I19)</f>
        <v>975780</v>
      </c>
      <c r="J20" s="79">
        <f>SUM(平成17年度!J8:J19)</f>
        <v>687103</v>
      </c>
      <c r="K20" s="79">
        <f>SUM(平成17年度!K8:K19)</f>
        <v>288677</v>
      </c>
      <c r="L20" s="79">
        <f>SUM(平成17年度!L8:L19)</f>
        <v>258479</v>
      </c>
      <c r="M20" s="79">
        <f>SUM(平成17年度!M8:M19)</f>
        <v>175512</v>
      </c>
      <c r="N20" s="80">
        <f>SUM(平成17年度!N8:N19)</f>
        <v>82967</v>
      </c>
      <c r="O20" s="314">
        <f>SUM(平成17年度!O8:O19)</f>
        <v>367049</v>
      </c>
      <c r="P20" s="45">
        <f>SUM(平成17年度!P8:P19)</f>
        <v>268398</v>
      </c>
      <c r="Q20" s="80">
        <f>SUM(平成17年度!Q8:Q19)</f>
        <v>98651</v>
      </c>
      <c r="R20" s="48">
        <f>SUM(平成17年度!R8:R19)</f>
        <v>1434707</v>
      </c>
      <c r="S20" s="45">
        <f>SUM(平成17年度!S8:S19)</f>
        <v>3730469</v>
      </c>
      <c r="T20" s="50">
        <f>平成17年度!C20/平成17年度!R20</f>
        <v>0.4570445394076979</v>
      </c>
      <c r="U20" s="51">
        <f>平成17年度!H20/平成17年度!S20</f>
        <v>0.33085893489531742</v>
      </c>
      <c r="V20" s="52">
        <f>平成17年度!L20/平成17年度!H20</f>
        <v>0.20942038907555061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1088</v>
      </c>
      <c r="AK20" s="31">
        <f>平成11年度!H19</f>
        <v>85006</v>
      </c>
      <c r="AL20" s="32">
        <f>平成11年度!C19</f>
        <v>43579</v>
      </c>
      <c r="AM20" s="33">
        <f>平成11年度!P19</f>
        <v>292833</v>
      </c>
      <c r="AN20" s="33">
        <f>平成11年度!O19</f>
        <v>106170</v>
      </c>
      <c r="AO20" s="34">
        <f>ROUND(+平成17年度!AK20/平成17年度!AM20,4)</f>
        <v>0.2903</v>
      </c>
      <c r="AP20" s="35">
        <f>ROUND(+平成17年度!AL20/平成17年度!AN20,4)</f>
        <v>0.41049999999999998</v>
      </c>
      <c r="AQ20" s="36">
        <f>ROUND((+平成17年度!AO20-平成17年度!AO19),4)</f>
        <v>9.7999999999999997E-3</v>
      </c>
      <c r="AR20" s="36">
        <f>ROUND((+平成17年度!AP20-平成17年度!AP19),4)</f>
        <v>1.24E-2</v>
      </c>
    </row>
    <row r="21" spans="1:44" ht="20.149999999999999" customHeight="1" x14ac:dyDescent="0.2">
      <c r="A21" s="1"/>
      <c r="B21" s="43" t="s">
        <v>53</v>
      </c>
      <c r="C21" s="314">
        <f>C20/COUNTA(C8:C19)</f>
        <v>54643.75</v>
      </c>
      <c r="D21" s="321" t="e">
        <f>#VALUE!</f>
        <v>#VALUE!</v>
      </c>
      <c r="E21" s="322" t="e">
        <f>#VALUE!</f>
        <v>#VALUE!</v>
      </c>
      <c r="F21" s="322">
        <f>F20/COUNTA(F8:F19)</f>
        <v>3129.75</v>
      </c>
      <c r="G21" s="323">
        <f>G20/COUNTA(G8:G19)</f>
        <v>9930</v>
      </c>
      <c r="H21" s="314" t="e">
        <f>#VALUE!</f>
        <v>#VALUE!</v>
      </c>
      <c r="I21" s="321" t="e">
        <f>#VALUE!</f>
        <v>#VALUE!</v>
      </c>
      <c r="J21" s="322">
        <f>J20/COUNTA(J8:J19)</f>
        <v>57258.583333333336</v>
      </c>
      <c r="K21" s="322">
        <f>K20/COUNTA(K8:K19)</f>
        <v>24056.416666666668</v>
      </c>
      <c r="L21" s="322" t="e">
        <f>#VALUE!</f>
        <v>#VALUE!</v>
      </c>
      <c r="M21" s="322">
        <f>M20/COUNTA(M8:M19)</f>
        <v>14626</v>
      </c>
      <c r="N21" s="323">
        <f>N20/COUNTA(N8:N19)</f>
        <v>6913.916666666667</v>
      </c>
      <c r="O21" s="314">
        <f>O20/COUNTA(O8:O19)</f>
        <v>30587.416666666668</v>
      </c>
      <c r="P21" s="321" t="e">
        <f>#VALUE!</f>
        <v>#VALUE!</v>
      </c>
      <c r="Q21" s="323">
        <f>Q20/COUNTA(Q8:Q19)</f>
        <v>8220.9166666666661</v>
      </c>
      <c r="R21" s="314">
        <f>R20/COUNTA(R8:R19)</f>
        <v>119558.91666666667</v>
      </c>
      <c r="S21" s="321">
        <f>S20/COUNTA(S8:S19)</f>
        <v>310872.41666666669</v>
      </c>
      <c r="T21" s="50">
        <f>平成17年度!C21/平成17年度!R21</f>
        <v>0.45704453940769785</v>
      </c>
      <c r="U21" s="51" t="e">
        <f>平成17年度!H21/平成17年度!S21</f>
        <v>#VALUE!</v>
      </c>
      <c r="V21" s="52" t="e">
        <f>平成17年度!L21/平成17年度!H21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284</v>
      </c>
      <c r="AK21" s="31">
        <f>平成12年度!H19</f>
        <v>87854</v>
      </c>
      <c r="AL21" s="32">
        <f>平成12年度!C19</f>
        <v>45290</v>
      </c>
      <c r="AM21" s="33">
        <f>平成12年度!P19</f>
        <v>20917</v>
      </c>
      <c r="AN21" s="33">
        <f>平成12年度!O19</f>
        <v>27178</v>
      </c>
      <c r="AO21" s="34">
        <f>ROUND(+平成17年度!AK21/平成17年度!AM21,4)</f>
        <v>4.2000999999999999</v>
      </c>
      <c r="AP21" s="35">
        <f>ROUND(+平成17年度!AL21/平成17年度!AN21,4)</f>
        <v>1.6664000000000001</v>
      </c>
      <c r="AQ21" s="36">
        <f>ROUND((+平成17年度!AO21-平成17年度!AO20),4)</f>
        <v>3.9098000000000002</v>
      </c>
      <c r="AR21" s="36">
        <f>ROUND((+平成17年度!AP21-平成17年度!AP20),4)</f>
        <v>1.2559</v>
      </c>
    </row>
    <row r="22" spans="1:44" ht="20.149999999999999" customHeight="1" x14ac:dyDescent="0.2">
      <c r="A22" s="1"/>
      <c r="B22" s="81"/>
      <c r="C22" s="316"/>
      <c r="D22" s="83"/>
      <c r="E22" s="84"/>
      <c r="F22" s="84"/>
      <c r="G22" s="85"/>
      <c r="H22" s="316"/>
      <c r="I22" s="86"/>
      <c r="J22" s="84"/>
      <c r="K22" s="84"/>
      <c r="L22" s="87"/>
      <c r="M22" s="84"/>
      <c r="N22" s="85"/>
      <c r="O22" s="316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607</v>
      </c>
      <c r="AK22" s="31">
        <f>平成13年度!H19</f>
        <v>91363</v>
      </c>
      <c r="AL22" s="32">
        <f>平成13年度!C19</f>
        <v>47502</v>
      </c>
      <c r="AM22" s="33">
        <f>平成13年度!P19</f>
        <v>21019</v>
      </c>
      <c r="AN22" s="33">
        <f>平成13年度!O19</f>
        <v>27824</v>
      </c>
      <c r="AO22" s="34">
        <f>ROUND(+平成17年度!AK22/平成17年度!AM22,4)</f>
        <v>4.3467000000000002</v>
      </c>
      <c r="AP22" s="35">
        <f>ROUND(+平成17年度!AL22/平成17年度!AN22,4)</f>
        <v>1.7072000000000001</v>
      </c>
      <c r="AQ22" s="36">
        <f>ROUND((+平成17年度!AO22-平成17年度!AO21),4)</f>
        <v>0.14660000000000001</v>
      </c>
      <c r="AR22" s="36">
        <f>ROUND((+平成17年度!AP22-平成17年度!AP21),4)</f>
        <v>4.0800000000000003E-2</v>
      </c>
    </row>
    <row r="23" spans="1:44" ht="20.149999999999999" customHeight="1" x14ac:dyDescent="0.2">
      <c r="A23" s="1"/>
      <c r="B23" s="43" t="s">
        <v>54</v>
      </c>
      <c r="C23" s="314">
        <f>平成17年度!C8</f>
        <v>54439</v>
      </c>
      <c r="D23" s="45">
        <f>平成17年度!D8</f>
        <v>44930</v>
      </c>
      <c r="E23" s="79">
        <f>平成17年度!E8</f>
        <v>41849</v>
      </c>
      <c r="F23" s="79">
        <f>平成17年度!F8</f>
        <v>3081</v>
      </c>
      <c r="G23" s="80">
        <f>平成17年度!G8</f>
        <v>9509</v>
      </c>
      <c r="H23" s="314">
        <f>平成17年度!H8</f>
        <v>103182</v>
      </c>
      <c r="I23" s="45">
        <f>平成17年度!I8</f>
        <v>82396</v>
      </c>
      <c r="J23" s="79">
        <f>平成17年度!J8</f>
        <v>57872</v>
      </c>
      <c r="K23" s="79">
        <f>平成17年度!K8</f>
        <v>24524</v>
      </c>
      <c r="L23" s="79">
        <f>平成17年度!L8</f>
        <v>20786</v>
      </c>
      <c r="M23" s="79">
        <f>平成17年度!M8</f>
        <v>14086</v>
      </c>
      <c r="N23" s="80">
        <f>平成17年度!N8</f>
        <v>6700</v>
      </c>
      <c r="O23" s="314">
        <f>平成17年度!O8</f>
        <v>31083</v>
      </c>
      <c r="P23" s="45">
        <f>平成17年度!P8</f>
        <v>22789</v>
      </c>
      <c r="Q23" s="80">
        <f>平成17年度!Q8</f>
        <v>8294</v>
      </c>
      <c r="R23" s="48">
        <f>平成17年度!R8</f>
        <v>118667</v>
      </c>
      <c r="S23" s="45">
        <f>平成17年度!S8</f>
        <v>310204</v>
      </c>
      <c r="T23" s="50">
        <f>平成17年度!C23/平成17年度!R23</f>
        <v>0.45875432934177152</v>
      </c>
      <c r="U23" s="51">
        <f>平成17年度!H23/平成17年度!S23</f>
        <v>0.3326262717437557</v>
      </c>
      <c r="V23" s="52">
        <f>平成17年度!L23/平成17年度!H23</f>
        <v>0.20144986528658099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ROUND(+平成17年度!AK23/平成17年度!AM23,4)</f>
        <v>4.4180999999999999</v>
      </c>
      <c r="AP23" s="68">
        <f>ROUND(+平成17年度!AL23/平成17年度!AN23,4)</f>
        <v>1.7375</v>
      </c>
      <c r="AQ23" s="36">
        <f>ROUND((+平成17年度!AO23-平成17年度!AO22),4)</f>
        <v>7.1400000000000005E-2</v>
      </c>
      <c r="AR23" s="36">
        <f>ROUND((+平成17年度!AP23-平成17年度!AP22),4)</f>
        <v>3.0300000000000001E-2</v>
      </c>
    </row>
    <row r="24" spans="1:44" ht="20.149999999999999" customHeight="1" x14ac:dyDescent="0.2">
      <c r="A24" s="1"/>
      <c r="B24" s="53" t="s">
        <v>55</v>
      </c>
      <c r="C24" s="315">
        <f>SUM(平成17年度!C8:C9)</f>
        <v>108923</v>
      </c>
      <c r="D24" s="55">
        <f>SUM(平成17年度!D8:D9)</f>
        <v>89883</v>
      </c>
      <c r="E24" s="89">
        <f>SUM(平成17年度!E8:E9)</f>
        <v>83717</v>
      </c>
      <c r="F24" s="89">
        <f>SUM(平成17年度!F8:F9)</f>
        <v>6166</v>
      </c>
      <c r="G24" s="90">
        <f>SUM(平成17年度!G8:G9)</f>
        <v>19040</v>
      </c>
      <c r="H24" s="315">
        <f>SUM(平成17年度!H8:H9)</f>
        <v>206286</v>
      </c>
      <c r="I24" s="55">
        <f>SUM(平成17年度!I8:I9)</f>
        <v>164686</v>
      </c>
      <c r="J24" s="89">
        <f>SUM(平成17年度!J8:J9)</f>
        <v>115746</v>
      </c>
      <c r="K24" s="89">
        <f>SUM(平成17年度!K8:K9)</f>
        <v>48940</v>
      </c>
      <c r="L24" s="89">
        <f>SUM(平成17年度!L8:L9)</f>
        <v>41600</v>
      </c>
      <c r="M24" s="89">
        <f>SUM(平成17年度!M8:M9)</f>
        <v>28203</v>
      </c>
      <c r="N24" s="90">
        <f>SUM(平成17年度!N8:N9)</f>
        <v>13397</v>
      </c>
      <c r="O24" s="315">
        <f>SUM(平成17年度!O8:O9)</f>
        <v>62122</v>
      </c>
      <c r="P24" s="55">
        <f>SUM(平成17年度!P8:P9)</f>
        <v>45617</v>
      </c>
      <c r="Q24" s="90">
        <f>SUM(平成17年度!Q8:Q9)</f>
        <v>16505</v>
      </c>
      <c r="R24" s="58">
        <f>SUM(平成17年度!R8:R9)</f>
        <v>237564</v>
      </c>
      <c r="S24" s="55">
        <f>SUM(平成17年度!S8:S9)</f>
        <v>620588</v>
      </c>
      <c r="T24" s="60">
        <f>平成17年度!C24/平成17年度!R24</f>
        <v>0.45849960431715242</v>
      </c>
      <c r="U24" s="61">
        <f>平成17年度!H24/平成17年度!S24</f>
        <v>0.33240410707264723</v>
      </c>
      <c r="V24" s="62">
        <f>平成17年度!L24/平成17年度!H24</f>
        <v>0.20166177055156434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907</v>
      </c>
      <c r="AK24" s="70">
        <f>平成17年度!H14</f>
        <v>102988</v>
      </c>
      <c r="AL24" s="71">
        <f>平成17年度!C14</f>
        <v>54763</v>
      </c>
      <c r="AM24" s="72">
        <f>平成17年度!S14</f>
        <v>311169</v>
      </c>
      <c r="AN24" s="72">
        <f>平成17年度!R14</f>
        <v>119730</v>
      </c>
      <c r="AO24" s="73">
        <f>ROUND(+平成17年度!AK24/平成17年度!AM24,4)</f>
        <v>0.33100000000000002</v>
      </c>
      <c r="AP24" s="74">
        <f>ROUND(+平成17年度!AL24/平成17年度!AN24,4)</f>
        <v>0.45739999999999997</v>
      </c>
      <c r="AQ24" s="36">
        <f>ROUND((+平成17年度!AO24-平成17年度!AO23),4)</f>
        <v>-4.0871000000000004</v>
      </c>
      <c r="AR24" s="36">
        <f>ROUND((+平成17年度!AP24-平成17年度!AP23),4)</f>
        <v>-1.2801</v>
      </c>
    </row>
    <row r="25" spans="1:44" ht="20.149999999999999" customHeight="1" x14ac:dyDescent="0.2">
      <c r="A25" s="1"/>
      <c r="B25" s="53" t="s">
        <v>56</v>
      </c>
      <c r="C25" s="315">
        <f>SUM(平成17年度!C8:C10)</f>
        <v>163446</v>
      </c>
      <c r="D25" s="55">
        <f>SUM(平成17年度!D8:D10)</f>
        <v>134823</v>
      </c>
      <c r="E25" s="89">
        <f>SUM(平成17年度!E8:E10)</f>
        <v>125581</v>
      </c>
      <c r="F25" s="89">
        <f>SUM(平成17年度!F8:F10)</f>
        <v>9242</v>
      </c>
      <c r="G25" s="90">
        <f>SUM(平成17年度!G8:G10)</f>
        <v>28623</v>
      </c>
      <c r="H25" s="315">
        <f>SUM(平成17年度!H8:H10)</f>
        <v>309327</v>
      </c>
      <c r="I25" s="55">
        <f>SUM(平成17年度!I8:I10)</f>
        <v>246835</v>
      </c>
      <c r="J25" s="89">
        <f>SUM(平成17年度!J8:J10)</f>
        <v>173566</v>
      </c>
      <c r="K25" s="89">
        <f>SUM(平成17年度!K8:K10)</f>
        <v>73269</v>
      </c>
      <c r="L25" s="89">
        <f>SUM(平成17年度!L8:L10)</f>
        <v>62492</v>
      </c>
      <c r="M25" s="89">
        <f>SUM(平成17年度!M8:M10)</f>
        <v>42373</v>
      </c>
      <c r="N25" s="90">
        <f>SUM(平成17年度!N8:N10)</f>
        <v>20119</v>
      </c>
      <c r="O25" s="315">
        <f>SUM(平成17年度!O8:O10)</f>
        <v>93083</v>
      </c>
      <c r="P25" s="55">
        <f>SUM(平成17年度!P8:P10)</f>
        <v>68428</v>
      </c>
      <c r="Q25" s="90">
        <f>SUM(平成17年度!Q8:Q10)</f>
        <v>24655</v>
      </c>
      <c r="R25" s="58">
        <f>SUM(平成17年度!R8:R10)</f>
        <v>356600</v>
      </c>
      <c r="S25" s="55">
        <f>SUM(平成17年度!S8:S10)</f>
        <v>931111</v>
      </c>
      <c r="T25" s="60">
        <f>平成17年度!C25/平成17年度!R25</f>
        <v>0.45834548513740886</v>
      </c>
      <c r="U25" s="61">
        <f>平成17年度!H25/平成17年度!S25</f>
        <v>0.33221280813995324</v>
      </c>
      <c r="V25" s="62">
        <f>平成17年度!L25/平成17年度!H25</f>
        <v>0.20202568802594018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1137</v>
      </c>
      <c r="AK25" s="1"/>
      <c r="AL25" s="1"/>
      <c r="AM25" s="1"/>
      <c r="AN25" s="1"/>
      <c r="AO25" s="1"/>
      <c r="AP25" s="1"/>
      <c r="AQ25" s="1"/>
      <c r="AR25" s="1"/>
    </row>
    <row r="26" spans="1:44" ht="20.149999999999999" customHeight="1" x14ac:dyDescent="0.2">
      <c r="A26" s="1"/>
      <c r="B26" s="53" t="s">
        <v>57</v>
      </c>
      <c r="C26" s="315">
        <f>SUM(平成17年度!C8:C11)</f>
        <v>218035</v>
      </c>
      <c r="D26" s="55">
        <f>SUM(平成17年度!D8:D11)</f>
        <v>179576</v>
      </c>
      <c r="E26" s="89">
        <f>SUM(平成17年度!E8:E11)</f>
        <v>167201</v>
      </c>
      <c r="F26" s="89">
        <f>SUM(平成17年度!F8:F11)</f>
        <v>12375</v>
      </c>
      <c r="G26" s="90">
        <f>SUM(平成17年度!G8:G11)</f>
        <v>38459</v>
      </c>
      <c r="H26" s="315">
        <f>SUM(平成17年度!H8:H11)</f>
        <v>412350</v>
      </c>
      <c r="I26" s="55">
        <f>SUM(平成17年度!I8:I11)</f>
        <v>328444</v>
      </c>
      <c r="J26" s="89">
        <f>SUM(平成17年度!J8:J11)</f>
        <v>230915</v>
      </c>
      <c r="K26" s="89">
        <f>SUM(平成17年度!K8:K11)</f>
        <v>97529</v>
      </c>
      <c r="L26" s="89">
        <f>SUM(平成17年度!L8:L11)</f>
        <v>83906</v>
      </c>
      <c r="M26" s="89">
        <f>SUM(平成17年度!M8:M11)</f>
        <v>56900</v>
      </c>
      <c r="N26" s="90">
        <f>SUM(平成17年度!N8:N11)</f>
        <v>27006</v>
      </c>
      <c r="O26" s="315">
        <f>SUM(平成17年度!O8:O11)</f>
        <v>124010</v>
      </c>
      <c r="P26" s="55">
        <f>SUM(平成17年度!P8:P11)</f>
        <v>90907</v>
      </c>
      <c r="Q26" s="90">
        <f>SUM(平成17年度!Q8:Q11)</f>
        <v>33103</v>
      </c>
      <c r="R26" s="58">
        <f>SUM(平成17年度!R8:R11)</f>
        <v>475738</v>
      </c>
      <c r="S26" s="55">
        <f>SUM(平成17年度!S8:S11)</f>
        <v>1241750</v>
      </c>
      <c r="T26" s="60">
        <f>平成17年度!C26/平成17年度!R26</f>
        <v>0.45830898519773489</v>
      </c>
      <c r="U26" s="61">
        <f>平成17年度!H26/平成17年度!S26</f>
        <v>0.33207167304207769</v>
      </c>
      <c r="V26" s="62">
        <f>平成17年度!L26/平成17年度!H26</f>
        <v>0.20348247847702194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1106</v>
      </c>
      <c r="AK26" s="76">
        <f>平成17年度!AK23/平成17年度!AK18</f>
        <v>1.2014763517369964</v>
      </c>
      <c r="AL26" s="77">
        <f>平成17年度!AL23/平成17年度!AL18</f>
        <v>1.241609726688103</v>
      </c>
      <c r="AM26" s="77">
        <f>平成17年度!AM23/平成17年度!AM18</f>
        <v>7.3587858569634068E-2</v>
      </c>
      <c r="AN26" s="77">
        <f>平成17年度!AN23/平成17年度!AN18</f>
        <v>0.27549271221732602</v>
      </c>
      <c r="AO26" s="78">
        <f>平成17年度!AO23/平成17年度!AO18</f>
        <v>16.327050997782706</v>
      </c>
      <c r="AP26" s="74">
        <f>平成17年度!AP23/平成17年度!AP18</f>
        <v>4.5071335927367056</v>
      </c>
      <c r="AQ26" s="1"/>
      <c r="AR26" s="1"/>
    </row>
    <row r="27" spans="1:44" ht="20.149999999999999" customHeight="1" x14ac:dyDescent="0.2">
      <c r="A27" s="1"/>
      <c r="B27" s="53" t="s">
        <v>58</v>
      </c>
      <c r="C27" s="315">
        <f>SUM(平成17年度!C8:C12)</f>
        <v>272638</v>
      </c>
      <c r="D27" s="55">
        <f>SUM(平成17年度!D8:D12)</f>
        <v>224304</v>
      </c>
      <c r="E27" s="89">
        <f>SUM(平成17年度!E8:E12)</f>
        <v>208794</v>
      </c>
      <c r="F27" s="89">
        <f>SUM(平成17年度!F8:F12)</f>
        <v>15510</v>
      </c>
      <c r="G27" s="90">
        <f>SUM(平成17年度!G8:G12)</f>
        <v>48334</v>
      </c>
      <c r="H27" s="315">
        <f>SUM(平成17年度!H8:H12)</f>
        <v>515277</v>
      </c>
      <c r="I27" s="55">
        <f>SUM(平成17年度!I8:I12)</f>
        <v>409890</v>
      </c>
      <c r="J27" s="89">
        <f>SUM(平成17年度!J8:J12)</f>
        <v>288172</v>
      </c>
      <c r="K27" s="89">
        <f>SUM(平成17年度!K8:K12)</f>
        <v>121718</v>
      </c>
      <c r="L27" s="89">
        <f>SUM(平成17年度!L8:L12)</f>
        <v>105387</v>
      </c>
      <c r="M27" s="89">
        <f>SUM(平成17年度!M8:M12)</f>
        <v>71470</v>
      </c>
      <c r="N27" s="90">
        <f>SUM(平成17年度!N8:N12)</f>
        <v>33917</v>
      </c>
      <c r="O27" s="315">
        <f>SUM(平成17年度!O8:O12)</f>
        <v>154787</v>
      </c>
      <c r="P27" s="55">
        <f>SUM(平成17年度!P8:P12)</f>
        <v>113309</v>
      </c>
      <c r="Q27" s="90">
        <f>SUM(平成17年度!Q8:Q12)</f>
        <v>41478</v>
      </c>
      <c r="R27" s="58">
        <f>SUM(平成17年度!R8:R12)</f>
        <v>595093</v>
      </c>
      <c r="S27" s="55">
        <f>SUM(平成17年度!S8:S12)</f>
        <v>1552590</v>
      </c>
      <c r="T27" s="60">
        <f>平成17年度!C27/平成17年度!R27</f>
        <v>0.45814351706371947</v>
      </c>
      <c r="U27" s="61">
        <f>平成17年度!H27/平成17年度!S27</f>
        <v>0.33188220972697235</v>
      </c>
      <c r="V27" s="62">
        <f>平成17年度!L27/平成17年度!H27</f>
        <v>0.20452494483549624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0.149999999999999" customHeight="1" x14ac:dyDescent="0.2">
      <c r="A28" s="1"/>
      <c r="B28" s="53" t="s">
        <v>59</v>
      </c>
      <c r="C28" s="315">
        <f>SUM(平成17年度!C8:C13)</f>
        <v>327242</v>
      </c>
      <c r="D28" s="55">
        <f>SUM(平成17年度!D8:D13)</f>
        <v>268937</v>
      </c>
      <c r="E28" s="89">
        <f>SUM(平成17年度!E8:E13)</f>
        <v>250301</v>
      </c>
      <c r="F28" s="89">
        <f>SUM(平成17年度!F8:F13)</f>
        <v>18636</v>
      </c>
      <c r="G28" s="90">
        <f>SUM(平成17年度!G8:G13)</f>
        <v>58305</v>
      </c>
      <c r="H28" s="315">
        <f>SUM(平成17年度!H8:H13)</f>
        <v>618106</v>
      </c>
      <c r="I28" s="55">
        <f>SUM(平成17年度!I8:I13)</f>
        <v>491121</v>
      </c>
      <c r="J28" s="89">
        <f>SUM(平成17年度!J8:J13)</f>
        <v>345279</v>
      </c>
      <c r="K28" s="89">
        <f>SUM(平成17年度!K8:K13)</f>
        <v>145842</v>
      </c>
      <c r="L28" s="89">
        <f>SUM(平成17年度!L8:L13)</f>
        <v>126985</v>
      </c>
      <c r="M28" s="89">
        <f>SUM(平成17年度!M8:M13)</f>
        <v>86136</v>
      </c>
      <c r="N28" s="90">
        <f>SUM(平成17年度!N8:N13)</f>
        <v>40849</v>
      </c>
      <c r="O28" s="315">
        <f>SUM(平成17年度!O8:O13)</f>
        <v>185427</v>
      </c>
      <c r="P28" s="55">
        <f>SUM(平成17年度!P8:P13)</f>
        <v>135602</v>
      </c>
      <c r="Q28" s="90">
        <f>SUM(平成17年度!Q8:Q13)</f>
        <v>49825</v>
      </c>
      <c r="R28" s="58">
        <f>SUM(平成17年度!R8:R13)</f>
        <v>714631</v>
      </c>
      <c r="S28" s="55">
        <f>SUM(平成17年度!S8:S13)</f>
        <v>1863556</v>
      </c>
      <c r="T28" s="60">
        <f>平成17年度!C28/平成17年度!R28</f>
        <v>0.45791744270819484</v>
      </c>
      <c r="U28" s="61">
        <f>平成17年度!H28/平成17年度!S28</f>
        <v>0.33168093687552186</v>
      </c>
      <c r="V28" s="62">
        <f>平成17年度!L28/平成17年度!H28</f>
        <v>0.20544210863508847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20.149999999999999" customHeight="1" x14ac:dyDescent="0.2">
      <c r="A29" s="1"/>
      <c r="B29" s="53" t="s">
        <v>60</v>
      </c>
      <c r="C29" s="315">
        <f>SUM(平成17年度!C8:C14)</f>
        <v>382005</v>
      </c>
      <c r="D29" s="55">
        <f>SUM(平成17年度!D8:D14)</f>
        <v>313675</v>
      </c>
      <c r="E29" s="89">
        <f>SUM(平成17年度!E8:E14)</f>
        <v>291903</v>
      </c>
      <c r="F29" s="89">
        <f>SUM(平成17年度!F8:F14)</f>
        <v>21772</v>
      </c>
      <c r="G29" s="90">
        <f>SUM(平成17年度!G8:G14)</f>
        <v>68330</v>
      </c>
      <c r="H29" s="315">
        <f>SUM(平成17年度!H8:H14)</f>
        <v>721094</v>
      </c>
      <c r="I29" s="55">
        <f>SUM(平成17年度!I8:I14)</f>
        <v>572400</v>
      </c>
      <c r="J29" s="89">
        <f>SUM(平成17年度!J8:J14)</f>
        <v>402491</v>
      </c>
      <c r="K29" s="89">
        <f>SUM(平成17年度!K8:K14)</f>
        <v>169909</v>
      </c>
      <c r="L29" s="89">
        <f>SUM(平成17年度!L8:L14)</f>
        <v>148694</v>
      </c>
      <c r="M29" s="89">
        <f>SUM(平成17年度!M8:M14)</f>
        <v>100878</v>
      </c>
      <c r="N29" s="90">
        <f>SUM(平成17年度!N8:N14)</f>
        <v>47816</v>
      </c>
      <c r="O29" s="315">
        <f>SUM(平成17年度!O8:O14)</f>
        <v>216066</v>
      </c>
      <c r="P29" s="55">
        <f>SUM(平成17年度!P8:P14)</f>
        <v>157927</v>
      </c>
      <c r="Q29" s="90">
        <f>SUM(平成17年度!Q8:Q14)</f>
        <v>58139</v>
      </c>
      <c r="R29" s="58">
        <f>SUM(平成17年度!R8:R14)</f>
        <v>834361</v>
      </c>
      <c r="S29" s="55">
        <f>SUM(平成17年度!S8:S14)</f>
        <v>2174725</v>
      </c>
      <c r="T29" s="60">
        <f>平成17年度!C29/平成17年度!R29</f>
        <v>0.45784138999785462</v>
      </c>
      <c r="U29" s="61">
        <f>平成17年度!H29/平成17年度!S29</f>
        <v>0.33157939509593165</v>
      </c>
      <c r="V29" s="62">
        <f>平成17年度!L29/平成17年度!H29</f>
        <v>0.20620612569235078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0.149999999999999" customHeight="1" x14ac:dyDescent="0.2">
      <c r="A30" s="1"/>
      <c r="B30" s="53" t="s">
        <v>61</v>
      </c>
      <c r="C30" s="315">
        <f>SUM(平成17年度!C8:C15)</f>
        <v>436756</v>
      </c>
      <c r="D30" s="55">
        <f>SUM(平成17年度!D8:D15)</f>
        <v>358396</v>
      </c>
      <c r="E30" s="89">
        <f>SUM(平成17年度!E8:E15)</f>
        <v>333488</v>
      </c>
      <c r="F30" s="89">
        <f>SUM(平成17年度!F8:F15)</f>
        <v>24908</v>
      </c>
      <c r="G30" s="90">
        <f>SUM(平成17年度!G8:G15)</f>
        <v>78360</v>
      </c>
      <c r="H30" s="315">
        <f>SUM(平成17年度!H8:H15)</f>
        <v>823938</v>
      </c>
      <c r="I30" s="55">
        <f>SUM(平成17年度!I8:I15)</f>
        <v>653528</v>
      </c>
      <c r="J30" s="89">
        <f>SUM(平成17年度!J8:J15)</f>
        <v>459632</v>
      </c>
      <c r="K30" s="89">
        <f>SUM(平成17年度!K8:K15)</f>
        <v>193896</v>
      </c>
      <c r="L30" s="89">
        <f>SUM(平成17年度!L8:L15)</f>
        <v>170410</v>
      </c>
      <c r="M30" s="89">
        <f>SUM(平成17年度!M8:M15)</f>
        <v>115630</v>
      </c>
      <c r="N30" s="90">
        <f>SUM(平成17年度!N8:N15)</f>
        <v>54780</v>
      </c>
      <c r="O30" s="315">
        <f>SUM(平成17年度!O8:O15)</f>
        <v>246597</v>
      </c>
      <c r="P30" s="55">
        <f>SUM(平成17年度!P8:P15)</f>
        <v>180250</v>
      </c>
      <c r="Q30" s="90">
        <f>SUM(平成17年度!Q8:Q15)</f>
        <v>66347</v>
      </c>
      <c r="R30" s="58">
        <f>SUM(平成17年度!R8:R15)</f>
        <v>954221</v>
      </c>
      <c r="S30" s="55">
        <f>SUM(平成17年度!S8:S15)</f>
        <v>2485894</v>
      </c>
      <c r="T30" s="60">
        <f>平成17年度!C30/平成17年度!R30</f>
        <v>0.45770948239453962</v>
      </c>
      <c r="U30" s="61">
        <f>平成17年度!H30/平成17年度!S30</f>
        <v>0.33144534722719471</v>
      </c>
      <c r="V30" s="62">
        <f>平成17年度!L30/平成17年度!H30</f>
        <v>0.20682381441322042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0.149999999999999" customHeight="1" x14ac:dyDescent="0.2">
      <c r="A31" s="1"/>
      <c r="B31" s="53" t="s">
        <v>62</v>
      </c>
      <c r="C31" s="315">
        <f>SUM(平成17年度!C8:C16)</f>
        <v>491494</v>
      </c>
      <c r="D31" s="55">
        <f>SUM(平成17年度!D8:D16)</f>
        <v>403097</v>
      </c>
      <c r="E31" s="89">
        <f>SUM(平成17年度!E8:E16)</f>
        <v>375051</v>
      </c>
      <c r="F31" s="89">
        <f>SUM(平成17年度!F8:F16)</f>
        <v>28046</v>
      </c>
      <c r="G31" s="90">
        <f>SUM(平成17年度!G8:G16)</f>
        <v>88397</v>
      </c>
      <c r="H31" s="315">
        <f>SUM(平成17年度!H8:H16)</f>
        <v>926653</v>
      </c>
      <c r="I31" s="55">
        <f>SUM(平成17年度!I8:I16)</f>
        <v>734528</v>
      </c>
      <c r="J31" s="89">
        <f>SUM(平成17年度!J8:J16)</f>
        <v>516757</v>
      </c>
      <c r="K31" s="89">
        <f>SUM(平成17年度!K8:K16)</f>
        <v>217771</v>
      </c>
      <c r="L31" s="89">
        <f>SUM(平成17年度!L8:L16)</f>
        <v>192125</v>
      </c>
      <c r="M31" s="89">
        <f>SUM(平成17年度!M8:M16)</f>
        <v>130391</v>
      </c>
      <c r="N31" s="90">
        <f>SUM(平成17年度!N8:N16)</f>
        <v>61734</v>
      </c>
      <c r="O31" s="315">
        <f>SUM(平成17年度!O8:O16)</f>
        <v>277020</v>
      </c>
      <c r="P31" s="55">
        <f>SUM(平成17年度!P8:P16)</f>
        <v>202564</v>
      </c>
      <c r="Q31" s="90">
        <f>SUM(平成17年度!Q8:Q16)</f>
        <v>74456</v>
      </c>
      <c r="R31" s="58">
        <f>SUM(平成17年度!R8:R16)</f>
        <v>1074180</v>
      </c>
      <c r="S31" s="55">
        <f>SUM(平成17年度!S8:S16)</f>
        <v>2797159</v>
      </c>
      <c r="T31" s="60">
        <f>平成17年度!C31/平成17年度!R31</f>
        <v>0.45755273790239998</v>
      </c>
      <c r="U31" s="61">
        <f>平成17年度!H31/平成17年度!S31</f>
        <v>0.33128363457350835</v>
      </c>
      <c r="V31" s="62">
        <f>平成17年度!L31/平成17年度!H31</f>
        <v>0.20733219446761625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20.149999999999999" customHeight="1" x14ac:dyDescent="0.2">
      <c r="A32" s="1"/>
      <c r="B32" s="53" t="s">
        <v>63</v>
      </c>
      <c r="C32" s="315">
        <f>SUM(平成17年度!C8:C17)</f>
        <v>546256</v>
      </c>
      <c r="D32" s="55">
        <f>SUM(平成17年度!D8:D17)</f>
        <v>447636</v>
      </c>
      <c r="E32" s="89">
        <f>SUM(平成17年度!E8:E17)</f>
        <v>416413</v>
      </c>
      <c r="F32" s="89">
        <f>SUM(平成17年度!F8:F17)</f>
        <v>31223</v>
      </c>
      <c r="G32" s="90">
        <f>SUM(平成17年度!G8:G17)</f>
        <v>98620</v>
      </c>
      <c r="H32" s="315">
        <f>SUM(平成17年度!H8:H17)</f>
        <v>1029360</v>
      </c>
      <c r="I32" s="55">
        <f>SUM(平成17年度!I8:I17)</f>
        <v>815158</v>
      </c>
      <c r="J32" s="89">
        <f>SUM(平成17年度!J8:J17)</f>
        <v>573644</v>
      </c>
      <c r="K32" s="89">
        <f>SUM(平成17年度!K8:K17)</f>
        <v>241514</v>
      </c>
      <c r="L32" s="89">
        <f>SUM(平成17年度!L8:L17)</f>
        <v>214202</v>
      </c>
      <c r="M32" s="89">
        <f>SUM(平成17年度!M8:M17)</f>
        <v>145407</v>
      </c>
      <c r="N32" s="90">
        <f>SUM(平成17年度!N8:N17)</f>
        <v>68795</v>
      </c>
      <c r="O32" s="315">
        <f>SUM(平成17年度!O8:O17)</f>
        <v>307208</v>
      </c>
      <c r="P32" s="55">
        <f>SUM(平成17年度!P8:P17)</f>
        <v>224582</v>
      </c>
      <c r="Q32" s="90">
        <f>SUM(平成17年度!Q8:Q17)</f>
        <v>82626</v>
      </c>
      <c r="R32" s="58">
        <f>SUM(平成17年度!R8:R17)</f>
        <v>1194258</v>
      </c>
      <c r="S32" s="55">
        <f>SUM(平成17年度!S8:S17)</f>
        <v>3108444</v>
      </c>
      <c r="T32" s="60">
        <f>平成17年度!C32/平成17年度!R32</f>
        <v>0.45740200191248459</v>
      </c>
      <c r="U32" s="61">
        <f>平成17年度!H32/平成17年度!S32</f>
        <v>0.33114960411060967</v>
      </c>
      <c r="V32" s="62">
        <f>平成17年度!L32/平成17年度!H32</f>
        <v>0.20809240693246289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20.149999999999999" customHeight="1" x14ac:dyDescent="0.2">
      <c r="A33" s="1"/>
      <c r="B33" s="53" t="s">
        <v>64</v>
      </c>
      <c r="C33" s="315">
        <f>SUM(平成17年度!C8:C18)</f>
        <v>600966</v>
      </c>
      <c r="D33" s="55">
        <f>SUM(平成17年度!D8:D18)</f>
        <v>492097</v>
      </c>
      <c r="E33" s="89">
        <f>SUM(平成17年度!E8:E18)</f>
        <v>457699</v>
      </c>
      <c r="F33" s="89">
        <f>SUM(平成17年度!F8:F18)</f>
        <v>34398</v>
      </c>
      <c r="G33" s="90">
        <f>SUM(平成17年度!G8:G18)</f>
        <v>108869</v>
      </c>
      <c r="H33" s="315">
        <f>SUM(平成17年度!H8:H18)</f>
        <v>1131872</v>
      </c>
      <c r="I33" s="55">
        <f>SUM(平成17年度!I8:I18)</f>
        <v>895556</v>
      </c>
      <c r="J33" s="89">
        <f>SUM(平成17年度!J8:J18)</f>
        <v>630411</v>
      </c>
      <c r="K33" s="89">
        <f>SUM(平成17年度!K8:K18)</f>
        <v>265145</v>
      </c>
      <c r="L33" s="89">
        <f>SUM(平成17年度!L8:L18)</f>
        <v>236316</v>
      </c>
      <c r="M33" s="89">
        <f>SUM(平成17年度!M8:M18)</f>
        <v>160446</v>
      </c>
      <c r="N33" s="90">
        <f>SUM(平成17年度!N8:N18)</f>
        <v>75870</v>
      </c>
      <c r="O33" s="315">
        <f>SUM(平成17年度!O8:O18)</f>
        <v>337218</v>
      </c>
      <c r="P33" s="55">
        <f>SUM(平成17年度!P8:P18)</f>
        <v>246514</v>
      </c>
      <c r="Q33" s="90">
        <f>SUM(平成17年度!Q8:Q18)</f>
        <v>90704</v>
      </c>
      <c r="R33" s="58">
        <f>SUM(平成17年度!R8:R18)</f>
        <v>1314434</v>
      </c>
      <c r="S33" s="55">
        <f>SUM(平成17年度!S8:S18)</f>
        <v>3419759</v>
      </c>
      <c r="T33" s="60">
        <f>平成17年度!C33/平成17年度!R33</f>
        <v>0.4572051544619205</v>
      </c>
      <c r="U33" s="61">
        <f>平成17年度!H33/平成17年度!S33</f>
        <v>0.3309800485940676</v>
      </c>
      <c r="V33" s="62">
        <f>平成17年度!L33/平成17年度!H33</f>
        <v>0.20878332532300473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20.149999999999999" customHeight="1" x14ac:dyDescent="0.2">
      <c r="A34" s="1"/>
      <c r="B34" s="53" t="s">
        <v>65</v>
      </c>
      <c r="C34" s="315">
        <f>SUM(平成17年度!C8:C19)</f>
        <v>655725</v>
      </c>
      <c r="D34" s="55">
        <f>SUM(平成17年度!D8:D19)</f>
        <v>536565</v>
      </c>
      <c r="E34" s="89">
        <f>SUM(平成17年度!E8:E19)</f>
        <v>499008</v>
      </c>
      <c r="F34" s="89">
        <f>SUM(平成17年度!F8:F19)</f>
        <v>37557</v>
      </c>
      <c r="G34" s="90">
        <f>SUM(平成17年度!G8:G19)</f>
        <v>119160</v>
      </c>
      <c r="H34" s="315">
        <f>SUM(平成17年度!H8:H19)</f>
        <v>1234259</v>
      </c>
      <c r="I34" s="55">
        <f>SUM(平成17年度!I8:I19)</f>
        <v>975780</v>
      </c>
      <c r="J34" s="89">
        <f>SUM(平成17年度!J8:J19)</f>
        <v>687103</v>
      </c>
      <c r="K34" s="89">
        <f>SUM(平成17年度!K8:K19)</f>
        <v>288677</v>
      </c>
      <c r="L34" s="89">
        <f>SUM(平成17年度!L8:L19)</f>
        <v>258479</v>
      </c>
      <c r="M34" s="89">
        <f>SUM(平成17年度!M8:M19)</f>
        <v>175512</v>
      </c>
      <c r="N34" s="90">
        <f>SUM(平成17年度!N8:N19)</f>
        <v>82967</v>
      </c>
      <c r="O34" s="315">
        <f>SUM(平成17年度!O8:O19)</f>
        <v>367049</v>
      </c>
      <c r="P34" s="55">
        <f>SUM(平成17年度!P8:P19)</f>
        <v>268398</v>
      </c>
      <c r="Q34" s="90">
        <f>SUM(平成17年度!Q8:Q19)</f>
        <v>98651</v>
      </c>
      <c r="R34" s="58">
        <f>SUM(平成17年度!R8:R19)</f>
        <v>1434707</v>
      </c>
      <c r="S34" s="55">
        <f>SUM(平成17年度!S8:S19)</f>
        <v>3730469</v>
      </c>
      <c r="T34" s="60">
        <f>平成17年度!C34/平成17年度!R34</f>
        <v>0.4570445394076979</v>
      </c>
      <c r="U34" s="61">
        <f>平成17年度!H34/平成17年度!S34</f>
        <v>0.33085893489531742</v>
      </c>
      <c r="V34" s="62">
        <f>平成17年度!L34/平成17年度!H34</f>
        <v>0.20942038907555061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20.149999999999999" customHeight="1" x14ac:dyDescent="0.2">
      <c r="A35" s="1"/>
      <c r="B35" s="91" t="s">
        <v>66</v>
      </c>
      <c r="C35" s="317">
        <f>平成16年度!C19+SUM(平成17年度!C8:C18)</f>
        <v>654837</v>
      </c>
      <c r="D35" s="93">
        <f>平成16年度!D19+SUM(平成17年度!D8:D18)</f>
        <v>536677</v>
      </c>
      <c r="E35" s="93">
        <f>平成16年度!E19+SUM(平成17年度!E8:E18)</f>
        <v>499269</v>
      </c>
      <c r="F35" s="93">
        <f>平成16年度!F19+SUM(平成17年度!F8:F18)</f>
        <v>37408</v>
      </c>
      <c r="G35" s="93">
        <f>平成16年度!G19+SUM(平成17年度!G8:G18)</f>
        <v>118160</v>
      </c>
      <c r="H35" s="317">
        <f>平成16年度!H19+SUM(平成17年度!H8:H18)</f>
        <v>1233987</v>
      </c>
      <c r="I35" s="93">
        <f>平成16年度!I19+SUM(平成17年度!I8:I18)</f>
        <v>977428</v>
      </c>
      <c r="J35" s="93">
        <f>平成16年度!J19+SUM(平成17年度!J8:J18)</f>
        <v>687781</v>
      </c>
      <c r="K35" s="93">
        <f>平成16年度!K19+SUM(平成17年度!K8:K18)</f>
        <v>289647</v>
      </c>
      <c r="L35" s="93">
        <f>平成16年度!L19+SUM(平成17年度!L8:L18)</f>
        <v>256559</v>
      </c>
      <c r="M35" s="93">
        <f>平成16年度!M19+SUM(平成17年度!M8:M18)</f>
        <v>174186</v>
      </c>
      <c r="N35" s="93">
        <f>平成16年度!N19+SUM(平成17年度!N8:N18)</f>
        <v>82373</v>
      </c>
      <c r="O35" s="317"/>
      <c r="P35" s="93"/>
      <c r="Q35" s="95"/>
      <c r="R35" s="92">
        <f>平成16年度!R19+SUM(平成17年度!R8:R18)</f>
        <v>1432617</v>
      </c>
      <c r="S35" s="93">
        <f>平成16年度!S19+SUM(平成17年度!S8:S18)</f>
        <v>3729407</v>
      </c>
      <c r="T35" s="96">
        <f>平成17年度!C35/平成17年度!R35</f>
        <v>0.45709146268681722</v>
      </c>
      <c r="U35" s="97">
        <f>平成17年度!H35/平成17年度!S35</f>
        <v>0.33088021768608256</v>
      </c>
      <c r="V35" s="98">
        <f>平成17年度!L35/平成17年度!H35</f>
        <v>0.20791061818317372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平成17年度!K35/12</f>
        <v>24137.25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20.149999999999999" customHeight="1" x14ac:dyDescent="0.2">
      <c r="A37" s="1"/>
      <c r="B37" s="101" t="s">
        <v>67</v>
      </c>
      <c r="C37" s="324">
        <f>平成17年度!C2+平成17年度!C31</f>
        <v>650976</v>
      </c>
      <c r="D37" s="103">
        <f>平成17年度!D2+平成17年度!D31</f>
        <v>535247</v>
      </c>
      <c r="E37" s="104">
        <f>平成17年度!E2+平成17年度!E31</f>
        <v>498315</v>
      </c>
      <c r="F37" s="104">
        <f>平成17年度!F2+平成17年度!F31</f>
        <v>36932</v>
      </c>
      <c r="G37" s="105">
        <f>平成17年度!G2+平成17年度!G31</f>
        <v>115729</v>
      </c>
      <c r="H37" s="102">
        <f>平成17年度!H2+平成17年度!H31</f>
        <v>1229062</v>
      </c>
      <c r="I37" s="103">
        <f>平成17年度!I2+平成17年度!I31</f>
        <v>977298</v>
      </c>
      <c r="J37" s="104">
        <f>平成17年度!J2+平成17年度!J31</f>
        <v>686673</v>
      </c>
      <c r="K37" s="104">
        <f>平成17年度!K2+平成17年度!K31</f>
        <v>290625</v>
      </c>
      <c r="L37" s="104">
        <f>平成17年度!L2+平成17年度!L31</f>
        <v>251764</v>
      </c>
      <c r="M37" s="104">
        <f>平成17年度!M2+平成17年度!M31</f>
        <v>170796</v>
      </c>
      <c r="N37" s="106">
        <f>平成17年度!N2+平成17年度!N31</f>
        <v>80968</v>
      </c>
      <c r="O37" s="106">
        <f>平成17年度!O2+平成17年度!O31</f>
        <v>367451</v>
      </c>
      <c r="P37" s="106">
        <f>平成17年度!P2+平成17年度!P31</f>
        <v>269170</v>
      </c>
      <c r="Q37" s="106">
        <f>平成17年度!Q2+平成17年度!Q31</f>
        <v>98281</v>
      </c>
      <c r="R37" s="106">
        <f>平成17年度!R2+平成17年度!R31</f>
        <v>1424155</v>
      </c>
      <c r="S37" s="103">
        <f>平成17年度!S2+平成17年度!S31</f>
        <v>3715330</v>
      </c>
      <c r="T37" s="107">
        <f>平成17年度!C37/平成17年度!R37</f>
        <v>0.45709631325241984</v>
      </c>
      <c r="U37" s="107">
        <f>平成17年度!H37/平成17年度!S37</f>
        <v>0.33080829966651681</v>
      </c>
      <c r="V37" s="108">
        <f>平成17年度!L37/平成17年度!H37</f>
        <v>0.20484239200300716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20.149999999999999" customHeight="1" x14ac:dyDescent="0.2">
      <c r="A38" s="1"/>
      <c r="B38" s="109" t="s">
        <v>53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#VALUE!</f>
        <v>#VALUE!</v>
      </c>
      <c r="R38" s="114" t="e">
        <f>#VALUE!</f>
        <v>#VALUE!</v>
      </c>
      <c r="S38" s="111" t="e">
        <f>#VALUE!</f>
        <v>#VALUE!</v>
      </c>
      <c r="T38" s="115" t="e">
        <f>平成17年度!C38/平成17年度!R38</f>
        <v>#VALUE!</v>
      </c>
      <c r="U38" s="115" t="e">
        <f>平成17年度!H38/平成17年度!S38</f>
        <v>#VALUE!</v>
      </c>
      <c r="V38" s="116" t="e">
        <f>平成17年度!L38/平成17年度!H38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20.149999999999999" customHeight="1" x14ac:dyDescent="0.2">
      <c r="A40" s="1"/>
      <c r="B40" s="1" t="s">
        <v>475</v>
      </c>
      <c r="C40" s="1"/>
      <c r="D40" s="1"/>
      <c r="E40" s="1"/>
      <c r="F40" s="1"/>
      <c r="G40" s="1"/>
      <c r="H40" s="1"/>
      <c r="I40" s="1"/>
      <c r="J40" s="1" t="s">
        <v>1152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20.149999999999999" customHeight="1" x14ac:dyDescent="0.2">
      <c r="A41" s="1"/>
      <c r="B41" s="1"/>
      <c r="C41" s="1" t="s">
        <v>682</v>
      </c>
      <c r="D41" s="1" t="s">
        <v>1483</v>
      </c>
      <c r="E41" s="1" t="s">
        <v>1484</v>
      </c>
      <c r="F41" s="1" t="s">
        <v>1485</v>
      </c>
      <c r="G41" s="1"/>
      <c r="H41" s="1"/>
      <c r="I41" s="1"/>
      <c r="J41" s="1"/>
      <c r="K41" s="1" t="s">
        <v>405</v>
      </c>
      <c r="L41" s="1" t="s">
        <v>1160</v>
      </c>
      <c r="M41" s="1" t="s">
        <v>817</v>
      </c>
      <c r="N41" s="1" t="s">
        <v>907</v>
      </c>
      <c r="O41" s="1"/>
      <c r="P41" s="1"/>
      <c r="Q41" s="1"/>
      <c r="R41" s="1" t="s">
        <v>1158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ROUND(+平成17年度!R43*平成17年度!N42,0)</f>
        <v>27605</v>
      </c>
      <c r="S42" s="1" t="s">
        <v>1165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20.149999999999999" customHeight="1" x14ac:dyDescent="0.2">
      <c r="A43" s="1"/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ROUND((+平成14年度!K19+平成17年度!K27)/6,0)</f>
        <v>24459</v>
      </c>
      <c r="H43" s="1"/>
      <c r="I43" s="1"/>
      <c r="J43" s="1"/>
      <c r="K43" s="1"/>
      <c r="L43" s="1">
        <f>ROUND(+平成17年度!L42/平成17年度!K42,4)</f>
        <v>0.99850000000000005</v>
      </c>
      <c r="M43" s="1">
        <f>ROUND(+平成17年度!M42/平成17年度!L42,4)</f>
        <v>1.0199</v>
      </c>
      <c r="N43" s="1">
        <f>平成17年度!M43</f>
        <v>1.0199</v>
      </c>
      <c r="O43" s="1"/>
      <c r="P43" s="1"/>
      <c r="Q43" s="1"/>
      <c r="R43" s="1">
        <f>ROUND((平成17年度!M43+平成17年度!N43)/2,4)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20.149999999999999" customHeight="1" x14ac:dyDescent="0.2">
      <c r="A44" s="1"/>
      <c r="B44" s="121" t="s">
        <v>482</v>
      </c>
      <c r="C44" s="121"/>
      <c r="D44" s="122">
        <f>平成17年度!D43/平成17年度!C43</f>
        <v>1.0781186534811042</v>
      </c>
      <c r="E44" s="122">
        <f>平成17年度!E43/平成17年度!D43</f>
        <v>1.0713588239364606</v>
      </c>
      <c r="F44" s="123">
        <f>ROUND(+平成17年度!F43/平成17年度!E43,4)</f>
        <v>1.0658000000000001</v>
      </c>
      <c r="G44" s="123">
        <f>ROUND(+平成17年度!G43/平成17年度!F43,4)</f>
        <v>0.98819999999999997</v>
      </c>
      <c r="H44" s="1"/>
      <c r="I44" s="1"/>
      <c r="J44" s="1" t="s">
        <v>1168</v>
      </c>
      <c r="K44" s="1">
        <f>ROUND(+平成17年度!K46/平成17年度!K42,4)</f>
        <v>0.99309999999999998</v>
      </c>
      <c r="L44" s="1">
        <f>ROUND(+平成17年度!L46/平成17年度!L42,4)</f>
        <v>0.99739999999999995</v>
      </c>
      <c r="M44" s="1">
        <f>ROUND(+平成17年度!M46/平成17年度!M42,4)</f>
        <v>1.0001</v>
      </c>
      <c r="N44" s="1">
        <f>平成17年度!M44</f>
        <v>1.0001</v>
      </c>
      <c r="O44" s="1"/>
      <c r="P44" s="1"/>
      <c r="Q44" s="1"/>
      <c r="R44" s="1">
        <f>ROUND((+平成17年度!N44+平成17年度!M44)/2,4)</f>
        <v>1.0001</v>
      </c>
      <c r="S44" s="1"/>
      <c r="T44" s="1"/>
      <c r="U44" s="1"/>
      <c r="V44" s="1"/>
      <c r="W44" s="117"/>
      <c r="X44" s="124" t="s">
        <v>275</v>
      </c>
      <c r="Y44" s="1"/>
      <c r="Z44" s="125" t="str">
        <f>平成17年度!C3</f>
        <v>平成17年度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20.149999999999999" customHeight="1" x14ac:dyDescent="0.25">
      <c r="A45" s="1"/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ROUND(+平成17年度!F46*平成17年度!G43,0)</f>
        <v>24708</v>
      </c>
      <c r="H45" s="126">
        <f>平成17年度!G45*平成17年度!G47</f>
        <v>24416.445599999999</v>
      </c>
      <c r="I45" s="1"/>
      <c r="J45" s="1"/>
      <c r="K45" s="1"/>
      <c r="L45" s="1"/>
      <c r="M45" s="1"/>
      <c r="N45" s="3">
        <f>ROUND(+平成17年度!N44*平成17年度!N42,0)</f>
        <v>27069</v>
      </c>
      <c r="O45" s="3"/>
      <c r="P45" s="3"/>
      <c r="Q45" s="3"/>
      <c r="R45" s="3">
        <f>ROUND(+平成17年度!R42*平成17年度!R44,0)</f>
        <v>27608</v>
      </c>
      <c r="S45" s="1"/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0.149999999999999" customHeight="1" x14ac:dyDescent="0.2">
      <c r="A46" s="1"/>
      <c r="B46" s="121" t="s">
        <v>498</v>
      </c>
      <c r="C46" s="122">
        <f>平成17年度!C45/平成17年度!C43</f>
        <v>1.0183691570579507</v>
      </c>
      <c r="D46" s="122">
        <f>平成17年度!D45/平成17年度!D43</f>
        <v>1.0172149991157995</v>
      </c>
      <c r="E46" s="122">
        <f>平成17年度!E45/平成17年度!E43</f>
        <v>1.0149703606952676</v>
      </c>
      <c r="F46" s="122">
        <f>ROUND(+平成17年度!F45/平成17年度!F43,4)</f>
        <v>1.0102</v>
      </c>
      <c r="G46" s="122">
        <f>ROUND((+平成17年度!E46+平成17年度!F46)/2,4)</f>
        <v>1.0125999999999999</v>
      </c>
      <c r="H46" s="1"/>
      <c r="I46" s="1"/>
      <c r="J46" s="1" t="s">
        <v>1185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20.149999999999999" customHeight="1" x14ac:dyDescent="0.2">
      <c r="A47" s="1"/>
      <c r="B47" s="121" t="s">
        <v>509</v>
      </c>
      <c r="C47" s="121"/>
      <c r="D47" s="122">
        <f>平成17年度!D45/平成17年度!C45</f>
        <v>1.076896779077434</v>
      </c>
      <c r="E47" s="122">
        <f>平成17年度!E45/平成17年度!D45</f>
        <v>1.0689947089947089</v>
      </c>
      <c r="F47" s="122">
        <f>ROUND(+平成17年度!F45/平成17年度!E45,4)</f>
        <v>1.0608</v>
      </c>
      <c r="G47" s="122">
        <f>ROUND(+平成17年度!G45/平成17年度!F45,4)</f>
        <v>0.98819999999999997</v>
      </c>
      <c r="H47" s="1"/>
      <c r="I47" s="1"/>
      <c r="J47" s="1"/>
      <c r="K47" s="1"/>
      <c r="L47" s="1">
        <f>ROUND(+平成17年度!L46/平成17年度!K46,4)</f>
        <v>1.0027999999999999</v>
      </c>
      <c r="M47" s="1">
        <f>ROUND(+平成17年度!M46/平成17年度!L46,4)</f>
        <v>1.0226</v>
      </c>
      <c r="N47" s="1">
        <f>平成17年度!M47</f>
        <v>1.0226</v>
      </c>
      <c r="O47" s="1"/>
      <c r="P47" s="1"/>
      <c r="Q47" s="1"/>
      <c r="R47" s="1">
        <f>平成17年度!N47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平成17年度!M8</f>
        <v>14086</v>
      </c>
      <c r="AE47" s="144" t="s">
        <v>275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0.14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1198</v>
      </c>
      <c r="K48" s="1"/>
      <c r="L48" s="1"/>
      <c r="M48" s="1"/>
      <c r="N48" s="3">
        <f>ROUND(+平成17年度!M46*平成17年度!N47,0)</f>
        <v>27209</v>
      </c>
      <c r="O48" s="3"/>
      <c r="P48" s="3"/>
      <c r="Q48" s="3"/>
      <c r="R48" s="149">
        <f>ROUND(+平成17年度!N48*平成17年度!R47,0)</f>
        <v>27824</v>
      </c>
      <c r="S48" s="1"/>
      <c r="T48" s="1"/>
      <c r="U48" s="1"/>
      <c r="V48" s="1"/>
      <c r="W48" s="117" t="s">
        <v>308</v>
      </c>
      <c r="X48" s="134" t="s">
        <v>40</v>
      </c>
      <c r="Y48" s="150">
        <f>平成17年度!C8</f>
        <v>54439</v>
      </c>
      <c r="Z48" s="151">
        <f>平成17年度!H8</f>
        <v>103182</v>
      </c>
      <c r="AA48" s="151">
        <f>平成17年度!Z48-平成17年度!AB48-平成17年度!AC48</f>
        <v>57872</v>
      </c>
      <c r="AB48" s="151">
        <f>平成17年度!K8</f>
        <v>24524</v>
      </c>
      <c r="AC48" s="152">
        <f>平成17年度!AD47+平成17年度!AD48</f>
        <v>20786</v>
      </c>
      <c r="AD48" s="153">
        <f>平成17年度!N8</f>
        <v>6700</v>
      </c>
      <c r="AE48" s="151">
        <f>平成17年度!R8</f>
        <v>118667</v>
      </c>
      <c r="AF48" s="150">
        <f>平成17年度!S8</f>
        <v>310204</v>
      </c>
      <c r="AG48" s="154">
        <f>平成17年度!Y48/+平成17年度!AE48</f>
        <v>0.45875432934177152</v>
      </c>
      <c r="AH48" s="155">
        <f>平成17年度!Z48/+平成17年度!AF48</f>
        <v>0.3326262717437557</v>
      </c>
      <c r="AI48" s="156">
        <f>平成17年度!AC48/+平成17年度!Z48</f>
        <v>0.20144986528658099</v>
      </c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0.149999999999999" customHeight="1" x14ac:dyDescent="0.2">
      <c r="A49" s="1"/>
      <c r="B49" s="1"/>
      <c r="C49" s="1"/>
      <c r="D49" s="1"/>
      <c r="E49" s="1"/>
      <c r="F49" s="1"/>
      <c r="G49" s="99" t="s">
        <v>940</v>
      </c>
      <c r="H49" s="99" t="s">
        <v>940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275</v>
      </c>
      <c r="Z49" s="144"/>
      <c r="AA49" s="144"/>
      <c r="AB49" s="144"/>
      <c r="AC49" s="157"/>
      <c r="AD49" s="146">
        <f>平成17年度!M9</f>
        <v>14117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0.149999999999999" customHeight="1" x14ac:dyDescent="0.2">
      <c r="A50" s="1"/>
      <c r="B50" s="1"/>
      <c r="C50" s="1"/>
      <c r="D50" s="1"/>
      <c r="E50" s="1"/>
      <c r="F50" s="1"/>
      <c r="G50" s="160">
        <f>IF(+平成17年度!G45&gt;0,ROUNDUP(+平成17年度!G45,-2),ROUNDDOWN(+平成17年度!G45,-2))</f>
        <v>24800</v>
      </c>
      <c r="H50" s="160">
        <f>IF(+平成17年度!H45&gt;0,ROUNDUP(+平成17年度!H45,-2),ROUNDDOWN(+平成17年度!H45,-2))</f>
        <v>24500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41</v>
      </c>
      <c r="Y50" s="150">
        <f>平成17年度!C9</f>
        <v>54484</v>
      </c>
      <c r="Z50" s="151">
        <f>平成17年度!H9</f>
        <v>103104</v>
      </c>
      <c r="AA50" s="151">
        <f>平成17年度!Z50-平成17年度!AB50-平成17年度!AC50</f>
        <v>57874</v>
      </c>
      <c r="AB50" s="151">
        <f>平成17年度!K9</f>
        <v>24416</v>
      </c>
      <c r="AC50" s="152">
        <f>平成17年度!AD49+平成17年度!AD50</f>
        <v>20814</v>
      </c>
      <c r="AD50" s="153">
        <f>平成17年度!N9</f>
        <v>6697</v>
      </c>
      <c r="AE50" s="151">
        <f>平成17年度!R9</f>
        <v>118897</v>
      </c>
      <c r="AF50" s="150">
        <f>平成17年度!S9</f>
        <v>310384</v>
      </c>
      <c r="AG50" s="154">
        <f>平成17年度!Y50/+平成17年度!AE50</f>
        <v>0.45824537204471094</v>
      </c>
      <c r="AH50" s="155">
        <f>平成17年度!Z50/+平成17年度!AF50</f>
        <v>0.33218207124078558</v>
      </c>
      <c r="AI50" s="156">
        <f>平成17年度!AC50/+平成17年度!Z50</f>
        <v>0.20187383612662943</v>
      </c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20.149999999999999" customHeight="1" x14ac:dyDescent="0.2">
      <c r="A51" s="161" t="s">
        <v>1205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405</v>
      </c>
      <c r="L51" s="1" t="s">
        <v>1160</v>
      </c>
      <c r="M51" s="1" t="s">
        <v>817</v>
      </c>
      <c r="N51" s="1" t="s">
        <v>907</v>
      </c>
      <c r="O51" s="1"/>
      <c r="P51" s="1"/>
      <c r="Q51" s="1"/>
      <c r="R51" s="1" t="s">
        <v>1158</v>
      </c>
      <c r="S51" s="1"/>
      <c r="T51" s="1"/>
      <c r="U51" s="1"/>
      <c r="V51" s="1"/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平成17年度!M10</f>
        <v>14170</v>
      </c>
      <c r="AE51" s="144"/>
      <c r="AF51" s="144"/>
      <c r="AG51" s="147" t="s">
        <v>275</v>
      </c>
      <c r="AH51" s="147" t="s">
        <v>275</v>
      </c>
      <c r="AI51" s="148" t="s">
        <v>275</v>
      </c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20.149999999999999" customHeight="1" x14ac:dyDescent="0.2">
      <c r="A52" s="1" t="s">
        <v>1217</v>
      </c>
      <c r="B52" s="1"/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I52" s="1"/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42</v>
      </c>
      <c r="Y52" s="150">
        <f>平成17年度!C10</f>
        <v>54523</v>
      </c>
      <c r="Z52" s="151">
        <f>平成17年度!H10</f>
        <v>103041</v>
      </c>
      <c r="AA52" s="151">
        <f>平成17年度!Z52-平成17年度!AB52-平成17年度!AC52</f>
        <v>57820</v>
      </c>
      <c r="AB52" s="151">
        <f>平成17年度!K10</f>
        <v>24329</v>
      </c>
      <c r="AC52" s="152">
        <f>平成17年度!AD51+平成17年度!AD52</f>
        <v>20892</v>
      </c>
      <c r="AD52" s="153">
        <f>平成17年度!N10</f>
        <v>6722</v>
      </c>
      <c r="AE52" s="151">
        <f>平成17年度!R10</f>
        <v>119036</v>
      </c>
      <c r="AF52" s="150">
        <f>平成17年度!S10</f>
        <v>310523</v>
      </c>
      <c r="AG52" s="154">
        <f>平成17年度!Y52/+平成17年度!AE52</f>
        <v>0.45803790449947918</v>
      </c>
      <c r="AH52" s="155">
        <f>平成17年度!Z52/+平成17年度!AF52</f>
        <v>0.33183049242729201</v>
      </c>
      <c r="AI52" s="156">
        <f>平成17年度!AC52/+平成17年度!Z52</f>
        <v>0.20275424345648818</v>
      </c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20.14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275</v>
      </c>
      <c r="AB53" s="144"/>
      <c r="AC53" s="157"/>
      <c r="AD53" s="146">
        <f>平成17年度!M11</f>
        <v>14527</v>
      </c>
      <c r="AE53" s="144"/>
      <c r="AF53" s="143"/>
      <c r="AG53" s="158" t="s">
        <v>275</v>
      </c>
      <c r="AH53" s="147" t="s">
        <v>275</v>
      </c>
      <c r="AI53" s="159" t="s">
        <v>275</v>
      </c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20.149999999999999" customHeight="1" x14ac:dyDescent="0.2">
      <c r="A54" s="1"/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ROUND(SUM(+平成17年度!S8:S12)/5,0)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43</v>
      </c>
      <c r="Y54" s="150">
        <f>平成17年度!C11</f>
        <v>54589</v>
      </c>
      <c r="Z54" s="151">
        <f>平成17年度!H11</f>
        <v>103023</v>
      </c>
      <c r="AA54" s="151">
        <f>平成17年度!Z54-平成17年度!AB54-平成17年度!AC54</f>
        <v>57349</v>
      </c>
      <c r="AB54" s="151">
        <f>平成17年度!K11</f>
        <v>24260</v>
      </c>
      <c r="AC54" s="152">
        <f>平成17年度!AD53+平成17年度!AD54</f>
        <v>21414</v>
      </c>
      <c r="AD54" s="153">
        <f>平成17年度!N11</f>
        <v>6887</v>
      </c>
      <c r="AE54" s="151">
        <f>平成17年度!R11</f>
        <v>119138</v>
      </c>
      <c r="AF54" s="150">
        <f>平成17年度!S11</f>
        <v>310639</v>
      </c>
      <c r="AG54" s="154">
        <f>平成17年度!Y54/+平成17年度!AE54</f>
        <v>0.45819973476136916</v>
      </c>
      <c r="AH54" s="155">
        <f>平成17年度!Z54/+平成17年度!AF54</f>
        <v>0.33164863394486849</v>
      </c>
      <c r="AI54" s="156">
        <f>平成17年度!AC54/+平成17年度!Z54</f>
        <v>0.2078564980635392</v>
      </c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20.149999999999999" customHeight="1" x14ac:dyDescent="0.2">
      <c r="A55" s="1"/>
      <c r="B55" s="121" t="s">
        <v>1232</v>
      </c>
      <c r="C55" s="121"/>
      <c r="D55" s="122" t="e">
        <f>平成17年度!D54/平成17年度!C54</f>
        <v>#VALUE!</v>
      </c>
      <c r="E55" s="122" t="e">
        <f>平成17年度!E54/平成17年度!D54</f>
        <v>#VALUE!</v>
      </c>
      <c r="F55" s="123" t="e">
        <f>ROUND(+平成17年度!F54/平成17年度!E54,4)</f>
        <v>#VALUE!</v>
      </c>
      <c r="G55" s="123" t="e">
        <f>ROUND(+平成17年度!G54/平成17年度!F54,4)</f>
        <v>#VALUE!</v>
      </c>
      <c r="H55" s="123" t="e">
        <f>ROUND(+平成17年度!H54/平成17年度!G54,4)</f>
        <v>#VALUE!</v>
      </c>
      <c r="I55" s="1"/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ROUND(ROUND(+平成17年度!M55/平成17年度!L55,4)*平成17年度!M55,0)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275</v>
      </c>
      <c r="AB55" s="144"/>
      <c r="AC55" s="145"/>
      <c r="AD55" s="146">
        <f>平成17年度!M12</f>
        <v>14570</v>
      </c>
      <c r="AE55" s="144"/>
      <c r="AF55" s="144"/>
      <c r="AG55" s="147" t="s">
        <v>275</v>
      </c>
      <c r="AH55" s="147" t="s">
        <v>275</v>
      </c>
      <c r="AI55" s="148" t="s">
        <v>275</v>
      </c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20.149999999999999" customHeight="1" x14ac:dyDescent="0.25">
      <c r="A56" s="1"/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ROUND(ROUND(+平成17年度!M56/平成17年度!L56,4)*平成17年度!M56,0)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44</v>
      </c>
      <c r="Y56" s="150">
        <f>平成17年度!C12</f>
        <v>54603</v>
      </c>
      <c r="Z56" s="151">
        <f>平成17年度!H12</f>
        <v>102927</v>
      </c>
      <c r="AA56" s="151">
        <f>平成17年度!Z56-平成17年度!AB56-平成17年度!AC56</f>
        <v>57257</v>
      </c>
      <c r="AB56" s="151">
        <f>平成17年度!K12</f>
        <v>24189</v>
      </c>
      <c r="AC56" s="152">
        <f>平成17年度!AD55+平成17年度!AD56</f>
        <v>21481</v>
      </c>
      <c r="AD56" s="153">
        <f>平成17年度!N12</f>
        <v>6911</v>
      </c>
      <c r="AE56" s="151">
        <f>平成17年度!R12</f>
        <v>119355</v>
      </c>
      <c r="AF56" s="150">
        <f>平成17年度!S12</f>
        <v>310840</v>
      </c>
      <c r="AG56" s="154">
        <f>平成17年度!Y56/+平成17年度!AE56</f>
        <v>0.45748397637300492</v>
      </c>
      <c r="AH56" s="155">
        <f>平成17年度!Z56/+平成17年度!AF56</f>
        <v>0.33112533779436365</v>
      </c>
      <c r="AI56" s="156">
        <f>平成17年度!AC56/+平成17年度!Z56</f>
        <v>0.20870131258076113</v>
      </c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20.149999999999999" customHeight="1" x14ac:dyDescent="0.2">
      <c r="A57" s="1"/>
      <c r="B57" s="121" t="s">
        <v>1241</v>
      </c>
      <c r="C57" s="122" t="e">
        <f>平成17年度!C56/平成17年度!C54</f>
        <v>#VALUE!</v>
      </c>
      <c r="D57" s="122" t="e">
        <f>平成17年度!D56/平成17年度!D54</f>
        <v>#VALUE!</v>
      </c>
      <c r="E57" s="122" t="e">
        <f>平成17年度!E56/平成17年度!E54</f>
        <v>#VALUE!</v>
      </c>
      <c r="F57" s="122" t="e">
        <f>ROUND(+平成17年度!F56/平成17年度!F54,4)</f>
        <v>#VALUE!</v>
      </c>
      <c r="G57" s="122" t="e">
        <f>ROUND((+平成17年度!E57+平成17年度!F57)/2,4)</f>
        <v>#VALUE!</v>
      </c>
      <c r="H57" s="1"/>
      <c r="I57" s="1"/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O57" s="1"/>
      <c r="P57" s="1"/>
      <c r="Q57" s="1"/>
      <c r="R57" s="1" t="s">
        <v>1247</v>
      </c>
      <c r="S57" s="1" t="s">
        <v>1248</v>
      </c>
      <c r="T57" s="1"/>
      <c r="U57" s="1"/>
      <c r="V57" s="1"/>
      <c r="W57" s="117"/>
      <c r="X57" s="142"/>
      <c r="Y57" s="143"/>
      <c r="Z57" s="144"/>
      <c r="AA57" s="144" t="s">
        <v>275</v>
      </c>
      <c r="AB57" s="144"/>
      <c r="AC57" s="145"/>
      <c r="AD57" s="146">
        <f>平成17年度!M13</f>
        <v>14666</v>
      </c>
      <c r="AE57" s="144"/>
      <c r="AF57" s="144"/>
      <c r="AG57" s="147" t="s">
        <v>275</v>
      </c>
      <c r="AH57" s="147" t="s">
        <v>275</v>
      </c>
      <c r="AI57" s="148" t="s">
        <v>275</v>
      </c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20.149999999999999" customHeight="1" x14ac:dyDescent="0.2">
      <c r="A58" s="1"/>
      <c r="B58" s="121" t="s">
        <v>509</v>
      </c>
      <c r="C58" s="121"/>
      <c r="D58" s="122" t="e">
        <f>平成17年度!D56/平成17年度!C56</f>
        <v>#VALUE!</v>
      </c>
      <c r="E58" s="122" t="e">
        <f>平成17年度!E56/平成17年度!D56</f>
        <v>#VALUE!</v>
      </c>
      <c r="F58" s="122" t="e">
        <f>ROUND(+平成17年度!F56/平成17年度!E56,4)</f>
        <v>#VALUE!</v>
      </c>
      <c r="G58" s="122" t="e">
        <f>ROUND(+平成17年度!G56/平成17年度!F56,4)</f>
        <v>#VALUE!</v>
      </c>
      <c r="H58" s="1"/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45</v>
      </c>
      <c r="Y58" s="150">
        <f>平成17年度!C13</f>
        <v>54604</v>
      </c>
      <c r="Z58" s="151">
        <f>平成17年度!H13</f>
        <v>102829</v>
      </c>
      <c r="AA58" s="151">
        <f>平成17年度!Z58-平成17年度!AB58-平成17年度!AC58</f>
        <v>57107</v>
      </c>
      <c r="AB58" s="151">
        <f>平成17年度!K13</f>
        <v>24124</v>
      </c>
      <c r="AC58" s="152">
        <f>平成17年度!AD57+平成17年度!AD58</f>
        <v>21598</v>
      </c>
      <c r="AD58" s="153">
        <f>平成17年度!N13</f>
        <v>6932</v>
      </c>
      <c r="AE58" s="151">
        <f>平成17年度!R13</f>
        <v>119538</v>
      </c>
      <c r="AF58" s="150">
        <f>平成17年度!S13</f>
        <v>310966</v>
      </c>
      <c r="AG58" s="154">
        <f>平成17年度!Y58/+平成17年度!AE58</f>
        <v>0.45679198246582675</v>
      </c>
      <c r="AH58" s="155">
        <f>平成17年度!Z58/+平成17年度!AF58</f>
        <v>0.33067602245904698</v>
      </c>
      <c r="AI58" s="156">
        <f>平成17年度!AC58/+平成17年度!Z58</f>
        <v>0.21003802429275789</v>
      </c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20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ROUND(+平成17年度!K58/平成17年度!J58,4)</f>
        <v>0.99309999999999998</v>
      </c>
      <c r="L59" s="36">
        <f>ROUND(+平成17年度!L58/平成17年度!K58,4)</f>
        <v>1.0054000000000001</v>
      </c>
      <c r="M59" s="36">
        <f>ROUND(+平成17年度!M58/平成17年度!L58,4)</f>
        <v>0.99739999999999995</v>
      </c>
      <c r="N59" s="36">
        <f>ROUND(+平成17年度!N58/平成17年度!M58,4)</f>
        <v>1.0225</v>
      </c>
      <c r="O59" s="36"/>
      <c r="P59" s="36"/>
      <c r="Q59" s="36"/>
      <c r="R59" s="36">
        <f>ROUND(+平成17年度!R58/平成17年度!N58,4)</f>
        <v>1.0001</v>
      </c>
      <c r="S59" s="36">
        <f>ROUND(+平成17年度!S58/平成17年度!R58,4)</f>
        <v>1.0172000000000001</v>
      </c>
      <c r="T59" s="1"/>
      <c r="U59" s="1"/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平成17年度!M14</f>
        <v>14742</v>
      </c>
      <c r="AE59" s="144"/>
      <c r="AF59" s="144"/>
      <c r="AG59" s="147" t="s">
        <v>275</v>
      </c>
      <c r="AH59" s="147" t="s">
        <v>275</v>
      </c>
      <c r="AI59" s="148" t="s">
        <v>275</v>
      </c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0.149999999999999" customHeight="1" x14ac:dyDescent="0.2">
      <c r="A60" s="1"/>
      <c r="B60" s="1"/>
      <c r="C60" s="1"/>
      <c r="D60" s="1" t="e">
        <f>平成17年度!C57*平成17年度!D54</f>
        <v>#VALUE!</v>
      </c>
      <c r="E60" s="1" t="e">
        <f>平成17年度!D57*平成17年度!E54</f>
        <v>#VALUE!</v>
      </c>
      <c r="F60" s="1" t="e">
        <f>平成17年度!E57*平成17年度!F54</f>
        <v>#VALUE!</v>
      </c>
      <c r="G60" s="1" t="e">
        <f>平成17年度!F57*平成17年度!G54</f>
        <v>#VALUE!</v>
      </c>
      <c r="H60" s="162" t="e">
        <f>IF(+平成17年度!G57*平成17年度!H54&gt;0,ROUNDDOWN(+平成17年度!G57*平成17年度!H54,-2),ROUNDUP(+平成17年度!G57*平成17年度!H54,-2))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46</v>
      </c>
      <c r="Y60" s="150">
        <f>平成17年度!C14</f>
        <v>54763</v>
      </c>
      <c r="Z60" s="151">
        <f>平成17年度!H14</f>
        <v>102988</v>
      </c>
      <c r="AA60" s="151">
        <f>平成17年度!Z60-平成17年度!AB60-平成17年度!AC60</f>
        <v>57212</v>
      </c>
      <c r="AB60" s="151">
        <f>平成17年度!K14</f>
        <v>24067</v>
      </c>
      <c r="AC60" s="152">
        <f>平成17年度!AD59+平成17年度!AD60</f>
        <v>21709</v>
      </c>
      <c r="AD60" s="153">
        <f>平成17年度!N14</f>
        <v>6967</v>
      </c>
      <c r="AE60" s="151">
        <f>平成17年度!R14</f>
        <v>119730</v>
      </c>
      <c r="AF60" s="150">
        <f>平成17年度!S14</f>
        <v>311169</v>
      </c>
      <c r="AG60" s="154">
        <f>平成17年度!Y60/+平成17年度!AE60</f>
        <v>0.45738745510732481</v>
      </c>
      <c r="AH60" s="155">
        <f>平成17年度!Z60/+平成17年度!AF60</f>
        <v>0.3309712728453027</v>
      </c>
      <c r="AI60" s="156">
        <f>平成17年度!AC60/+平成17年度!Z60</f>
        <v>0.21079154852992582</v>
      </c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20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ROUND(+平成17年度!K60/平成17年度!J60,4)</f>
        <v>0.99850000000000005</v>
      </c>
      <c r="L61" s="36">
        <f>ROUND(+平成17年度!L60/平成17年度!K60,4)</f>
        <v>1.0005999999999999</v>
      </c>
      <c r="M61" s="36">
        <f>ROUND(+平成17年度!M60/平成17年度!L60,4)</f>
        <v>1.0077</v>
      </c>
      <c r="N61" s="36">
        <f>ROUND(+平成17年度!N60/平成17年度!M60,4)</f>
        <v>1.0170999999999999</v>
      </c>
      <c r="O61" s="36"/>
      <c r="P61" s="36"/>
      <c r="Q61" s="36"/>
      <c r="R61" s="36">
        <f>ROUND(+平成17年度!R60/平成17年度!N60,4)</f>
        <v>1.0059</v>
      </c>
      <c r="S61" s="36">
        <f>ROUND(+平成17年度!S60/平成17年度!R60,4)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275</v>
      </c>
      <c r="AB61" s="144"/>
      <c r="AC61" s="145"/>
      <c r="AD61" s="146">
        <f>平成17年度!M15</f>
        <v>14752</v>
      </c>
      <c r="AE61" s="144"/>
      <c r="AF61" s="144"/>
      <c r="AG61" s="147" t="s">
        <v>275</v>
      </c>
      <c r="AH61" s="147" t="s">
        <v>275</v>
      </c>
      <c r="AI61" s="148" t="s">
        <v>275</v>
      </c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20.149999999999999" customHeight="1" x14ac:dyDescent="0.2">
      <c r="A62" s="1" t="s">
        <v>11</v>
      </c>
      <c r="B62" s="1"/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47</v>
      </c>
      <c r="Y62" s="150">
        <f>平成17年度!C15</f>
        <v>54751</v>
      </c>
      <c r="Z62" s="151">
        <f>平成17年度!H15</f>
        <v>102844</v>
      </c>
      <c r="AA62" s="151">
        <f>平成17年度!Z62-平成17年度!AB62-平成17年度!AC62</f>
        <v>57141</v>
      </c>
      <c r="AB62" s="151">
        <f>平成17年度!K15</f>
        <v>23987</v>
      </c>
      <c r="AC62" s="152">
        <f>平成17年度!AD61+平成17年度!AD62</f>
        <v>21716</v>
      </c>
      <c r="AD62" s="153">
        <f>平成17年度!N15</f>
        <v>6964</v>
      </c>
      <c r="AE62" s="151">
        <f>平成17年度!R15</f>
        <v>119860</v>
      </c>
      <c r="AF62" s="150">
        <f>平成17年度!S15</f>
        <v>311169</v>
      </c>
      <c r="AG62" s="154">
        <f>平成17年度!Y62/+平成17年度!AE62</f>
        <v>0.45679125646587687</v>
      </c>
      <c r="AH62" s="155">
        <f>平成17年度!Z62/+平成17年度!AF62</f>
        <v>0.33050850181091301</v>
      </c>
      <c r="AI62" s="156">
        <f>平成17年度!AC62/+平成17年度!Z62</f>
        <v>0.21115475866360703</v>
      </c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20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ROUND(+平成17年度!K62/平成17年度!J62,4)</f>
        <v>1.0068999999999999</v>
      </c>
      <c r="L63" s="36">
        <f>ROUND(+平成17年度!L62/平成17年度!K62,4)</f>
        <v>1.0145</v>
      </c>
      <c r="M63" s="36">
        <f>ROUND(+平成17年度!M62/平成17年度!L62,4)</f>
        <v>1.0133000000000001</v>
      </c>
      <c r="N63" s="36">
        <f>ROUND(+平成17年度!N62/平成17年度!M62,4)</f>
        <v>1.0256000000000001</v>
      </c>
      <c r="O63" s="36"/>
      <c r="P63" s="36"/>
      <c r="Q63" s="36"/>
      <c r="R63" s="36">
        <f>ROUND(+平成17年度!R62/平成17年度!N62,4)</f>
        <v>1.0128999999999999</v>
      </c>
      <c r="S63" s="36">
        <f>ROUND(+平成17年度!S62/平成17年度!R62,4)</f>
        <v>1.0219</v>
      </c>
      <c r="T63" s="1"/>
      <c r="U63" s="1"/>
      <c r="V63" s="1"/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平成17年度!M16</f>
        <v>14761</v>
      </c>
      <c r="AE63" s="144"/>
      <c r="AF63" s="143"/>
      <c r="AG63" s="158" t="s">
        <v>275</v>
      </c>
      <c r="AH63" s="147" t="s">
        <v>275</v>
      </c>
      <c r="AI63" s="159" t="s">
        <v>275</v>
      </c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20.149999999999999" customHeight="1" x14ac:dyDescent="0.2">
      <c r="A64" s="1"/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ROUND(SUM(+平成17年度!R8:R12)/5,0)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48</v>
      </c>
      <c r="Y64" s="150">
        <f>平成17年度!C16</f>
        <v>54738</v>
      </c>
      <c r="Z64" s="151">
        <f>平成17年度!H16</f>
        <v>102715</v>
      </c>
      <c r="AA64" s="151">
        <f>平成17年度!Z64-平成17年度!AB64-平成17年度!AC64</f>
        <v>57125</v>
      </c>
      <c r="AB64" s="151">
        <f>平成17年度!K16</f>
        <v>23875</v>
      </c>
      <c r="AC64" s="152">
        <f>平成17年度!AD63+平成17年度!AD64</f>
        <v>21715</v>
      </c>
      <c r="AD64" s="153">
        <f>平成17年度!N16</f>
        <v>6954</v>
      </c>
      <c r="AE64" s="151">
        <f>平成17年度!R16</f>
        <v>119959</v>
      </c>
      <c r="AF64" s="150">
        <f>平成17年度!S16</f>
        <v>311265</v>
      </c>
      <c r="AG64" s="154">
        <f>平成17年度!Y64/+平成17年度!AE64</f>
        <v>0.45630590451737679</v>
      </c>
      <c r="AH64" s="155">
        <f>平成17年度!Z64/+平成17年度!AF64</f>
        <v>0.32999212889338664</v>
      </c>
      <c r="AI64" s="156">
        <f>平成17年度!AC64/+平成17年度!Z64</f>
        <v>0.21141021272452903</v>
      </c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20.149999999999999" customHeight="1" x14ac:dyDescent="0.2">
      <c r="A65" s="163"/>
      <c r="B65" s="121" t="s">
        <v>1232</v>
      </c>
      <c r="C65" s="121"/>
      <c r="D65" s="122" t="e">
        <f>平成17年度!D64/平成17年度!C64</f>
        <v>#VALUE!</v>
      </c>
      <c r="E65" s="122" t="e">
        <f>平成17年度!E64/平成17年度!D64</f>
        <v>#VALUE!</v>
      </c>
      <c r="F65" s="123" t="e">
        <f>ROUND(+平成17年度!F64/平成17年度!E64,4)</f>
        <v>#VALUE!</v>
      </c>
      <c r="G65" s="123" t="e">
        <f>ROUND(+平成17年度!G64/平成17年度!F64,4)</f>
        <v>#VALUE!</v>
      </c>
      <c r="H65" s="123" t="e">
        <f>ROUND(+平成17年度!H64/平成17年度!G64,4)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平成17年度!M17</f>
        <v>15016</v>
      </c>
      <c r="AE65" s="144"/>
      <c r="AF65" s="143"/>
      <c r="AG65" s="158" t="s">
        <v>275</v>
      </c>
      <c r="AH65" s="147" t="s">
        <v>275</v>
      </c>
      <c r="AI65" s="159" t="s">
        <v>275</v>
      </c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149999999999999" customHeight="1" x14ac:dyDescent="0.25">
      <c r="A66" s="1"/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49</v>
      </c>
      <c r="Y66" s="150">
        <f>平成17年度!C17</f>
        <v>54762</v>
      </c>
      <c r="Z66" s="151">
        <f>平成17年度!H17</f>
        <v>102707</v>
      </c>
      <c r="AA66" s="151">
        <f>平成17年度!Z66-平成17年度!AB66-平成17年度!AC66</f>
        <v>56887</v>
      </c>
      <c r="AB66" s="151">
        <f>平成17年度!K17</f>
        <v>23743</v>
      </c>
      <c r="AC66" s="152">
        <f>平成17年度!AD65+平成17年度!AD66</f>
        <v>22077</v>
      </c>
      <c r="AD66" s="153">
        <f>平成17年度!N17</f>
        <v>7061</v>
      </c>
      <c r="AE66" s="151">
        <f>平成17年度!R17</f>
        <v>120078</v>
      </c>
      <c r="AF66" s="150">
        <f>平成17年度!S17</f>
        <v>311285</v>
      </c>
      <c r="AG66" s="154">
        <f>平成17年度!Y66/+平成17年度!AE66</f>
        <v>0.45605356518263129</v>
      </c>
      <c r="AH66" s="155">
        <f>平成17年度!Z66/+平成17年度!AF66</f>
        <v>0.32994522704274221</v>
      </c>
      <c r="AI66" s="156">
        <f>平成17年度!AC66/+平成17年度!Z66</f>
        <v>0.21495126914426474</v>
      </c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20.149999999999999" customHeight="1" x14ac:dyDescent="0.2">
      <c r="A67" s="1"/>
      <c r="B67" s="121" t="s">
        <v>1241</v>
      </c>
      <c r="C67" s="122" t="e">
        <f>平成17年度!C66/平成17年度!C64</f>
        <v>#VALUE!</v>
      </c>
      <c r="D67" s="122" t="e">
        <f>平成17年度!D66/平成17年度!D64</f>
        <v>#VALUE!</v>
      </c>
      <c r="E67" s="122" t="e">
        <f>平成17年度!E66/平成17年度!E64</f>
        <v>#VALUE!</v>
      </c>
      <c r="F67" s="122" t="e">
        <f>ROUND(+平成17年度!F66/平成17年度!F64,4)</f>
        <v>#VALUE!</v>
      </c>
      <c r="G67" s="122" t="e">
        <f>ROUND((+平成17年度!E67+平成17年度!F67)/2,4)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平成17年度!M18</f>
        <v>15039</v>
      </c>
      <c r="AE67" s="144"/>
      <c r="AF67" s="143"/>
      <c r="AG67" s="158" t="s">
        <v>275</v>
      </c>
      <c r="AH67" s="147" t="s">
        <v>275</v>
      </c>
      <c r="AI67" s="159" t="s">
        <v>275</v>
      </c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20.149999999999999" customHeight="1" x14ac:dyDescent="0.2">
      <c r="A68" s="1"/>
      <c r="B68" s="121" t="s">
        <v>509</v>
      </c>
      <c r="C68" s="121"/>
      <c r="D68" s="122" t="e">
        <f>平成17年度!D66/平成17年度!C66</f>
        <v>#VALUE!</v>
      </c>
      <c r="E68" s="122">
        <f>平成17年度!E66/平成17年度!D66</f>
        <v>0.25925412132844117</v>
      </c>
      <c r="F68" s="122">
        <f>ROUND(+平成17年度!F66/平成17年度!E66,4)</f>
        <v>1.0185999999999999</v>
      </c>
      <c r="G68" s="122">
        <f>ROUND(+平成17年度!G66/平成17年度!F66,4)</f>
        <v>1.0221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50</v>
      </c>
      <c r="Y68" s="150">
        <f>平成17年度!C18</f>
        <v>54710</v>
      </c>
      <c r="Z68" s="151">
        <f>平成17年度!H18</f>
        <v>102512</v>
      </c>
      <c r="AA68" s="151">
        <f>平成17年度!Z68-平成17年度!AB68-平成17年度!AC68</f>
        <v>56767</v>
      </c>
      <c r="AB68" s="151">
        <f>平成17年度!K18</f>
        <v>23631</v>
      </c>
      <c r="AC68" s="152">
        <f>平成17年度!AD67+平成17年度!AD68</f>
        <v>22114</v>
      </c>
      <c r="AD68" s="153">
        <f>平成17年度!N18</f>
        <v>7075</v>
      </c>
      <c r="AE68" s="151">
        <f>平成17年度!R18</f>
        <v>120176</v>
      </c>
      <c r="AF68" s="150">
        <f>平成17年度!S18</f>
        <v>311315</v>
      </c>
      <c r="AG68" s="154">
        <f>平成17年度!Y68/+平成17年度!AE68</f>
        <v>0.45524896818000266</v>
      </c>
      <c r="AH68" s="155">
        <f>平成17年度!Z68/+平成17年度!AF68</f>
        <v>0.32928705651831747</v>
      </c>
      <c r="AI68" s="156">
        <f>平成17年度!AC68/+平成17年度!Z68</f>
        <v>0.21572108631184642</v>
      </c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20.14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275</v>
      </c>
      <c r="AB69" s="144"/>
      <c r="AC69" s="157"/>
      <c r="AD69" s="146">
        <f>平成17年度!M19</f>
        <v>15066</v>
      </c>
      <c r="AE69" s="144"/>
      <c r="AF69" s="143"/>
      <c r="AG69" s="158" t="s">
        <v>275</v>
      </c>
      <c r="AH69" s="147" t="s">
        <v>275</v>
      </c>
      <c r="AI69" s="159" t="s">
        <v>275</v>
      </c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20.149999999999999" customHeight="1" x14ac:dyDescent="0.2">
      <c r="A70" s="1"/>
      <c r="B70" s="1"/>
      <c r="C70" s="1"/>
      <c r="D70" s="1" t="e">
        <f>平成17年度!C67*平成17年度!D64</f>
        <v>#VALUE!</v>
      </c>
      <c r="E70" s="1" t="e">
        <f>平成17年度!D67*平成17年度!E64</f>
        <v>#VALUE!</v>
      </c>
      <c r="F70" s="1" t="e">
        <f>平成17年度!E67*平成17年度!F64</f>
        <v>#VALUE!</v>
      </c>
      <c r="G70" s="1" t="e">
        <f>平成17年度!F67*平成17年度!G64</f>
        <v>#VALUE!</v>
      </c>
      <c r="H70" s="162" t="e">
        <f>IF(+平成17年度!G67*平成17年度!H64&gt;0,ROUNDDOWN(+平成17年度!G67*平成17年度!H64,-2),ROUNDUP(+平成17年度!G67*平成17年度!H64,-2))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51</v>
      </c>
      <c r="Y70" s="150">
        <f>平成17年度!C19</f>
        <v>54759</v>
      </c>
      <c r="Z70" s="151">
        <f>平成17年度!H19</f>
        <v>102387</v>
      </c>
      <c r="AA70" s="151">
        <f>平成17年度!Z70-平成17年度!AB70-平成17年度!AC70</f>
        <v>56692</v>
      </c>
      <c r="AB70" s="151">
        <f>平成17年度!K19</f>
        <v>23532</v>
      </c>
      <c r="AC70" s="152">
        <f>平成17年度!AD69+平成17年度!AD70</f>
        <v>22163</v>
      </c>
      <c r="AD70" s="153">
        <f>平成17年度!N19</f>
        <v>7097</v>
      </c>
      <c r="AE70" s="151">
        <f>平成17年度!R19</f>
        <v>120273</v>
      </c>
      <c r="AF70" s="150">
        <f>平成17年度!S19</f>
        <v>310710</v>
      </c>
      <c r="AG70" s="154">
        <f>平成17年度!Y70/+平成17年度!AE70</f>
        <v>0.45528921703125391</v>
      </c>
      <c r="AH70" s="155">
        <f>平成17年度!Z70/+平成17年度!AF70</f>
        <v>0.32952592449551027</v>
      </c>
      <c r="AI70" s="156">
        <f>平成17年度!AC70/+平成17年度!Z70</f>
        <v>0.21646302753279226</v>
      </c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20.14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平成17年度!AD47+平成17年度!AD49+平成17年度!AD51+平成17年度!AD53+平成17年度!AD55+平成17年度!AD57+平成17年度!AD59+平成17年度!AD61+平成17年度!AD63+平成17年度!AD65+平成17年度!AD67+平成17年度!AD69</f>
        <v>175512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20.14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52</v>
      </c>
      <c r="Y72" s="150">
        <f>SUM(平成17年度!Y48:Y70)</f>
        <v>655725</v>
      </c>
      <c r="Z72" s="151">
        <f>SUM(平成17年度!Z48:Z70)</f>
        <v>1234259</v>
      </c>
      <c r="AA72" s="151">
        <f>SUM(平成17年度!AA48:AA70)</f>
        <v>687103</v>
      </c>
      <c r="AB72" s="151">
        <f>SUM(平成17年度!AB48:AB70)</f>
        <v>288677</v>
      </c>
      <c r="AC72" s="152">
        <f>SUM(平成17年度!AC48:AC70)</f>
        <v>258479</v>
      </c>
      <c r="AD72" s="153">
        <f>平成17年度!AD48+平成17年度!AD50+平成17年度!AD52+平成17年度!AD54+平成17年度!AD56+平成17年度!AD58+平成17年度!AD60+平成17年度!AD62+平成17年度!AD64+平成17年度!AD66+平成17年度!AD68+平成17年度!AD70</f>
        <v>82967</v>
      </c>
      <c r="AE72" s="150">
        <f>SUM(平成17年度!AE48:AE70)</f>
        <v>1434707</v>
      </c>
      <c r="AF72" s="151">
        <f>SUM(平成17年度!AF48:AF70)</f>
        <v>3730469</v>
      </c>
      <c r="AG72" s="154">
        <f>平成17年度!Y72/+平成17年度!AE72</f>
        <v>0.4570445394076979</v>
      </c>
      <c r="AH72" s="155">
        <f>平成17年度!Z72/+平成17年度!AF72</f>
        <v>0.33085893489531742</v>
      </c>
      <c r="AI72" s="156">
        <f>平成17年度!AC72/+平成17年度!Z72</f>
        <v>0.20942038907555061</v>
      </c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20.14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69</v>
      </c>
      <c r="Y73" s="143" t="s">
        <v>69</v>
      </c>
      <c r="Z73" s="144" t="s">
        <v>69</v>
      </c>
      <c r="AA73" s="144" t="e">
        <f>平成17年度!AA74+平成17年度!AB74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20.149999999999999" customHeight="1" x14ac:dyDescent="0.2">
      <c r="A74" s="1"/>
      <c r="B74" s="1"/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平成17年度!Y74/+平成17年度!AE74</f>
        <v>#VALUE!</v>
      </c>
      <c r="AH74" s="170" t="e">
        <f>平成17年度!Z74/+平成17年度!AF74</f>
        <v>#VALUE!</v>
      </c>
      <c r="AI74" s="171" t="e">
        <f>平成17年度!AC74/+平成17年度!Z74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平成17年度!M2+平成17年度!AD47+平成17年度!AD49+平成17年度!AD51+平成17年度!AD53+平成17年度!AD55+平成17年度!AD57+平成17年度!AD59+平成17年度!AD61+平成17年度!AD63</f>
        <v>170796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20.149999999999999" customHeight="1" x14ac:dyDescent="0.2">
      <c r="A76" s="1" t="s">
        <v>1339</v>
      </c>
      <c r="B76" s="1">
        <v>2</v>
      </c>
      <c r="C76" s="1">
        <f>平成17年度!C75+平成17年度!C77</f>
        <v>478663</v>
      </c>
      <c r="D76" s="1">
        <f>平成17年度!D75+平成17年度!D77</f>
        <v>497118</v>
      </c>
      <c r="E76" s="1">
        <f>平成17年度!E75+平成17年度!E77</f>
        <v>515553</v>
      </c>
      <c r="F76" s="1">
        <f>平成17年度!F75+平成17年度!F77</f>
        <v>534452</v>
      </c>
      <c r="G76" s="1">
        <f>平成17年度!G75+平成17年度!G77</f>
        <v>555972</v>
      </c>
      <c r="H76" s="1">
        <f>平成17年度!H75+平成17年度!H77</f>
        <v>610005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593</v>
      </c>
      <c r="X76" s="134" t="s">
        <v>52</v>
      </c>
      <c r="Y76" s="181">
        <f>平成17年度!C2+SUM(平成17年度!Y48:Y64)</f>
        <v>650976</v>
      </c>
      <c r="Z76" s="182">
        <f>平成17年度!H2+SUM(平成17年度!Z48:Z64)</f>
        <v>1229062</v>
      </c>
      <c r="AA76" s="182">
        <f>平成17年度!J2+SUM(平成17年度!AA48:AA64)</f>
        <v>686673</v>
      </c>
      <c r="AB76" s="182">
        <f>平成17年度!K2+SUM(平成17年度!AB48:AB64)</f>
        <v>290625</v>
      </c>
      <c r="AC76" s="183">
        <f>平成17年度!L2+SUM(平成17年度!AC48:AC64)</f>
        <v>251764</v>
      </c>
      <c r="AD76" s="184">
        <f>平成17年度!N2+平成17年度!AD48+平成17年度!AD50+平成17年度!AD52+平成17年度!AD54+平成17年度!AD56+平成17年度!AD58+平成17年度!AD60+平成17年度!AD62+平成17年度!AD64</f>
        <v>80968</v>
      </c>
      <c r="AE76" s="181">
        <f>平成17年度!R2+SUM(平成17年度!AE48:AE64)</f>
        <v>1424155</v>
      </c>
      <c r="AF76" s="182">
        <f>平成17年度!S2+SUM(平成17年度!AF48:AF64)</f>
        <v>3715330</v>
      </c>
      <c r="AG76" s="185">
        <f>平成17年度!Y76/+平成17年度!AE76</f>
        <v>0.45709631325241984</v>
      </c>
      <c r="AH76" s="186">
        <f>平成17年度!Z76/+平成17年度!AF76</f>
        <v>0.33080829966651681</v>
      </c>
      <c r="AI76" s="187">
        <f>平成17年度!AC76/+平成17年度!Z76</f>
        <v>0.20484239200300716</v>
      </c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平成17年度!H27</f>
        <v>515277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1343</v>
      </c>
      <c r="X77" s="142" t="s">
        <v>69</v>
      </c>
      <c r="Y77" s="189"/>
      <c r="Z77" s="190"/>
      <c r="AA77" s="190" t="e">
        <f>平成17年度!AA78+平成17年度!AB78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平成17年度!H20</f>
        <v>1234259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平成17年度!Y78/+平成17年度!AE78</f>
        <v>#VALUE!</v>
      </c>
      <c r="AH78" s="202" t="e">
        <f>平成17年度!Z78/+平成17年度!AF78</f>
        <v>#VALUE!</v>
      </c>
      <c r="AI78" s="203" t="e">
        <f>平成17年度!AC78/+平成17年度!Z78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20.149999999999999" customHeight="1" x14ac:dyDescent="0.2">
      <c r="A79" s="1"/>
      <c r="B79" s="1"/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平成17年度!H21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20.149999999999999" customHeight="1" x14ac:dyDescent="0.2">
      <c r="A80" s="1" t="s">
        <v>1347</v>
      </c>
      <c r="B80" s="1"/>
      <c r="C80" s="204">
        <f>ROUND(+平成17年度!C78/平成17年度!C76,8)</f>
        <v>2.02529337</v>
      </c>
      <c r="D80" s="204">
        <f>ROUND(+平成17年度!D78/平成17年度!D76,8)</f>
        <v>2.0240164300000001</v>
      </c>
      <c r="E80" s="204">
        <f>ROUND(+平成17年度!E78/平成17年度!E76,8)</f>
        <v>2.02072144</v>
      </c>
      <c r="F80" s="204">
        <f>ROUND(+平成17年度!F78/平成17年度!F76,8)</f>
        <v>2.0253886200000002</v>
      </c>
      <c r="G80" s="204">
        <f>ROUND(+平成17年度!G78/平成17年度!G76,8)</f>
        <v>2.02343283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20.149999999999999" customHeight="1" x14ac:dyDescent="0.2">
      <c r="A81" s="1" t="s">
        <v>1348</v>
      </c>
      <c r="B81" s="1"/>
      <c r="C81" s="204">
        <f>ROUND(+平成17年度!C78/平成17年度!C77,8)</f>
        <v>2.4246736000000002</v>
      </c>
      <c r="D81" s="204">
        <f>ROUND(+平成17年度!D78/平成17年度!D77,8)</f>
        <v>2.4232626499999999</v>
      </c>
      <c r="E81" s="204">
        <f>ROUND(+平成17年度!E78/平成17年度!E77,8)</f>
        <v>2.4196870499999998</v>
      </c>
      <c r="F81" s="204">
        <f>ROUND(+平成17年度!F78/平成17年度!F77,8)</f>
        <v>2.4238196300000001</v>
      </c>
      <c r="G81" s="204">
        <f>ROUND(+平成17年度!G78/平成17年度!G77,8)</f>
        <v>2.42133062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20.149999999999999" customHeight="1" x14ac:dyDescent="0.2">
      <c r="A82" s="1" t="s">
        <v>1349</v>
      </c>
      <c r="B82" s="1"/>
      <c r="C82" s="1"/>
      <c r="D82" s="204">
        <f>ROUND(+平成17年度!D78/平成17年度!C78,8)</f>
        <v>1.0379004999999999</v>
      </c>
      <c r="E82" s="204">
        <f>ROUND(+平成17年度!E78/平成17年度!D78,8)</f>
        <v>1.0353954299999999</v>
      </c>
      <c r="F82" s="204">
        <f>ROUND(+平成17年度!F78/平成17年度!E78,8)</f>
        <v>1.03905205</v>
      </c>
      <c r="G82" s="204">
        <f>ROUND(+平成17年度!G78/平成17年度!F78,8)</f>
        <v>1.03926103</v>
      </c>
      <c r="H82" s="204" t="s">
        <v>275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20.149999999999999" customHeight="1" x14ac:dyDescent="0.2">
      <c r="A83" s="1" t="s">
        <v>1351</v>
      </c>
      <c r="B83" s="1"/>
      <c r="C83" s="1"/>
      <c r="D83" s="1"/>
      <c r="E83" s="1">
        <f>(+平成17年度!C81+平成17年度!D81)/2*平成17年度!E77/12</f>
        <v>86969.35035953125</v>
      </c>
      <c r="F83" s="1">
        <f>(+平成17年度!D81+平成17年度!E81)/2*平成17年度!F77/12</f>
        <v>90118.818755025</v>
      </c>
      <c r="G83" s="1">
        <f>(+平成17年度!E81+平成17年度!F81)/2*平成17年度!G77/12</f>
        <v>93764.033128671654</v>
      </c>
      <c r="H83" s="1">
        <f>(+平成17年度!F81+平成17年度!G81)/2*平成17年度!H77/12</f>
        <v>104024.77022371873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20.14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20.14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20.149999999999999" customHeight="1" x14ac:dyDescent="0.2">
      <c r="A86" s="1"/>
      <c r="B86" s="1"/>
      <c r="C86" s="1"/>
      <c r="D86" s="1"/>
      <c r="E86" s="1"/>
      <c r="F86" s="1" t="e">
        <f>(+平成17年度!D82+平成17年度!E82)/2*平成17年度!E79</f>
        <v>#VALUE!</v>
      </c>
      <c r="G86" s="1" t="e">
        <f>(+平成17年度!E82+平成17年度!F82)/2*平成17年度!F79</f>
        <v>#VALUE!</v>
      </c>
      <c r="H86" s="1" t="e">
        <f>(+平成17年度!F82+平成17年度!G82)/2*平成17年度!G79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4" orientation="landscape" horizontalDpi="400" verticalDpi="300" r:id="rId1"/>
  <headerFooter alignWithMargins="0">
    <oddHeader>&amp;L</oddHeader>
    <oddFooter>&amp;L&amp;Z&amp;F&amp;R&amp;F&amp;A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0" defaultRowHeight="14" x14ac:dyDescent="0.2"/>
  <cols>
    <col min="1" max="2" width="10" style="206" customWidth="1"/>
    <col min="3" max="3" width="13" style="206" customWidth="1"/>
    <col min="4" max="10" width="11" style="206" customWidth="1"/>
    <col min="11" max="16384" width="10" style="206"/>
  </cols>
  <sheetData>
    <row r="1" spans="1:19" ht="16.5" x14ac:dyDescent="0.25">
      <c r="A1" s="207" t="s">
        <v>2655</v>
      </c>
    </row>
    <row r="2" spans="1:19" x14ac:dyDescent="0.2">
      <c r="A2" s="208"/>
      <c r="B2" s="209"/>
      <c r="C2" s="208"/>
      <c r="D2" s="210"/>
      <c r="E2" s="211"/>
      <c r="F2" s="212"/>
      <c r="G2" s="213"/>
      <c r="H2" s="208"/>
      <c r="I2" s="212"/>
      <c r="J2" s="213"/>
    </row>
    <row r="3" spans="1:19" x14ac:dyDescent="0.2">
      <c r="A3" s="214"/>
      <c r="C3" s="215" t="s">
        <v>2656</v>
      </c>
      <c r="D3" s="216" t="s">
        <v>2657</v>
      </c>
      <c r="E3" s="217" t="s">
        <v>2658</v>
      </c>
      <c r="F3" s="218" t="s">
        <v>2659</v>
      </c>
      <c r="G3" s="219" t="s">
        <v>2660</v>
      </c>
      <c r="H3" s="217" t="s">
        <v>2661</v>
      </c>
      <c r="I3" s="218" t="s">
        <v>2662</v>
      </c>
      <c r="J3" s="219" t="s">
        <v>2663</v>
      </c>
    </row>
    <row r="4" spans="1:19" x14ac:dyDescent="0.2">
      <c r="A4" s="220"/>
      <c r="B4" s="221"/>
      <c r="C4" s="222"/>
      <c r="D4" s="223"/>
      <c r="E4" s="224" t="s">
        <v>2664</v>
      </c>
      <c r="F4" s="225" t="s">
        <v>2665</v>
      </c>
      <c r="G4" s="226" t="s">
        <v>2666</v>
      </c>
      <c r="H4" s="227"/>
      <c r="I4" s="228"/>
      <c r="J4" s="229"/>
    </row>
    <row r="5" spans="1:19" x14ac:dyDescent="0.2">
      <c r="A5" s="214" t="s">
        <v>2667</v>
      </c>
      <c r="B5" s="206" t="s">
        <v>2668</v>
      </c>
      <c r="C5" s="230">
        <v>76171</v>
      </c>
      <c r="D5" s="231">
        <v>48779</v>
      </c>
      <c r="E5" s="232">
        <v>26128</v>
      </c>
      <c r="F5" s="233"/>
      <c r="G5" s="234"/>
      <c r="H5" s="235">
        <f>介護２号見込!E5-介護２号見込!I5</f>
        <v>20980</v>
      </c>
      <c r="I5" s="236">
        <v>5148</v>
      </c>
      <c r="J5" s="237">
        <f>ROUND(+介護２号見込!I5/介護２号見込!E5,4)</f>
        <v>0.19700000000000001</v>
      </c>
      <c r="O5" s="238" t="s">
        <v>2669</v>
      </c>
      <c r="P5" s="238" t="s">
        <v>2670</v>
      </c>
    </row>
    <row r="6" spans="1:19" x14ac:dyDescent="0.2">
      <c r="A6" s="214"/>
      <c r="B6" s="206" t="s">
        <v>2671</v>
      </c>
      <c r="C6" s="230">
        <v>76694</v>
      </c>
      <c r="D6" s="231">
        <v>48708</v>
      </c>
      <c r="E6" s="232">
        <v>25949</v>
      </c>
      <c r="F6" s="239"/>
      <c r="G6" s="240"/>
      <c r="H6" s="235">
        <f>介護２号見込!E6-介護２号見込!I6</f>
        <v>20774</v>
      </c>
      <c r="I6" s="236">
        <v>5175</v>
      </c>
      <c r="J6" s="237">
        <f>ROUND(+介護２号見込!I6/介護２号見込!E6,4)</f>
        <v>0.19939999999999999</v>
      </c>
      <c r="M6" s="206" t="s">
        <v>2672</v>
      </c>
      <c r="N6" s="206" t="s">
        <v>2673</v>
      </c>
      <c r="O6" s="241">
        <v>26128</v>
      </c>
      <c r="P6" s="241">
        <v>24709</v>
      </c>
      <c r="Q6" s="242">
        <f>介護２号見込!P6-介護２号見込!O9</f>
        <v>-1379</v>
      </c>
    </row>
    <row r="7" spans="1:19" x14ac:dyDescent="0.2">
      <c r="A7" s="214"/>
      <c r="B7" s="206" t="s">
        <v>2674</v>
      </c>
      <c r="C7" s="230">
        <v>76218</v>
      </c>
      <c r="D7" s="231">
        <v>48735</v>
      </c>
      <c r="E7" s="243"/>
      <c r="F7" s="244"/>
      <c r="G7" s="234"/>
      <c r="H7" s="214"/>
      <c r="I7" s="245"/>
      <c r="J7" s="234"/>
      <c r="N7" s="206" t="s">
        <v>2675</v>
      </c>
      <c r="O7" s="241">
        <v>25949</v>
      </c>
      <c r="P7" s="241">
        <v>24404</v>
      </c>
      <c r="Q7" s="242">
        <f>介護２号見込!P7-介護２号見込!O10</f>
        <v>-1617</v>
      </c>
      <c r="R7" s="206">
        <f>ROUND(+介護２号見込!Q7/介護２号見込!Q6,4)</f>
        <v>1.1726000000000001</v>
      </c>
    </row>
    <row r="8" spans="1:19" x14ac:dyDescent="0.2">
      <c r="A8" s="246"/>
      <c r="B8" s="247"/>
      <c r="C8" s="248">
        <f>ROUND((介護２号見込!C5+介護２号見込!C6)/2/介護２号見込!C7,6)</f>
        <v>1.0028140000000001</v>
      </c>
      <c r="D8" s="249">
        <f>ROUND((介護２号見込!D5+介護２号見込!D6)/2/介護２号見込!D7,6)</f>
        <v>1.0001739999999999</v>
      </c>
      <c r="E8" s="250">
        <f>ROUND((介護２号見込!E5+介護２号見込!E6)/(介護２号見込!C8*2),0)</f>
        <v>25965</v>
      </c>
      <c r="F8" s="251">
        <f>ROUND((介護２号見込!E5+介護２号見込!E6)/(介護２号見込!D8*2),0)</f>
        <v>26034</v>
      </c>
      <c r="G8" s="252">
        <f>ROUND((+介護２号見込!E5+介護２号見込!E6)/(介護２号見込!C5+介護２号見込!C6)*介護２号見込!C7,0)</f>
        <v>25965</v>
      </c>
      <c r="H8" s="253">
        <f>介護２号見込!E8-介護２号見込!I8</f>
        <v>20819</v>
      </c>
      <c r="I8" s="254">
        <f>ROUND(+介護２号見込!J8*介護２号見込!G8,0)</f>
        <v>5146</v>
      </c>
      <c r="J8" s="255">
        <f>ROUND((介護２号見込!J5+介護２号見込!J6)/2,4)</f>
        <v>0.19819999999999999</v>
      </c>
      <c r="O8" s="256">
        <f>ROUND((+介護２号見込!O7+介護２号見込!O6)/(介護２号見込!C8*2),0)</f>
        <v>25965</v>
      </c>
      <c r="P8" s="241"/>
      <c r="Q8" s="242"/>
    </row>
    <row r="9" spans="1:19" x14ac:dyDescent="0.2">
      <c r="A9" s="214" t="s">
        <v>2676</v>
      </c>
      <c r="B9" s="206" t="s">
        <v>2677</v>
      </c>
      <c r="C9" s="230">
        <v>77805</v>
      </c>
      <c r="D9" s="231">
        <v>48738</v>
      </c>
      <c r="E9" s="232">
        <v>26088</v>
      </c>
      <c r="F9" s="257"/>
      <c r="G9" s="240"/>
      <c r="H9" s="235">
        <f>介護２号見込!E9-介護２号見込!I9</f>
        <v>20641</v>
      </c>
      <c r="I9" s="236">
        <v>5447</v>
      </c>
      <c r="J9" s="237">
        <f>ROUND(+介護２号見込!I9/介護２号見込!E9,4)</f>
        <v>0.20880000000000001</v>
      </c>
      <c r="M9" s="206" t="s">
        <v>2678</v>
      </c>
      <c r="N9" s="206" t="s">
        <v>2679</v>
      </c>
      <c r="O9" s="241">
        <v>26088</v>
      </c>
      <c r="P9" s="241">
        <v>24662</v>
      </c>
      <c r="Q9" s="242">
        <f>介護２号見込!P9-介護２号見込!O12</f>
        <v>-1944</v>
      </c>
      <c r="R9" s="206">
        <f>ROUND(+介護２号見込!Q9/介護２号見込!Q7,4)</f>
        <v>1.2021999999999999</v>
      </c>
    </row>
    <row r="10" spans="1:19" x14ac:dyDescent="0.2">
      <c r="A10" s="214"/>
      <c r="B10" s="206" t="s">
        <v>2680</v>
      </c>
      <c r="C10" s="230">
        <v>78843</v>
      </c>
      <c r="D10" s="231">
        <v>49113</v>
      </c>
      <c r="E10" s="232">
        <v>26021</v>
      </c>
      <c r="F10" s="233"/>
      <c r="G10" s="234"/>
      <c r="H10" s="235">
        <f>介護２号見込!E10-介護２号見込!I10</f>
        <v>20573</v>
      </c>
      <c r="I10" s="236">
        <v>5448</v>
      </c>
      <c r="J10" s="237">
        <f>ROUND(+介護２号見込!I10/介護２号見込!E10,4)</f>
        <v>0.2094</v>
      </c>
      <c r="N10" s="206" t="s">
        <v>2681</v>
      </c>
      <c r="O10" s="241">
        <v>26021</v>
      </c>
      <c r="P10" s="241">
        <v>24689</v>
      </c>
      <c r="Q10" s="242">
        <f>介護２号見込!P10-介護２号見込!O13</f>
        <v>-1919</v>
      </c>
      <c r="R10" s="206">
        <f>ROUND(+介護２号見込!Q10/介護２号見込!Q9,4)</f>
        <v>0.98709999999999998</v>
      </c>
    </row>
    <row r="11" spans="1:19" x14ac:dyDescent="0.2">
      <c r="A11" s="214"/>
      <c r="B11" s="206" t="s">
        <v>2682</v>
      </c>
      <c r="C11" s="230">
        <v>77915</v>
      </c>
      <c r="D11" s="231">
        <v>48811</v>
      </c>
      <c r="E11" s="243"/>
      <c r="F11" s="257"/>
      <c r="G11" s="234"/>
      <c r="H11" s="214"/>
      <c r="I11" s="245"/>
      <c r="J11" s="234"/>
      <c r="O11" s="256">
        <f>ROUND((+介護２号見込!O10+介護２号見込!O9)/(介護２号見込!C12*2),0)</f>
        <v>25918</v>
      </c>
      <c r="P11" s="241"/>
      <c r="Q11" s="242"/>
    </row>
    <row r="12" spans="1:19" x14ac:dyDescent="0.2">
      <c r="A12" s="246"/>
      <c r="B12" s="247"/>
      <c r="C12" s="248">
        <f>ROUND((介護２号見込!C9+介護２号見込!C10)/2/介護２号見込!C11,6)</f>
        <v>1.0052490000000001</v>
      </c>
      <c r="D12" s="249">
        <f>ROUND((介護２号見込!D9+介護２号見込!D10)/2/介護２号見込!D11,6)</f>
        <v>1.002346</v>
      </c>
      <c r="E12" s="250">
        <f>ROUND((介護２号見込!E9+介護２号見込!E10)/(介護２号見込!C12*2),0)</f>
        <v>25918</v>
      </c>
      <c r="F12" s="251">
        <f>ROUND((介護２号見込!E9+介護２号見込!E10)/(介護２号見込!D12*2),0)</f>
        <v>25994</v>
      </c>
      <c r="G12" s="252">
        <f>ROUND((+介護２号見込!E9+介護２号見込!E10)/(介護２号見込!C9+介護２号見込!C10)*介護２号見込!C11,0)</f>
        <v>25918</v>
      </c>
      <c r="H12" s="253">
        <f>介護２号見込!E12-介護２号見込!I12</f>
        <v>20499</v>
      </c>
      <c r="I12" s="254">
        <f>ROUND(+介護２号見込!J12*介護２号見込!G12,0)</f>
        <v>5419</v>
      </c>
      <c r="J12" s="255">
        <f>ROUND((介護２号見込!J9+介護２号見込!J10)/2,4)</f>
        <v>0.20910000000000001</v>
      </c>
      <c r="M12" s="206" t="s">
        <v>2683</v>
      </c>
      <c r="N12" s="206" t="s">
        <v>2684</v>
      </c>
      <c r="O12" s="241">
        <v>26606</v>
      </c>
      <c r="P12" s="241">
        <v>25060</v>
      </c>
      <c r="Q12" s="242">
        <f>介護２号見込!P12-介護２号見込!O15</f>
        <v>-2006</v>
      </c>
      <c r="R12" s="206">
        <f>ROUND(+介護２号見込!Q12/介護２号見込!Q10,4)</f>
        <v>1.0452999999999999</v>
      </c>
    </row>
    <row r="13" spans="1:19" x14ac:dyDescent="0.2">
      <c r="A13" s="214" t="s">
        <v>2685</v>
      </c>
      <c r="B13" s="206" t="s">
        <v>2686</v>
      </c>
      <c r="C13" s="230">
        <v>80862</v>
      </c>
      <c r="D13" s="231">
        <v>49951</v>
      </c>
      <c r="E13" s="232">
        <v>26606</v>
      </c>
      <c r="F13" s="233"/>
      <c r="G13" s="234"/>
      <c r="H13" s="235">
        <f>介護２号見込!E13-介護２号見込!I13</f>
        <v>20815</v>
      </c>
      <c r="I13" s="236">
        <v>5791</v>
      </c>
      <c r="J13" s="237">
        <f>ROUND(+介護２号見込!I13/介護２号見込!E13,4)</f>
        <v>0.2177</v>
      </c>
      <c r="N13" s="206" t="s">
        <v>2687</v>
      </c>
      <c r="O13" s="241">
        <v>26608</v>
      </c>
      <c r="P13" s="241">
        <v>25028</v>
      </c>
      <c r="Q13" s="242">
        <f>ROUND(+介護２号見込!Q12*介護２号見込!R13,0)</f>
        <v>-2210</v>
      </c>
      <c r="R13" s="206">
        <f>ROUND(SUM(介護２号見込!R7:R12)/4,4)</f>
        <v>1.1017999999999999</v>
      </c>
    </row>
    <row r="14" spans="1:19" x14ac:dyDescent="0.2">
      <c r="A14" s="214"/>
      <c r="B14" s="206" t="s">
        <v>2688</v>
      </c>
      <c r="C14" s="230">
        <v>81903</v>
      </c>
      <c r="D14" s="231">
        <v>50246</v>
      </c>
      <c r="E14" s="232">
        <v>26608</v>
      </c>
      <c r="F14" s="233"/>
      <c r="G14" s="234"/>
      <c r="H14" s="235">
        <f>介護２号見込!E14-介護２号見込!I14</f>
        <v>20846</v>
      </c>
      <c r="I14" s="236">
        <v>5762</v>
      </c>
      <c r="J14" s="237">
        <f>ROUND(+介護２号見込!I14/介護２号見込!E14,4)</f>
        <v>0.21659999999999999</v>
      </c>
      <c r="O14" s="256">
        <f>ROUND((+介護２号見込!O13+介護２号見込!O12)/(介護２号見込!C16*2),0)</f>
        <v>26412</v>
      </c>
      <c r="P14" s="241"/>
    </row>
    <row r="15" spans="1:19" x14ac:dyDescent="0.2">
      <c r="A15" s="214"/>
      <c r="B15" s="206" t="s">
        <v>2689</v>
      </c>
      <c r="C15" s="230">
        <v>80786</v>
      </c>
      <c r="D15" s="231">
        <v>49824</v>
      </c>
      <c r="E15" s="243"/>
      <c r="F15" s="257"/>
      <c r="G15" s="234"/>
      <c r="H15" s="214"/>
      <c r="I15" s="245"/>
      <c r="J15" s="234"/>
      <c r="M15" s="206" t="s">
        <v>2690</v>
      </c>
      <c r="N15" s="206" t="s">
        <v>2691</v>
      </c>
      <c r="O15" s="241">
        <v>27066</v>
      </c>
      <c r="P15" s="241">
        <v>25479</v>
      </c>
      <c r="Q15" s="242">
        <f>ROUND(+介護２号見込!Q13*介護２号見込!R15,0)</f>
        <v>-2396</v>
      </c>
      <c r="R15" s="206">
        <f>ROUND(SUM(介護２号見込!R9:R13)/4,4)</f>
        <v>1.0841000000000001</v>
      </c>
      <c r="S15" s="206">
        <v>4</v>
      </c>
    </row>
    <row r="16" spans="1:19" x14ac:dyDescent="0.2">
      <c r="A16" s="246"/>
      <c r="B16" s="247"/>
      <c r="C16" s="248">
        <f>ROUND((介護２号見込!C13+介護２号見込!C14)/2/介護２号見込!C15,6)</f>
        <v>1.0073840000000001</v>
      </c>
      <c r="D16" s="249">
        <f>ROUND((介護２号見込!D13+介護２号見込!D14)/2/介護２号見込!D15,6)</f>
        <v>1.005509</v>
      </c>
      <c r="E16" s="250">
        <f>ROUND((介護２号見込!E13+介護２号見込!E14)/(介護２号見込!C16*2),0)</f>
        <v>26412</v>
      </c>
      <c r="F16" s="251">
        <f>ROUND((介護２号見込!E13+介護２号見込!E14)/(介護２号見込!D16*2),0)</f>
        <v>26461</v>
      </c>
      <c r="G16" s="252">
        <f>ROUND((+介護２号見込!E13+介護２号見込!E14)/(介護２号見込!C13+介護２号見込!C14)*介護２号見込!C15,0)</f>
        <v>26412</v>
      </c>
      <c r="H16" s="253">
        <f>介護２号見込!E16-介護２号見込!I16</f>
        <v>20675</v>
      </c>
      <c r="I16" s="254">
        <f>ROUND(+介護２号見込!J16*介護２号見込!G16,0)</f>
        <v>5737</v>
      </c>
      <c r="J16" s="255">
        <f>ROUND((介護２号見込!J13+介護２号見込!J14)/2,4)</f>
        <v>0.2172</v>
      </c>
      <c r="N16" s="206" t="s">
        <v>2692</v>
      </c>
      <c r="O16" s="242">
        <f>介護２号見込!P13-介護２号見込!Q13</f>
        <v>27238</v>
      </c>
      <c r="P16" s="242">
        <f>ROUND(ROUND((ROUND(+介護２号見込!P13/介護２号見込!P12,4)+ROUND(介護２号見込!P10/介護２号見込!P9,4))/2,4)*介護２号見込!P15,0)</f>
        <v>25476</v>
      </c>
      <c r="Q16" s="242">
        <f>ROUND(+介護２号見込!Q15*介護２号見込!R16,0)</f>
        <v>-2581</v>
      </c>
      <c r="R16" s="206">
        <f>ROUND(SUM(介護２号見込!R12:R15)/3,4)</f>
        <v>1.0770999999999999</v>
      </c>
      <c r="S16" s="206">
        <v>3</v>
      </c>
    </row>
    <row r="17" spans="1:17" x14ac:dyDescent="0.2">
      <c r="A17" s="214" t="s">
        <v>2693</v>
      </c>
      <c r="B17" s="206" t="s">
        <v>2694</v>
      </c>
      <c r="C17" s="230">
        <v>83699</v>
      </c>
      <c r="D17" s="231">
        <v>50707</v>
      </c>
      <c r="E17" s="232">
        <v>27066</v>
      </c>
      <c r="F17" s="239"/>
      <c r="G17" s="258"/>
      <c r="H17" s="235">
        <f>介護２号見込!E17-介護２号見込!I17</f>
        <v>20948</v>
      </c>
      <c r="I17" s="236">
        <v>6118</v>
      </c>
      <c r="J17" s="237">
        <f>ROUND(+介護２号見込!I17/介護２号見込!E17,4)</f>
        <v>0.22600000000000001</v>
      </c>
      <c r="O17" s="256">
        <f>ROUND(+介護２号見込!B20*ROUND(((介護２号見込!O16+介護２号見込!O15)/2),0),0)</f>
        <v>27290</v>
      </c>
      <c r="P17" s="242"/>
      <c r="Q17" s="242"/>
    </row>
    <row r="18" spans="1:17" x14ac:dyDescent="0.2">
      <c r="A18" s="214"/>
      <c r="B18" s="206" t="s">
        <v>2695</v>
      </c>
      <c r="C18" s="230">
        <v>85006</v>
      </c>
      <c r="D18" s="231">
        <v>50943</v>
      </c>
      <c r="E18" s="232">
        <v>27006</v>
      </c>
      <c r="F18" s="257"/>
      <c r="G18" s="234"/>
      <c r="H18" s="235">
        <f>介護２号見込!E18-介護２号見込!I18</f>
        <v>20836</v>
      </c>
      <c r="I18" s="236">
        <v>6170</v>
      </c>
      <c r="J18" s="237">
        <f>ROUND(+介護２号見込!I18/介護２号見込!E18,4)</f>
        <v>0.22850000000000001</v>
      </c>
      <c r="M18" s="206" t="s">
        <v>2696</v>
      </c>
      <c r="N18" s="206" t="s">
        <v>2697</v>
      </c>
      <c r="O18" s="242">
        <f>介護２号見込!P15-介護２号見込!Q15</f>
        <v>27875</v>
      </c>
      <c r="P18" s="242"/>
      <c r="Q18" s="242"/>
    </row>
    <row r="19" spans="1:17" x14ac:dyDescent="0.2">
      <c r="A19" s="214"/>
      <c r="B19" s="206" t="s">
        <v>2698</v>
      </c>
      <c r="C19" s="230">
        <v>83847</v>
      </c>
      <c r="D19" s="231">
        <v>50763</v>
      </c>
      <c r="E19" s="259"/>
      <c r="F19" s="244"/>
      <c r="G19" s="258"/>
      <c r="H19" s="214"/>
      <c r="I19" s="245"/>
      <c r="J19" s="234"/>
      <c r="N19" s="206" t="s">
        <v>2699</v>
      </c>
      <c r="O19" s="242">
        <f>介護２号見込!P16-介護２号見込!Q16</f>
        <v>28057</v>
      </c>
      <c r="P19" s="242"/>
      <c r="Q19" s="242"/>
    </row>
    <row r="20" spans="1:17" x14ac:dyDescent="0.2">
      <c r="A20" s="246"/>
      <c r="B20" s="247">
        <f>ROUND((+介護２号見込!C8+介護２号見込!C12+介護２号見込!C16)/3,4)</f>
        <v>1.0051000000000001</v>
      </c>
      <c r="C20" s="248">
        <f>ROUND(+介護２号見込!C19/介護２号見込!C17,6)</f>
        <v>1.001768</v>
      </c>
      <c r="D20" s="249">
        <f>ROUND(+介護２号見込!D19/介護２号見込!D17,6)</f>
        <v>1.001104</v>
      </c>
      <c r="E20" s="250">
        <f>ROUND(+介護２号見込!E17*介護２号見込!C20,0)</f>
        <v>27114</v>
      </c>
      <c r="F20" s="251">
        <f>ROUND(+介護２号見込!E17*介護２号見込!D20,0)</f>
        <v>27096</v>
      </c>
      <c r="G20" s="252">
        <f>ROUND((+介護２号見込!E17+介護２号見込!E18)/(介護２号見込!C17+介護２号見込!C18)*介護２号見込!C19,0)</f>
        <v>26874</v>
      </c>
      <c r="H20" s="253">
        <f>介護２号見込!E20-介護２号見込!I20</f>
        <v>21024</v>
      </c>
      <c r="I20" s="254">
        <f>ROUND(+介護２号見込!J20*介護２号見込!G20,0)</f>
        <v>6090</v>
      </c>
      <c r="J20" s="255">
        <f>ROUND((+介護２号見込!J6-介護２号見込!J5+介護２号見込!J10-介護２号見込!J9+介護２号見込!J14-介護２号見込!J13)/3,4)+介護２号見込!J17</f>
        <v>0.2266</v>
      </c>
      <c r="O20" s="256">
        <f>ROUND(ROUND((+介護２号見込!B20+介護２号見込!C16+介護２号見込!C16)/3,4)*ROUND((介護２号見込!O19+介護２号見込!O18)/2,0),0)</f>
        <v>28151</v>
      </c>
    </row>
    <row r="21" spans="1:17" x14ac:dyDescent="0.2">
      <c r="A21" s="214" t="s">
        <v>2700</v>
      </c>
      <c r="B21" s="206" t="s">
        <v>2701</v>
      </c>
      <c r="C21" s="230">
        <v>86697</v>
      </c>
      <c r="D21" s="231">
        <v>51546</v>
      </c>
      <c r="E21" s="232">
        <v>27442</v>
      </c>
      <c r="F21" s="239"/>
      <c r="G21" s="258"/>
      <c r="H21" s="235">
        <f>介護２号見込!E21-介護２号見込!I21</f>
        <v>20990</v>
      </c>
      <c r="I21" s="236">
        <v>6452</v>
      </c>
      <c r="J21" s="237">
        <f>ROUND(+介護２号見込!I21/介護２号見込!E21,4)</f>
        <v>0.2351</v>
      </c>
    </row>
    <row r="22" spans="1:17" x14ac:dyDescent="0.2">
      <c r="A22" s="214"/>
      <c r="B22" s="206" t="s">
        <v>2702</v>
      </c>
      <c r="C22" s="230">
        <v>87854</v>
      </c>
      <c r="D22" s="231">
        <v>51745</v>
      </c>
      <c r="E22" s="232">
        <v>27178</v>
      </c>
      <c r="F22" s="257"/>
      <c r="G22" s="234"/>
      <c r="H22" s="235">
        <f>介護２号見込!E22-介護２号見込!I22</f>
        <v>20917</v>
      </c>
      <c r="I22" s="236">
        <v>6261</v>
      </c>
      <c r="J22" s="237">
        <f>ROUND(+介護２号見込!I22/介護２号見込!E22,4)</f>
        <v>0.23039999999999999</v>
      </c>
    </row>
    <row r="23" spans="1:17" x14ac:dyDescent="0.2">
      <c r="A23" s="214"/>
      <c r="B23" s="206" t="s">
        <v>2703</v>
      </c>
      <c r="C23" s="230">
        <v>86816</v>
      </c>
      <c r="D23" s="231">
        <v>51546</v>
      </c>
      <c r="E23" s="259"/>
      <c r="F23" s="244"/>
      <c r="G23" s="258"/>
      <c r="H23" s="214"/>
      <c r="I23" s="245"/>
      <c r="J23" s="234"/>
    </row>
    <row r="24" spans="1:17" x14ac:dyDescent="0.2">
      <c r="A24" s="246"/>
      <c r="B24" s="247">
        <f>ROUND((+介護２号見込!C12+介護２号見込!C16+介護２号見込!C20)/3,4)</f>
        <v>1.0047999999999999</v>
      </c>
      <c r="C24" s="248">
        <f>ROUND(+介護２号見込!C23/介護２号見込!C21,6)</f>
        <v>1.0013730000000001</v>
      </c>
      <c r="D24" s="249">
        <f>ROUND(+介護２号見込!D23/介護２号見込!D21,6)</f>
        <v>1</v>
      </c>
      <c r="E24" s="250">
        <f>ROUND(+介護２号見込!E21*介護２号見込!C24,0)</f>
        <v>27480</v>
      </c>
      <c r="F24" s="251">
        <f>ROUND(+介護２号見込!E21*介護２号見込!D24,0)</f>
        <v>27442</v>
      </c>
      <c r="G24" s="252">
        <f>ROUND((+介護２号見込!E21+介護２号見込!E22)/(介護２号見込!C21+介護２号見込!C22)*介護２号見込!C23,0)</f>
        <v>27166</v>
      </c>
      <c r="H24" s="253">
        <f>介護２号見込!E24-介護２号見込!I24</f>
        <v>21074</v>
      </c>
      <c r="I24" s="254">
        <f>ROUND(+介護２号見込!J24*介護２号見込!G24,0)</f>
        <v>6406</v>
      </c>
      <c r="J24" s="255">
        <f>ROUND((+介護２号見込!J10-介護２号見込!J9+介護２号見込!J14-介護２号見込!J13+介護２号見込!J18-介護２号見込!J17)/3,4)+介護２号見込!J21</f>
        <v>0.23580000000000001</v>
      </c>
    </row>
    <row r="25" spans="1:17" x14ac:dyDescent="0.2">
      <c r="A25" s="214" t="s">
        <v>2704</v>
      </c>
      <c r="B25" s="206" t="s">
        <v>2705</v>
      </c>
      <c r="C25" s="230">
        <v>90178</v>
      </c>
      <c r="D25" s="231">
        <f>介護２号見込!D21/介護２号見込!C21*介護２号見込!C25</f>
        <v>53615.6405411952</v>
      </c>
      <c r="E25" s="232">
        <v>27962</v>
      </c>
      <c r="F25" s="239"/>
      <c r="G25" s="258"/>
      <c r="H25" s="235">
        <f>介護２号見込!E25-介護２号見込!I25</f>
        <v>21070</v>
      </c>
      <c r="I25" s="236">
        <v>6892</v>
      </c>
      <c r="J25" s="237">
        <f>ROUND(+介護２号見込!I25/介護２号見込!E25,4)</f>
        <v>0.2465</v>
      </c>
    </row>
    <row r="26" spans="1:17" x14ac:dyDescent="0.2">
      <c r="A26" s="214"/>
      <c r="B26" s="206" t="s">
        <v>2706</v>
      </c>
      <c r="C26" s="260"/>
      <c r="D26" s="261"/>
      <c r="E26" s="262"/>
      <c r="F26" s="257"/>
      <c r="G26" s="234"/>
      <c r="H26" s="214"/>
      <c r="I26" s="245"/>
      <c r="J26" s="234"/>
    </row>
    <row r="27" spans="1:17" x14ac:dyDescent="0.2">
      <c r="A27" s="214"/>
      <c r="B27" s="206" t="s">
        <v>2707</v>
      </c>
      <c r="C27" s="230">
        <v>86850</v>
      </c>
      <c r="D27" s="231">
        <v>52500</v>
      </c>
      <c r="E27" s="259"/>
      <c r="F27" s="244"/>
      <c r="G27" s="258"/>
      <c r="H27" s="214"/>
      <c r="I27" s="245"/>
      <c r="J27" s="234"/>
    </row>
    <row r="28" spans="1:17" x14ac:dyDescent="0.2">
      <c r="A28" s="246"/>
      <c r="B28" s="247">
        <f>ROUND((+介護２号見込!C16+介護２号見込!C20+介護２号見込!C24)/3,4)</f>
        <v>1.0035000000000001</v>
      </c>
      <c r="C28" s="248">
        <f>ROUND(+介護２号見込!C27/介護２号見込!C25,6)</f>
        <v>0.96309500000000003</v>
      </c>
      <c r="D28" s="249">
        <f>ROUND(+介護２号見込!D27/介護２号見込!D25,6)</f>
        <v>0.97919199999999995</v>
      </c>
      <c r="E28" s="250">
        <f>ROUND(+介護２号見込!E25*介護２号見込!C28,0)</f>
        <v>26930</v>
      </c>
      <c r="F28" s="251">
        <f>ROUND(+介護２号見込!E25*介護２号見込!D28,0)</f>
        <v>27380</v>
      </c>
      <c r="G28" s="252">
        <f>ROUND((+介護２号見込!E25+介護２号見込!E26)/(介護２号見込!C25+介護２号見込!C26)*介護２号見込!C27,0)</f>
        <v>26930</v>
      </c>
      <c r="H28" s="253">
        <f>介護２号見込!E28-介護２号見込!I28</f>
        <v>20321</v>
      </c>
      <c r="I28" s="254">
        <f>ROUND(+介護２号見込!J28*介護２号見込!G28,0)</f>
        <v>6609</v>
      </c>
      <c r="J28" s="255">
        <f>ROUND((+介護２号見込!J14-介護２号見込!J13+介護２号見込!J18-介護２号見込!J17+介護２号見込!J22-介護２号見込!J21)/3,4)+介護２号見込!J25</f>
        <v>0.24540000000000001</v>
      </c>
    </row>
    <row r="29" spans="1:17" x14ac:dyDescent="0.2">
      <c r="A29" s="214" t="s">
        <v>2708</v>
      </c>
      <c r="B29" s="206" t="s">
        <v>2709</v>
      </c>
      <c r="C29" s="263"/>
      <c r="D29" s="264"/>
      <c r="E29" s="265"/>
      <c r="F29" s="266"/>
      <c r="G29" s="234"/>
      <c r="H29" s="214"/>
      <c r="I29" s="245"/>
      <c r="J29" s="234"/>
    </row>
    <row r="30" spans="1:17" x14ac:dyDescent="0.2">
      <c r="A30" s="214"/>
      <c r="B30" s="206" t="s">
        <v>2710</v>
      </c>
      <c r="C30" s="260"/>
      <c r="D30" s="261"/>
      <c r="E30" s="259"/>
      <c r="F30" s="244"/>
      <c r="G30" s="234"/>
      <c r="H30" s="214"/>
      <c r="I30" s="245"/>
      <c r="J30" s="234"/>
    </row>
    <row r="31" spans="1:17" x14ac:dyDescent="0.2">
      <c r="A31" s="214"/>
      <c r="B31" s="206" t="s">
        <v>2711</v>
      </c>
      <c r="C31" s="230">
        <v>90300</v>
      </c>
      <c r="D31" s="231">
        <v>52250</v>
      </c>
      <c r="E31" s="259"/>
      <c r="F31" s="244"/>
      <c r="G31" s="234"/>
      <c r="H31" s="214"/>
      <c r="I31" s="245"/>
      <c r="J31" s="234"/>
    </row>
    <row r="32" spans="1:17" x14ac:dyDescent="0.2">
      <c r="A32" s="214"/>
      <c r="C32" s="267">
        <f>ROUND(+介護２号見込!C31/介護２号見込!C27,6)</f>
        <v>1.0397240000000001</v>
      </c>
      <c r="D32" s="268">
        <f>ROUND(+介護２号見込!D31/介護２号見込!D27,6)</f>
        <v>0.99523799999999996</v>
      </c>
      <c r="E32" s="269">
        <f>ROUND(+介護２号見込!C32*介護２号見込!E28,0)</f>
        <v>28000</v>
      </c>
      <c r="F32" s="270">
        <f>ROUND(+介護２号見込!E28*介護２号見込!D32,0)</f>
        <v>26802</v>
      </c>
      <c r="G32" s="271"/>
      <c r="H32" s="272">
        <f>介護２号見込!E32-介護２号見込!I32</f>
        <v>20866</v>
      </c>
      <c r="I32" s="273">
        <f>ROUND(+介護２号見込!J32*介護２号見込!E32,0)</f>
        <v>7134</v>
      </c>
      <c r="J32" s="274">
        <f>ROUND((+介護２号見込!J28-介護２号見込!J20)/2+介護２号見込!J28,4)</f>
        <v>0.25480000000000003</v>
      </c>
    </row>
    <row r="33" spans="1:10" x14ac:dyDescent="0.2">
      <c r="A33" s="214"/>
      <c r="C33" s="214"/>
      <c r="D33" s="275"/>
      <c r="E33" s="276">
        <f>ROUND(+介護２号見込!F28*介護２号見込!C32,0)</f>
        <v>28468</v>
      </c>
      <c r="F33" s="277">
        <f>ROUND(+介護２号見込!F28*介護２号見込!D32,0)</f>
        <v>27250</v>
      </c>
      <c r="G33" s="278"/>
      <c r="H33" s="214"/>
      <c r="I33" s="245"/>
      <c r="J33" s="234"/>
    </row>
    <row r="34" spans="1:10" x14ac:dyDescent="0.2">
      <c r="A34" s="220"/>
      <c r="B34" s="221"/>
      <c r="C34" s="220"/>
      <c r="D34" s="223"/>
      <c r="E34" s="272">
        <f>介護２号見込!H34+介護２号見込!I34</f>
        <v>27900</v>
      </c>
      <c r="F34" s="279"/>
      <c r="G34" s="280"/>
      <c r="H34" s="272">
        <f>IF(+介護２号見込!H32&gt;0,ROUNDDOWN(+介護２号見込!H32,-2),ROUNDUP(+介護２号見込!H32,-2))</f>
        <v>20800</v>
      </c>
      <c r="I34" s="273">
        <f>IF(+介護２号見込!I32&gt;0,ROUNDDOWN(+介護２号見込!I32,-2),ROUNDUP(+介護２号見込!I32,-2))</f>
        <v>7100</v>
      </c>
      <c r="J34" s="229"/>
    </row>
    <row r="41" spans="1:10" x14ac:dyDescent="0.2">
      <c r="C41" s="238" t="s">
        <v>2712</v>
      </c>
      <c r="D41" s="238" t="str">
        <f>介護２号見込!H3</f>
        <v>2号一般</v>
      </c>
      <c r="E41" s="238" t="str">
        <f>介護２号見込!I3</f>
        <v>2号退職</v>
      </c>
    </row>
    <row r="42" spans="1:10" x14ac:dyDescent="0.2">
      <c r="A42" s="206" t="s">
        <v>2713</v>
      </c>
      <c r="C42" s="242">
        <f>介護２号見込!E34</f>
        <v>27900</v>
      </c>
      <c r="D42" s="242">
        <f>介護２号見込!H34</f>
        <v>20800</v>
      </c>
      <c r="E42" s="242">
        <f>介護２号見込!I34</f>
        <v>7100</v>
      </c>
      <c r="G42" s="206" t="s">
        <v>2714</v>
      </c>
    </row>
    <row r="43" spans="1:10" x14ac:dyDescent="0.2">
      <c r="A43" s="206" t="s">
        <v>2715</v>
      </c>
      <c r="C43" s="281">
        <v>37560</v>
      </c>
      <c r="D43" s="242">
        <f>介護２号見込!C43</f>
        <v>37560</v>
      </c>
      <c r="E43" s="242">
        <f>介護２号見込!C43</f>
        <v>37560</v>
      </c>
      <c r="G43" s="206" t="s">
        <v>2716</v>
      </c>
    </row>
    <row r="44" spans="1:10" x14ac:dyDescent="0.2">
      <c r="A44" s="282" t="s">
        <v>2717</v>
      </c>
      <c r="B44" s="282"/>
      <c r="C44" s="283">
        <f>介護２号見込!D44+介護２号見込!E44</f>
        <v>1047924000</v>
      </c>
      <c r="D44" s="283">
        <f>介護２号見込!D42*介護２号見込!D43</f>
        <v>781248000</v>
      </c>
      <c r="E44" s="283">
        <f>介護２号見込!E42*介護２号見込!E43</f>
        <v>266676000</v>
      </c>
    </row>
    <row r="46" spans="1:10" x14ac:dyDescent="0.2">
      <c r="B46" s="206" t="s">
        <v>2718</v>
      </c>
    </row>
    <row r="47" spans="1:10" x14ac:dyDescent="0.2">
      <c r="B47" s="206" t="s">
        <v>2719</v>
      </c>
      <c r="D47" s="242">
        <f>介護２号見込!D44*0.5-介護２号見込!D48</f>
        <v>369642000</v>
      </c>
      <c r="E47" s="242">
        <f>介護２号見込!E44*0.5-介護２号見込!F48</f>
        <v>130108000</v>
      </c>
    </row>
    <row r="48" spans="1:10" x14ac:dyDescent="0.2">
      <c r="B48" s="206" t="s">
        <v>2720</v>
      </c>
      <c r="D48" s="281">
        <v>20982000</v>
      </c>
      <c r="E48" s="242">
        <v>0</v>
      </c>
      <c r="F48" s="281">
        <v>3230000</v>
      </c>
    </row>
    <row r="49" spans="2:6" x14ac:dyDescent="0.2">
      <c r="B49" s="206" t="s">
        <v>2721</v>
      </c>
      <c r="D49" s="242">
        <f>介護２号見込!D44*0.4</f>
        <v>312499200</v>
      </c>
      <c r="E49" s="242">
        <f>IF(介護２号見込!E44*0.4&gt;0,ROUNDUP(介護２号見込!E44*0.4,-3),ROUNDDOWN(介護２号見込!E44*0.4,-3))</f>
        <v>106671000</v>
      </c>
      <c r="F49" s="206" t="s">
        <v>2722</v>
      </c>
    </row>
    <row r="50" spans="2:6" x14ac:dyDescent="0.2">
      <c r="B50" s="206" t="s">
        <v>2723</v>
      </c>
      <c r="D50" s="242">
        <f>介護２号見込!D44*0.1</f>
        <v>78124800</v>
      </c>
      <c r="E50" s="242">
        <f>IF(介護２号見込!E44*0.1&gt;0,ROUNDDOWN(介護２号見込!E44*0.1,-3),ROUNDUP(介護２号見込!E44*0.1,-3))</f>
        <v>26667000</v>
      </c>
      <c r="F50" s="206" t="s">
        <v>2724</v>
      </c>
    </row>
    <row r="51" spans="2:6" x14ac:dyDescent="0.2">
      <c r="B51" s="206" t="s">
        <v>2725</v>
      </c>
      <c r="D51" s="242">
        <f>介護２号見込!D44*0.1-介護２号見込!D50</f>
        <v>0</v>
      </c>
      <c r="E51" s="242">
        <f>介護２号見込!F48</f>
        <v>3230000</v>
      </c>
    </row>
    <row r="52" spans="2:6" x14ac:dyDescent="0.2">
      <c r="B52" s="206" t="s">
        <v>2726</v>
      </c>
      <c r="D52" s="242"/>
      <c r="E52" s="242">
        <v>0</v>
      </c>
    </row>
    <row r="53" spans="2:6" x14ac:dyDescent="0.2">
      <c r="B53" s="242"/>
    </row>
    <row r="54" spans="2:6" x14ac:dyDescent="0.2">
      <c r="E54" s="242">
        <f>SUM(介護２号見込!E47:E52)-介護２号見込!E44</f>
        <v>0</v>
      </c>
    </row>
    <row r="61" spans="2:6" x14ac:dyDescent="0.2">
      <c r="C61" s="206" t="str">
        <f>IF(介護２号見込!D44=SUM(介護２号見込!D47:D51),"　　　　○","　　　　×")</f>
        <v>　　　　○</v>
      </c>
      <c r="D61" s="206" t="str">
        <f>IF(介護２号見込!E44=+介護２号見込!E47+介護２号見込!E52,"　　　　○","　　　　×")</f>
        <v>　　　　×</v>
      </c>
    </row>
    <row r="63" spans="2:6" x14ac:dyDescent="0.2">
      <c r="E63" s="242"/>
    </row>
    <row r="70" spans="1:5" x14ac:dyDescent="0.2">
      <c r="A70" s="206" t="s">
        <v>2727</v>
      </c>
      <c r="C70" s="242"/>
      <c r="D70" s="242">
        <f>介護２号見込!E47</f>
        <v>130108000</v>
      </c>
      <c r="E70" s="284">
        <f>介護２号見込!D70/介護２号見込!E44</f>
        <v>0.48788792392266273</v>
      </c>
    </row>
    <row r="71" spans="1:5" x14ac:dyDescent="0.2">
      <c r="A71" s="206" t="s">
        <v>2728</v>
      </c>
      <c r="D71" s="242">
        <f>介護２号見込!E51</f>
        <v>3230000</v>
      </c>
      <c r="E71" s="284">
        <f>介護２号見込!D71/介護２号見込!E44</f>
        <v>1.2112076077337294E-2</v>
      </c>
    </row>
    <row r="72" spans="1:5" x14ac:dyDescent="0.2">
      <c r="A72" s="206" t="s">
        <v>2729</v>
      </c>
      <c r="C72" s="242"/>
      <c r="D72" s="242">
        <f>介護２号見込!E49</f>
        <v>106671000</v>
      </c>
      <c r="E72" s="284">
        <f>介護２号見込!D72/介護２号見込!E44</f>
        <v>0.40000224992125277</v>
      </c>
    </row>
    <row r="73" spans="1:5" x14ac:dyDescent="0.2">
      <c r="A73" s="206" t="s">
        <v>2730</v>
      </c>
      <c r="C73" s="242"/>
      <c r="D73" s="242">
        <f>介護２号見込!E50</f>
        <v>26667000</v>
      </c>
      <c r="E73" s="284">
        <f>介護２号見込!D73/介護２号見込!E44</f>
        <v>9.9997750078747241E-2</v>
      </c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419"/>
  <sheetViews>
    <sheetView workbookViewId="0">
      <pane ySplit="4" topLeftCell="A5" activePane="bottomLeft" state="frozen"/>
      <selection pane="bottomLeft"/>
    </sheetView>
  </sheetViews>
  <sheetFormatPr defaultColWidth="10" defaultRowHeight="14" x14ac:dyDescent="0.2"/>
  <cols>
    <col min="1" max="2" width="4" style="206" customWidth="1"/>
    <col min="3" max="3" width="8" style="206" customWidth="1"/>
    <col min="4" max="16384" width="10" style="206"/>
  </cols>
  <sheetData>
    <row r="1" spans="3:20" x14ac:dyDescent="0.2"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3:20" x14ac:dyDescent="0.2">
      <c r="C2" s="9"/>
      <c r="D2" s="10" t="s">
        <v>2731</v>
      </c>
      <c r="E2" s="11"/>
      <c r="F2" s="11"/>
      <c r="G2" s="11"/>
      <c r="H2" s="12"/>
      <c r="I2" s="10" t="s">
        <v>2732</v>
      </c>
      <c r="J2" s="11"/>
      <c r="K2" s="11"/>
      <c r="L2" s="11"/>
      <c r="M2" s="11"/>
      <c r="N2" s="11"/>
      <c r="O2" s="12"/>
      <c r="P2" s="13" t="s">
        <v>2733</v>
      </c>
      <c r="Q2" s="14" t="s">
        <v>2734</v>
      </c>
      <c r="R2" s="15" t="s">
        <v>2735</v>
      </c>
      <c r="S2" s="15" t="s">
        <v>2736</v>
      </c>
      <c r="T2" s="16" t="s">
        <v>2737</v>
      </c>
    </row>
    <row r="3" spans="3:20" x14ac:dyDescent="0.2">
      <c r="C3" s="23"/>
      <c r="D3" s="24" t="s">
        <v>2738</v>
      </c>
      <c r="E3" s="25" t="s">
        <v>2739</v>
      </c>
      <c r="F3" s="26" t="s">
        <v>2740</v>
      </c>
      <c r="G3" s="26" t="s">
        <v>2741</v>
      </c>
      <c r="H3" s="27" t="s">
        <v>2742</v>
      </c>
      <c r="I3" s="24" t="s">
        <v>2743</v>
      </c>
      <c r="J3" s="25" t="s">
        <v>2744</v>
      </c>
      <c r="K3" s="26" t="s">
        <v>2745</v>
      </c>
      <c r="L3" s="26" t="s">
        <v>2746</v>
      </c>
      <c r="M3" s="26" t="s">
        <v>2747</v>
      </c>
      <c r="N3" s="26" t="s">
        <v>2748</v>
      </c>
      <c r="O3" s="27" t="s">
        <v>2749</v>
      </c>
      <c r="P3" s="24" t="s">
        <v>2750</v>
      </c>
      <c r="Q3" s="25" t="s">
        <v>2751</v>
      </c>
      <c r="R3" s="26" t="s">
        <v>2752</v>
      </c>
      <c r="S3" s="28" t="s">
        <v>2753</v>
      </c>
      <c r="T3" s="29" t="s">
        <v>2754</v>
      </c>
    </row>
    <row r="4" spans="3:20" x14ac:dyDescent="0.2">
      <c r="C4" s="53"/>
      <c r="D4" s="38" t="s">
        <v>2755</v>
      </c>
      <c r="E4" s="285" t="s">
        <v>2756</v>
      </c>
      <c r="F4" s="286" t="s">
        <v>2757</v>
      </c>
      <c r="G4" s="286" t="s">
        <v>2758</v>
      </c>
      <c r="H4" s="287" t="s">
        <v>2759</v>
      </c>
      <c r="I4" s="38" t="s">
        <v>2760</v>
      </c>
      <c r="J4" s="285" t="s">
        <v>2761</v>
      </c>
      <c r="K4" s="286" t="s">
        <v>2762</v>
      </c>
      <c r="L4" s="286" t="s">
        <v>2763</v>
      </c>
      <c r="M4" s="286" t="s">
        <v>2764</v>
      </c>
      <c r="N4" s="286" t="s">
        <v>2765</v>
      </c>
      <c r="O4" s="287" t="s">
        <v>2766</v>
      </c>
      <c r="P4" s="39"/>
      <c r="Q4" s="40"/>
      <c r="R4" s="41"/>
      <c r="S4" s="41"/>
      <c r="T4" s="42"/>
    </row>
    <row r="5" spans="3:20" x14ac:dyDescent="0.2">
      <c r="C5" s="53" t="s">
        <v>2767</v>
      </c>
      <c r="D5" s="48">
        <f>平成4年度!C8</f>
        <v>34159</v>
      </c>
      <c r="E5" s="45">
        <f>Ｎ!F5+Ｎ!G5</f>
        <v>29421</v>
      </c>
      <c r="F5" s="45">
        <f>Ｎ!D5-Ｎ!H5-Ｎ!G5</f>
        <v>28074</v>
      </c>
      <c r="G5" s="79">
        <f>平成4年度!F8</f>
        <v>1347</v>
      </c>
      <c r="H5" s="80">
        <f>平成4年度!G8</f>
        <v>4738</v>
      </c>
      <c r="I5" s="48">
        <f>Ｎ!J5+Ｎ!M5</f>
        <v>73592</v>
      </c>
      <c r="J5" s="45">
        <f>Ｎ!K5+Ｎ!L5</f>
        <v>64014</v>
      </c>
      <c r="K5" s="45">
        <f>平成4年度!J8</f>
        <v>51281</v>
      </c>
      <c r="L5" s="79">
        <f>平成4年度!K8</f>
        <v>12733</v>
      </c>
      <c r="M5" s="45">
        <f>Ｎ!N5+Ｎ!O5</f>
        <v>9578</v>
      </c>
      <c r="N5" s="45">
        <f>平成4年度!M8</f>
        <v>6875</v>
      </c>
      <c r="O5" s="80">
        <f>平成4年度!N8</f>
        <v>2703</v>
      </c>
      <c r="P5" s="48">
        <f>平成4年度!O8</f>
        <v>93729</v>
      </c>
      <c r="Q5" s="45">
        <f>平成4年度!P8</f>
        <v>281999</v>
      </c>
      <c r="R5" s="50">
        <f>Ｎ!D5/Ｎ!P5</f>
        <v>0.36444430219035728</v>
      </c>
      <c r="S5" s="51">
        <f>Ｎ!I5/Ｎ!Q5</f>
        <v>0.2609654644165405</v>
      </c>
      <c r="T5" s="52">
        <f>Ｎ!M5/Ｎ!I5</f>
        <v>0.13015001630612022</v>
      </c>
    </row>
    <row r="6" spans="3:20" x14ac:dyDescent="0.2">
      <c r="C6" s="43">
        <v>5</v>
      </c>
      <c r="D6" s="48">
        <f>平成4年度!C9</f>
        <v>34159</v>
      </c>
      <c r="E6" s="45">
        <f>Ｎ!F6+Ｎ!G6</f>
        <v>29421</v>
      </c>
      <c r="F6" s="45">
        <f>Ｎ!D6-Ｎ!H6-Ｎ!G6</f>
        <v>28080</v>
      </c>
      <c r="G6" s="79">
        <f>平成4年度!F9</f>
        <v>1341</v>
      </c>
      <c r="H6" s="80">
        <f>平成4年度!G9</f>
        <v>4738</v>
      </c>
      <c r="I6" s="48">
        <f>Ｎ!J6+Ｎ!M6</f>
        <v>73354</v>
      </c>
      <c r="J6" s="45">
        <f>Ｎ!K6+Ｎ!L6</f>
        <v>63791</v>
      </c>
      <c r="K6" s="45">
        <f>平成4年度!J9</f>
        <v>51028</v>
      </c>
      <c r="L6" s="79">
        <f>平成4年度!K9</f>
        <v>12763</v>
      </c>
      <c r="M6" s="45">
        <f>Ｎ!N6+Ｎ!O6</f>
        <v>9563</v>
      </c>
      <c r="N6" s="45">
        <f>平成4年度!M9</f>
        <v>6869</v>
      </c>
      <c r="O6" s="80">
        <f>平成4年度!N9</f>
        <v>2694</v>
      </c>
      <c r="P6" s="48">
        <f>平成4年度!O9</f>
        <v>93938</v>
      </c>
      <c r="Q6" s="45">
        <f>平成4年度!P9</f>
        <v>282296</v>
      </c>
      <c r="R6" s="50">
        <f>Ｎ!D6/Ｎ!P6</f>
        <v>0.3636334603674764</v>
      </c>
      <c r="S6" s="51">
        <f>Ｎ!I6/Ｎ!Q6</f>
        <v>0.25984781931022755</v>
      </c>
      <c r="T6" s="52">
        <f>Ｎ!M6/Ｎ!I6</f>
        <v>0.13036780543664966</v>
      </c>
    </row>
    <row r="7" spans="3:20" x14ac:dyDescent="0.2">
      <c r="C7" s="43">
        <v>6</v>
      </c>
      <c r="D7" s="48">
        <f>平成4年度!C10</f>
        <v>34198</v>
      </c>
      <c r="E7" s="55">
        <f>Ｎ!F7+Ｎ!G7</f>
        <v>29404</v>
      </c>
      <c r="F7" s="55">
        <f>Ｎ!D7-Ｎ!H7-Ｎ!G7</f>
        <v>28053</v>
      </c>
      <c r="G7" s="89">
        <f>平成4年度!F10</f>
        <v>1351</v>
      </c>
      <c r="H7" s="90">
        <f>平成4年度!G10</f>
        <v>4794</v>
      </c>
      <c r="I7" s="58">
        <f>Ｎ!J7+Ｎ!M7</f>
        <v>73285</v>
      </c>
      <c r="J7" s="55">
        <f>Ｎ!K7+Ｎ!L7</f>
        <v>63620</v>
      </c>
      <c r="K7" s="55">
        <f>平成4年度!J10</f>
        <v>50827</v>
      </c>
      <c r="L7" s="89">
        <f>平成4年度!K10</f>
        <v>12793</v>
      </c>
      <c r="M7" s="55">
        <f>Ｎ!N7+Ｎ!O7</f>
        <v>9665</v>
      </c>
      <c r="N7" s="55">
        <f>平成4年度!M10</f>
        <v>6951</v>
      </c>
      <c r="O7" s="90">
        <f>平成4年度!N10</f>
        <v>2714</v>
      </c>
      <c r="P7" s="58">
        <f>平成4年度!O10</f>
        <v>94061</v>
      </c>
      <c r="Q7" s="55">
        <f>平成4年度!P10</f>
        <v>282432</v>
      </c>
      <c r="R7" s="60">
        <f>Ｎ!D7/Ｎ!P7</f>
        <v>0.36357257524372483</v>
      </c>
      <c r="S7" s="61">
        <f>Ｎ!I7/Ｎ!Q7</f>
        <v>0.25947838771810561</v>
      </c>
      <c r="T7" s="62">
        <f>Ｎ!M7/Ｎ!I7</f>
        <v>0.13188237702121852</v>
      </c>
    </row>
    <row r="8" spans="3:20" x14ac:dyDescent="0.2">
      <c r="C8" s="53">
        <v>7</v>
      </c>
      <c r="D8" s="48">
        <f>平成4年度!C11</f>
        <v>34216</v>
      </c>
      <c r="E8" s="55">
        <f>Ｎ!F8+Ｎ!G8</f>
        <v>29397</v>
      </c>
      <c r="F8" s="55">
        <f>Ｎ!D8-Ｎ!H8-Ｎ!G8</f>
        <v>28040</v>
      </c>
      <c r="G8" s="89">
        <f>平成4年度!F11</f>
        <v>1357</v>
      </c>
      <c r="H8" s="90">
        <f>平成4年度!G11</f>
        <v>4819</v>
      </c>
      <c r="I8" s="58">
        <f>Ｎ!J8+Ｎ!M8</f>
        <v>73232</v>
      </c>
      <c r="J8" s="55">
        <f>Ｎ!K8+Ｎ!L8</f>
        <v>63519</v>
      </c>
      <c r="K8" s="55">
        <f>平成4年度!J11</f>
        <v>50705</v>
      </c>
      <c r="L8" s="89">
        <f>平成4年度!K11</f>
        <v>12814</v>
      </c>
      <c r="M8" s="55">
        <f>Ｎ!N8+Ｎ!O8</f>
        <v>9713</v>
      </c>
      <c r="N8" s="55">
        <f>平成4年度!M11</f>
        <v>6984</v>
      </c>
      <c r="O8" s="90">
        <f>平成4年度!N11</f>
        <v>2729</v>
      </c>
      <c r="P8" s="58">
        <f>平成4年度!O11</f>
        <v>94067</v>
      </c>
      <c r="Q8" s="55">
        <f>平成4年度!P11</f>
        <v>282536</v>
      </c>
      <c r="R8" s="60">
        <f>Ｎ!D8/Ｎ!P8</f>
        <v>0.36374073798462797</v>
      </c>
      <c r="S8" s="61">
        <f>Ｎ!I8/Ｎ!Q8</f>
        <v>0.25919528838802841</v>
      </c>
      <c r="T8" s="62">
        <f>Ｎ!M8/Ｎ!I8</f>
        <v>0.13263327507100722</v>
      </c>
    </row>
    <row r="9" spans="3:20" x14ac:dyDescent="0.2">
      <c r="C9" s="53">
        <v>8</v>
      </c>
      <c r="D9" s="48">
        <f>平成4年度!C12</f>
        <v>34220</v>
      </c>
      <c r="E9" s="55">
        <f>Ｎ!F9+Ｎ!G9</f>
        <v>29400</v>
      </c>
      <c r="F9" s="55">
        <f>Ｎ!D9-Ｎ!H9-Ｎ!G9</f>
        <v>28034</v>
      </c>
      <c r="G9" s="89">
        <f>平成4年度!F12</f>
        <v>1366</v>
      </c>
      <c r="H9" s="90">
        <f>平成4年度!G12</f>
        <v>4820</v>
      </c>
      <c r="I9" s="58">
        <f>Ｎ!J9+Ｎ!M9</f>
        <v>73236</v>
      </c>
      <c r="J9" s="55">
        <f>Ｎ!K9+Ｎ!L9</f>
        <v>63499</v>
      </c>
      <c r="K9" s="55">
        <f>平成4年度!J12</f>
        <v>50625</v>
      </c>
      <c r="L9" s="89">
        <f>平成4年度!K12</f>
        <v>12874</v>
      </c>
      <c r="M9" s="55">
        <f>Ｎ!N9+Ｎ!O9</f>
        <v>9737</v>
      </c>
      <c r="N9" s="55">
        <f>平成4年度!M12</f>
        <v>6999</v>
      </c>
      <c r="O9" s="90">
        <f>平成4年度!N12</f>
        <v>2738</v>
      </c>
      <c r="P9" s="58">
        <f>平成4年度!O12</f>
        <v>94213</v>
      </c>
      <c r="Q9" s="55">
        <f>平成4年度!P12</f>
        <v>282913</v>
      </c>
      <c r="R9" s="60">
        <f>Ｎ!D9/Ｎ!P9</f>
        <v>0.36321951323065821</v>
      </c>
      <c r="S9" s="61">
        <f>Ｎ!I9/Ｎ!Q9</f>
        <v>0.25886403240572192</v>
      </c>
      <c r="T9" s="62">
        <f>Ｎ!M9/Ｎ!I9</f>
        <v>0.13295373859850346</v>
      </c>
    </row>
    <row r="10" spans="3:20" x14ac:dyDescent="0.2">
      <c r="C10" s="53">
        <v>9</v>
      </c>
      <c r="D10" s="48">
        <f>平成4年度!C13</f>
        <v>34277</v>
      </c>
      <c r="E10" s="45">
        <f>Ｎ!F10+Ｎ!G10</f>
        <v>29510</v>
      </c>
      <c r="F10" s="45">
        <f>Ｎ!D10-Ｎ!H10-Ｎ!G10</f>
        <v>28136</v>
      </c>
      <c r="G10" s="79">
        <f>平成4年度!F13</f>
        <v>1374</v>
      </c>
      <c r="H10" s="80">
        <f>平成4年度!G13</f>
        <v>4767</v>
      </c>
      <c r="I10" s="48">
        <f>Ｎ!J10+Ｎ!M10</f>
        <v>73315</v>
      </c>
      <c r="J10" s="45">
        <f>Ｎ!K10+Ｎ!L10</f>
        <v>63655</v>
      </c>
      <c r="K10" s="45">
        <f>平成4年度!J13</f>
        <v>50719</v>
      </c>
      <c r="L10" s="79">
        <f>平成4年度!K13</f>
        <v>12936</v>
      </c>
      <c r="M10" s="45">
        <f>Ｎ!N10+Ｎ!O10</f>
        <v>9660</v>
      </c>
      <c r="N10" s="45">
        <f>平成4年度!M13</f>
        <v>6951</v>
      </c>
      <c r="O10" s="80">
        <f>平成4年度!N13</f>
        <v>2709</v>
      </c>
      <c r="P10" s="48">
        <f>平成4年度!O13</f>
        <v>94326</v>
      </c>
      <c r="Q10" s="45">
        <f>平成4年度!P13</f>
        <v>283131</v>
      </c>
      <c r="R10" s="50">
        <f>Ｎ!D10/Ｎ!P10</f>
        <v>0.36338867332442804</v>
      </c>
      <c r="S10" s="51">
        <f>Ｎ!I10/Ｎ!Q10</f>
        <v>0.25894373982361524</v>
      </c>
      <c r="T10" s="52">
        <f>Ｎ!M10/Ｎ!I10</f>
        <v>0.13176021278046784</v>
      </c>
    </row>
    <row r="11" spans="3:20" x14ac:dyDescent="0.2">
      <c r="C11" s="43">
        <v>10</v>
      </c>
      <c r="D11" s="48">
        <f>平成4年度!C14</f>
        <v>34345</v>
      </c>
      <c r="E11" s="45">
        <f>Ｎ!F11+Ｎ!G11</f>
        <v>29536</v>
      </c>
      <c r="F11" s="45">
        <f>Ｎ!D11-Ｎ!H11-Ｎ!G11</f>
        <v>28158</v>
      </c>
      <c r="G11" s="79">
        <f>平成4年度!F14</f>
        <v>1378</v>
      </c>
      <c r="H11" s="80">
        <f>平成4年度!G14</f>
        <v>4809</v>
      </c>
      <c r="I11" s="48">
        <f>Ｎ!J11+Ｎ!M11</f>
        <v>73287</v>
      </c>
      <c r="J11" s="45">
        <f>Ｎ!K11+Ｎ!L11</f>
        <v>63546</v>
      </c>
      <c r="K11" s="45">
        <f>平成4年度!J14</f>
        <v>50524</v>
      </c>
      <c r="L11" s="79">
        <f>平成4年度!K14</f>
        <v>13022</v>
      </c>
      <c r="M11" s="45">
        <f>Ｎ!N11+Ｎ!O11</f>
        <v>9741</v>
      </c>
      <c r="N11" s="45">
        <f>平成4年度!M14</f>
        <v>7006</v>
      </c>
      <c r="O11" s="80">
        <f>平成4年度!N14</f>
        <v>2735</v>
      </c>
      <c r="P11" s="48">
        <f>平成4年度!O14</f>
        <v>94501</v>
      </c>
      <c r="Q11" s="45">
        <f>平成4年度!P14</f>
        <v>283351</v>
      </c>
      <c r="R11" s="50">
        <f>Ｎ!D11/Ｎ!P11</f>
        <v>0.36343530756288295</v>
      </c>
      <c r="S11" s="51">
        <f>Ｎ!I11/Ｎ!Q11</f>
        <v>0.25864387279381401</v>
      </c>
      <c r="T11" s="52">
        <f>Ｎ!M11/Ｎ!I11</f>
        <v>0.13291579679888657</v>
      </c>
    </row>
    <row r="12" spans="3:20" x14ac:dyDescent="0.2">
      <c r="C12" s="43">
        <v>11</v>
      </c>
      <c r="D12" s="48">
        <f>平成4年度!C15</f>
        <v>34374</v>
      </c>
      <c r="E12" s="55">
        <f>Ｎ!F12+Ｎ!G12</f>
        <v>29552</v>
      </c>
      <c r="F12" s="55">
        <f>Ｎ!D12-Ｎ!H12-Ｎ!G12</f>
        <v>28162</v>
      </c>
      <c r="G12" s="89">
        <f>平成4年度!F15</f>
        <v>1390</v>
      </c>
      <c r="H12" s="90">
        <f>平成4年度!G15</f>
        <v>4822</v>
      </c>
      <c r="I12" s="58">
        <f>Ｎ!J12+Ｎ!M12</f>
        <v>73213</v>
      </c>
      <c r="J12" s="55">
        <f>Ｎ!K12+Ｎ!L12</f>
        <v>63447</v>
      </c>
      <c r="K12" s="55">
        <f>平成4年度!J15</f>
        <v>50365</v>
      </c>
      <c r="L12" s="89">
        <f>平成4年度!K15</f>
        <v>13082</v>
      </c>
      <c r="M12" s="55">
        <f>Ｎ!N12+Ｎ!O12</f>
        <v>9766</v>
      </c>
      <c r="N12" s="55">
        <f>平成4年度!M15</f>
        <v>7044</v>
      </c>
      <c r="O12" s="90">
        <f>平成4年度!N15</f>
        <v>2722</v>
      </c>
      <c r="P12" s="58">
        <f>平成4年度!O15</f>
        <v>94654</v>
      </c>
      <c r="Q12" s="55">
        <f>平成4年度!P15</f>
        <v>283503</v>
      </c>
      <c r="R12" s="60">
        <f>Ｎ!D12/Ｎ!P12</f>
        <v>0.36315422486107296</v>
      </c>
      <c r="S12" s="61">
        <f>Ｎ!I12/Ｎ!Q12</f>
        <v>0.25824418083759254</v>
      </c>
      <c r="T12" s="62">
        <f>Ｎ!M12/Ｎ!I12</f>
        <v>0.13339161077950637</v>
      </c>
    </row>
    <row r="13" spans="3:20" x14ac:dyDescent="0.2">
      <c r="C13" s="53">
        <v>12</v>
      </c>
      <c r="D13" s="48">
        <f>平成4年度!C16</f>
        <v>34428</v>
      </c>
      <c r="E13" s="45">
        <f>Ｎ!F13+Ｎ!G13</f>
        <v>29603</v>
      </c>
      <c r="F13" s="45">
        <f>Ｎ!D13-Ｎ!H13-Ｎ!G13</f>
        <v>28221</v>
      </c>
      <c r="G13" s="79">
        <f>平成4年度!F16</f>
        <v>1382</v>
      </c>
      <c r="H13" s="80">
        <f>平成4年度!G16</f>
        <v>4825</v>
      </c>
      <c r="I13" s="48">
        <f>Ｎ!J13+Ｎ!M13</f>
        <v>73187</v>
      </c>
      <c r="J13" s="45">
        <f>Ｎ!K13+Ｎ!L13</f>
        <v>63421</v>
      </c>
      <c r="K13" s="45">
        <f>平成4年度!J16</f>
        <v>50277</v>
      </c>
      <c r="L13" s="79">
        <f>平成4年度!K16</f>
        <v>13144</v>
      </c>
      <c r="M13" s="45">
        <f>Ｎ!N13+Ｎ!O13</f>
        <v>9766</v>
      </c>
      <c r="N13" s="45">
        <f>平成4年度!M16</f>
        <v>7040</v>
      </c>
      <c r="O13" s="80">
        <f>平成4年度!N16</f>
        <v>2726</v>
      </c>
      <c r="P13" s="48">
        <f>平成4年度!O16</f>
        <v>94776</v>
      </c>
      <c r="Q13" s="45">
        <f>平成4年度!P16</f>
        <v>283727</v>
      </c>
      <c r="R13" s="50">
        <f>Ｎ!D13/Ｎ!P13</f>
        <v>0.36325652063813624</v>
      </c>
      <c r="S13" s="51">
        <f>Ｎ!I13/Ｎ!Q13</f>
        <v>0.25794866191797045</v>
      </c>
      <c r="T13" s="52">
        <f>Ｎ!M13/Ｎ!I13</f>
        <v>0.13343899872928253</v>
      </c>
    </row>
    <row r="14" spans="3:20" x14ac:dyDescent="0.2">
      <c r="C14" s="43">
        <v>1</v>
      </c>
      <c r="D14" s="48">
        <f>平成4年度!C17</f>
        <v>34536</v>
      </c>
      <c r="E14" s="45">
        <f>Ｎ!F14+Ｎ!G14</f>
        <v>29719</v>
      </c>
      <c r="F14" s="45">
        <f>Ｎ!D14-Ｎ!H14-Ｎ!G14</f>
        <v>28335</v>
      </c>
      <c r="G14" s="79">
        <f>平成4年度!F17</f>
        <v>1384</v>
      </c>
      <c r="H14" s="80">
        <f>平成4年度!G17</f>
        <v>4817</v>
      </c>
      <c r="I14" s="48">
        <f>Ｎ!J14+Ｎ!M14</f>
        <v>73296</v>
      </c>
      <c r="J14" s="45">
        <f>Ｎ!K14+Ｎ!L14</f>
        <v>63542</v>
      </c>
      <c r="K14" s="45">
        <f>平成4年度!J17</f>
        <v>50350</v>
      </c>
      <c r="L14" s="79">
        <f>平成4年度!K17</f>
        <v>13192</v>
      </c>
      <c r="M14" s="45">
        <f>Ｎ!N14+Ｎ!O14</f>
        <v>9754</v>
      </c>
      <c r="N14" s="45">
        <f>平成4年度!M17</f>
        <v>7032</v>
      </c>
      <c r="O14" s="80">
        <f>平成4年度!N17</f>
        <v>2722</v>
      </c>
      <c r="P14" s="48">
        <f>平成4年度!O17</f>
        <v>94839</v>
      </c>
      <c r="Q14" s="45">
        <f>平成4年度!P17</f>
        <v>283744</v>
      </c>
      <c r="R14" s="50">
        <f>Ｎ!D14/Ｎ!P14</f>
        <v>0.3641539872837124</v>
      </c>
      <c r="S14" s="51">
        <f>Ｎ!I14/Ｎ!Q14</f>
        <v>0.25831735649035753</v>
      </c>
      <c r="T14" s="52">
        <f>Ｎ!M14/Ｎ!I14</f>
        <v>0.13307683911809648</v>
      </c>
    </row>
    <row r="15" spans="3:20" x14ac:dyDescent="0.2">
      <c r="C15" s="43">
        <v>2</v>
      </c>
      <c r="D15" s="48">
        <f>平成4年度!C18</f>
        <v>34558</v>
      </c>
      <c r="E15" s="55">
        <f>Ｎ!F15+Ｎ!G15</f>
        <v>29783</v>
      </c>
      <c r="F15" s="55">
        <f>Ｎ!D15-Ｎ!H15-Ｎ!G15</f>
        <v>28401</v>
      </c>
      <c r="G15" s="89">
        <f>平成4年度!F18</f>
        <v>1382</v>
      </c>
      <c r="H15" s="90">
        <f>平成4年度!G18</f>
        <v>4775</v>
      </c>
      <c r="I15" s="58">
        <f>Ｎ!J15+Ｎ!M15</f>
        <v>73403</v>
      </c>
      <c r="J15" s="55">
        <f>Ｎ!K15+Ｎ!L15</f>
        <v>63708</v>
      </c>
      <c r="K15" s="55">
        <f>平成4年度!J18</f>
        <v>50407</v>
      </c>
      <c r="L15" s="89">
        <f>平成4年度!K18</f>
        <v>13301</v>
      </c>
      <c r="M15" s="55">
        <f>Ｎ!N15+Ｎ!O15</f>
        <v>9695</v>
      </c>
      <c r="N15" s="55">
        <f>平成4年度!M18</f>
        <v>6986</v>
      </c>
      <c r="O15" s="90">
        <f>平成4年度!N18</f>
        <v>2709</v>
      </c>
      <c r="P15" s="58">
        <f>平成4年度!O18</f>
        <v>94932</v>
      </c>
      <c r="Q15" s="55">
        <f>平成4年度!P18</f>
        <v>283917</v>
      </c>
      <c r="R15" s="60">
        <f>Ｎ!D15/Ｎ!P15</f>
        <v>0.36402898917119625</v>
      </c>
      <c r="S15" s="61">
        <f>Ｎ!I15/Ｎ!Q15</f>
        <v>0.25853682590334498</v>
      </c>
      <c r="T15" s="62">
        <f>Ｎ!M15/Ｎ!I15</f>
        <v>0.13207907033772462</v>
      </c>
    </row>
    <row r="16" spans="3:20" x14ac:dyDescent="0.2">
      <c r="C16" s="288">
        <v>3</v>
      </c>
      <c r="D16" s="92">
        <f>平成4年度!C19</f>
        <v>34537</v>
      </c>
      <c r="E16" s="289">
        <f>Ｎ!F16+Ｎ!G16</f>
        <v>29771</v>
      </c>
      <c r="F16" s="289">
        <f>Ｎ!D16-Ｎ!H16-Ｎ!G16</f>
        <v>28397</v>
      </c>
      <c r="G16" s="290">
        <f>平成4年度!F19</f>
        <v>1374</v>
      </c>
      <c r="H16" s="291">
        <f>平成4年度!G19</f>
        <v>4766</v>
      </c>
      <c r="I16" s="292">
        <f>Ｎ!J16+Ｎ!M16</f>
        <v>73237</v>
      </c>
      <c r="J16" s="289">
        <f>Ｎ!K16+Ｎ!L16</f>
        <v>63578</v>
      </c>
      <c r="K16" s="289">
        <f>平成4年度!J19</f>
        <v>50228</v>
      </c>
      <c r="L16" s="290">
        <f>平成4年度!K19</f>
        <v>13350</v>
      </c>
      <c r="M16" s="289">
        <f>Ｎ!N16+Ｎ!O16</f>
        <v>9659</v>
      </c>
      <c r="N16" s="289">
        <f>平成4年度!M19</f>
        <v>6975</v>
      </c>
      <c r="O16" s="291">
        <f>平成4年度!N19</f>
        <v>2684</v>
      </c>
      <c r="P16" s="292">
        <f>平成4年度!O19</f>
        <v>94949</v>
      </c>
      <c r="Q16" s="289">
        <f>平成4年度!P19</f>
        <v>283628</v>
      </c>
      <c r="R16" s="293">
        <f>Ｎ!D16/Ｎ!P16</f>
        <v>0.36374264078610624</v>
      </c>
      <c r="S16" s="294">
        <f>Ｎ!I16/Ｎ!Q16</f>
        <v>0.25821498582650515</v>
      </c>
      <c r="T16" s="295">
        <f>Ｎ!M16/Ｎ!I16</f>
        <v>0.13188688777530483</v>
      </c>
    </row>
    <row r="17" spans="3:20" x14ac:dyDescent="0.2">
      <c r="C17" s="296" t="s">
        <v>2768</v>
      </c>
      <c r="D17" s="297">
        <f>平成5年度!C8</f>
        <v>34700</v>
      </c>
      <c r="E17" s="298">
        <f>Ｎ!F17+Ｎ!G17</f>
        <v>29895</v>
      </c>
      <c r="F17" s="298">
        <f>Ｎ!D17-Ｎ!H17-Ｎ!G17</f>
        <v>28497</v>
      </c>
      <c r="G17" s="299">
        <f>平成5年度!F8</f>
        <v>1398</v>
      </c>
      <c r="H17" s="300">
        <f>平成5年度!G8</f>
        <v>4805</v>
      </c>
      <c r="I17" s="297">
        <f>Ｎ!J17+Ｎ!M17</f>
        <v>73361</v>
      </c>
      <c r="J17" s="298">
        <f>Ｎ!K17+Ｎ!L17</f>
        <v>63580</v>
      </c>
      <c r="K17" s="298">
        <f>平成5年度!J8</f>
        <v>50124</v>
      </c>
      <c r="L17" s="299">
        <f>平成5年度!K8</f>
        <v>13456</v>
      </c>
      <c r="M17" s="298">
        <f>Ｎ!N17+Ｎ!O17</f>
        <v>9781</v>
      </c>
      <c r="N17" s="298">
        <f>平成5年度!M8</f>
        <v>7063</v>
      </c>
      <c r="O17" s="300">
        <f>平成5年度!N8</f>
        <v>2718</v>
      </c>
      <c r="P17" s="297">
        <f>平成5年度!O8</f>
        <v>95363</v>
      </c>
      <c r="Q17" s="298">
        <f>平成5年度!P8</f>
        <v>283977</v>
      </c>
      <c r="R17" s="301">
        <f>Ｎ!D17/Ｎ!P17</f>
        <v>0.36387278084791796</v>
      </c>
      <c r="S17" s="302">
        <f>Ｎ!I17/Ｎ!Q17</f>
        <v>0.25833430172161831</v>
      </c>
      <c r="T17" s="303">
        <f>Ｎ!M17/Ｎ!I17</f>
        <v>0.13332697209689071</v>
      </c>
    </row>
    <row r="18" spans="3:20" x14ac:dyDescent="0.2">
      <c r="C18" s="53">
        <v>5</v>
      </c>
      <c r="D18" s="48">
        <f>平成5年度!C9</f>
        <v>34722</v>
      </c>
      <c r="E18" s="45">
        <f>Ｎ!F18+Ｎ!G18</f>
        <v>29918</v>
      </c>
      <c r="F18" s="45">
        <f>Ｎ!D18-Ｎ!H18-Ｎ!G18</f>
        <v>28522</v>
      </c>
      <c r="G18" s="79">
        <f>平成5年度!F9</f>
        <v>1396</v>
      </c>
      <c r="H18" s="80">
        <f>平成5年度!G9</f>
        <v>4804</v>
      </c>
      <c r="I18" s="48">
        <f>Ｎ!J18+Ｎ!M18</f>
        <v>73255</v>
      </c>
      <c r="J18" s="45">
        <f>Ｎ!K18+Ｎ!L18</f>
        <v>63486</v>
      </c>
      <c r="K18" s="45">
        <f>平成5年度!J9</f>
        <v>50022</v>
      </c>
      <c r="L18" s="79">
        <f>平成5年度!K9</f>
        <v>13464</v>
      </c>
      <c r="M18" s="45">
        <f>Ｎ!N18+Ｎ!O18</f>
        <v>9769</v>
      </c>
      <c r="N18" s="45">
        <f>平成5年度!M9</f>
        <v>7056</v>
      </c>
      <c r="O18" s="80">
        <f>平成5年度!N9</f>
        <v>2713</v>
      </c>
      <c r="P18" s="48">
        <f>平成5年度!O9</f>
        <v>95523</v>
      </c>
      <c r="Q18" s="45">
        <f>平成5年度!P9</f>
        <v>284049</v>
      </c>
      <c r="R18" s="50">
        <f>Ｎ!D18/Ｎ!P18</f>
        <v>0.36349360886906817</v>
      </c>
      <c r="S18" s="51">
        <f>Ｎ!I18/Ｎ!Q18</f>
        <v>0.2578956447655158</v>
      </c>
      <c r="T18" s="52">
        <f>Ｎ!M18/Ｎ!I18</f>
        <v>0.13335608490887993</v>
      </c>
    </row>
    <row r="19" spans="3:20" x14ac:dyDescent="0.2">
      <c r="C19" s="43">
        <v>6</v>
      </c>
      <c r="D19" s="48">
        <f>平成5年度!C10</f>
        <v>34764</v>
      </c>
      <c r="E19" s="45">
        <f>Ｎ!F19+Ｎ!G19</f>
        <v>29917</v>
      </c>
      <c r="F19" s="45">
        <f>Ｎ!D19-Ｎ!H19-Ｎ!G19</f>
        <v>28523</v>
      </c>
      <c r="G19" s="79">
        <f>平成5年度!F10</f>
        <v>1394</v>
      </c>
      <c r="H19" s="80">
        <f>平成5年度!G10</f>
        <v>4847</v>
      </c>
      <c r="I19" s="48">
        <f>Ｎ!J19+Ｎ!M19</f>
        <v>73142</v>
      </c>
      <c r="J19" s="45">
        <f>Ｎ!K19+Ｎ!L19</f>
        <v>63310</v>
      </c>
      <c r="K19" s="45">
        <f>平成5年度!J10</f>
        <v>49797</v>
      </c>
      <c r="L19" s="79">
        <f>平成5年度!K10</f>
        <v>13513</v>
      </c>
      <c r="M19" s="45">
        <f>Ｎ!N19+Ｎ!O19</f>
        <v>9832</v>
      </c>
      <c r="N19" s="45">
        <f>平成5年度!M10</f>
        <v>7106</v>
      </c>
      <c r="O19" s="80">
        <f>平成5年度!N10</f>
        <v>2726</v>
      </c>
      <c r="P19" s="48">
        <f>平成5年度!O10</f>
        <v>95678</v>
      </c>
      <c r="Q19" s="45">
        <f>平成5年度!P10</f>
        <v>284238</v>
      </c>
      <c r="R19" s="50">
        <f>Ｎ!D19/Ｎ!P19</f>
        <v>0.36334371537866594</v>
      </c>
      <c r="S19" s="51">
        <f>Ｎ!I19/Ｎ!Q19</f>
        <v>0.25732660657617912</v>
      </c>
      <c r="T19" s="52">
        <f>Ｎ!M19/Ｎ!I19</f>
        <v>0.1344234502748079</v>
      </c>
    </row>
    <row r="20" spans="3:20" x14ac:dyDescent="0.2">
      <c r="C20" s="43">
        <v>7</v>
      </c>
      <c r="D20" s="48">
        <f>平成5年度!C11</f>
        <v>34851</v>
      </c>
      <c r="E20" s="55">
        <f>Ｎ!F20+Ｎ!G20</f>
        <v>29975</v>
      </c>
      <c r="F20" s="55">
        <f>Ｎ!D20-Ｎ!H20-Ｎ!G20</f>
        <v>28578</v>
      </c>
      <c r="G20" s="89">
        <f>平成5年度!F11</f>
        <v>1397</v>
      </c>
      <c r="H20" s="90">
        <f>平成5年度!G11</f>
        <v>4876</v>
      </c>
      <c r="I20" s="58">
        <f>Ｎ!J20+Ｎ!M20</f>
        <v>73294</v>
      </c>
      <c r="J20" s="55">
        <f>Ｎ!K20+Ｎ!L20</f>
        <v>63400</v>
      </c>
      <c r="K20" s="55">
        <f>平成5年度!J11</f>
        <v>49844</v>
      </c>
      <c r="L20" s="89">
        <f>平成5年度!K11</f>
        <v>13556</v>
      </c>
      <c r="M20" s="55">
        <f>Ｎ!N20+Ｎ!O20</f>
        <v>9894</v>
      </c>
      <c r="N20" s="55">
        <f>平成5年度!M11</f>
        <v>7151</v>
      </c>
      <c r="O20" s="90">
        <f>平成5年度!N11</f>
        <v>2743</v>
      </c>
      <c r="P20" s="58">
        <f>平成5年度!O11</f>
        <v>95804</v>
      </c>
      <c r="Q20" s="55">
        <f>平成5年度!P11</f>
        <v>284477</v>
      </c>
      <c r="R20" s="60">
        <f>Ｎ!D20/Ｎ!P20</f>
        <v>0.36377395515844851</v>
      </c>
      <c r="S20" s="61">
        <f>Ｎ!I20/Ｎ!Q20</f>
        <v>0.25764473050545389</v>
      </c>
      <c r="T20" s="62">
        <f>Ｎ!M20/Ｎ!I20</f>
        <v>0.13499058585968837</v>
      </c>
    </row>
    <row r="21" spans="3:20" x14ac:dyDescent="0.2">
      <c r="C21" s="53">
        <v>8</v>
      </c>
      <c r="D21" s="48">
        <f>平成5年度!C12</f>
        <v>34876</v>
      </c>
      <c r="E21" s="55">
        <f>Ｎ!F21+Ｎ!G21</f>
        <v>30002</v>
      </c>
      <c r="F21" s="55">
        <f>Ｎ!D21-Ｎ!H21-Ｎ!G21</f>
        <v>28610</v>
      </c>
      <c r="G21" s="89">
        <f>平成5年度!F12</f>
        <v>1392</v>
      </c>
      <c r="H21" s="90">
        <f>平成5年度!G12</f>
        <v>4874</v>
      </c>
      <c r="I21" s="58">
        <f>Ｎ!J21+Ｎ!M21</f>
        <v>73330</v>
      </c>
      <c r="J21" s="55">
        <f>Ｎ!K21+Ｎ!L21</f>
        <v>63446</v>
      </c>
      <c r="K21" s="55">
        <f>平成5年度!J12</f>
        <v>49834</v>
      </c>
      <c r="L21" s="89">
        <f>平成5年度!K12</f>
        <v>13612</v>
      </c>
      <c r="M21" s="55">
        <f>Ｎ!N21+Ｎ!O21</f>
        <v>9884</v>
      </c>
      <c r="N21" s="55">
        <f>平成5年度!M12</f>
        <v>7144</v>
      </c>
      <c r="O21" s="90">
        <f>平成5年度!N12</f>
        <v>2740</v>
      </c>
      <c r="P21" s="58">
        <f>平成5年度!O12</f>
        <v>95942</v>
      </c>
      <c r="Q21" s="55">
        <f>平成5年度!P12</f>
        <v>284747</v>
      </c>
      <c r="R21" s="60">
        <f>Ｎ!D21/Ｎ!P21</f>
        <v>0.36351128806987554</v>
      </c>
      <c r="S21" s="61">
        <f>Ｎ!I21/Ｎ!Q21</f>
        <v>0.25752685717496587</v>
      </c>
      <c r="T21" s="62">
        <f>Ｎ!M21/Ｎ!I21</f>
        <v>0.13478794490658666</v>
      </c>
    </row>
    <row r="22" spans="3:20" x14ac:dyDescent="0.2">
      <c r="C22" s="53">
        <v>9</v>
      </c>
      <c r="D22" s="58">
        <f>平成5年度!C13</f>
        <v>34938</v>
      </c>
      <c r="E22" s="55">
        <f>Ｎ!F22+Ｎ!G22</f>
        <v>30079</v>
      </c>
      <c r="F22" s="55">
        <f>Ｎ!D22-Ｎ!H22-Ｎ!G22</f>
        <v>28693</v>
      </c>
      <c r="G22" s="89">
        <f>平成5年度!F13</f>
        <v>1386</v>
      </c>
      <c r="H22" s="90">
        <f>平成5年度!G13</f>
        <v>4859</v>
      </c>
      <c r="I22" s="58">
        <f>Ｎ!J22+Ｎ!M22</f>
        <v>73353</v>
      </c>
      <c r="J22" s="55">
        <f>Ｎ!K22+Ｎ!L22</f>
        <v>63496</v>
      </c>
      <c r="K22" s="55">
        <f>平成5年度!J13</f>
        <v>49799</v>
      </c>
      <c r="L22" s="89">
        <f>平成5年度!K13</f>
        <v>13697</v>
      </c>
      <c r="M22" s="55">
        <f>Ｎ!N22+Ｎ!O22</f>
        <v>9857</v>
      </c>
      <c r="N22" s="55">
        <f>平成5年度!M13</f>
        <v>7122</v>
      </c>
      <c r="O22" s="90">
        <f>平成5年度!N13</f>
        <v>2735</v>
      </c>
      <c r="P22" s="58">
        <f>平成5年度!O13</f>
        <v>96015</v>
      </c>
      <c r="Q22" s="55">
        <f>平成5年度!P13</f>
        <v>284805</v>
      </c>
      <c r="R22" s="60">
        <f>Ｎ!D22/Ｎ!P22</f>
        <v>0.36388064364942979</v>
      </c>
      <c r="S22" s="61">
        <f>Ｎ!I22/Ｎ!Q22</f>
        <v>0.25755516932638123</v>
      </c>
      <c r="T22" s="62">
        <f>Ｎ!M22/Ｎ!I22</f>
        <v>0.13437759873488472</v>
      </c>
    </row>
    <row r="23" spans="3:20" x14ac:dyDescent="0.2">
      <c r="C23" s="53">
        <v>10</v>
      </c>
      <c r="D23" s="48">
        <f>平成5年度!C14</f>
        <v>35009</v>
      </c>
      <c r="E23" s="45">
        <f>Ｎ!F23+Ｎ!G23</f>
        <v>30119</v>
      </c>
      <c r="F23" s="45">
        <f>Ｎ!D23-Ｎ!H23-Ｎ!G23</f>
        <v>28728</v>
      </c>
      <c r="G23" s="79">
        <f>平成5年度!F14</f>
        <v>1391</v>
      </c>
      <c r="H23" s="80">
        <f>平成5年度!G14</f>
        <v>4890</v>
      </c>
      <c r="I23" s="48">
        <f>Ｎ!J23+Ｎ!M23</f>
        <v>73375</v>
      </c>
      <c r="J23" s="45">
        <f>Ｎ!K23+Ｎ!L23</f>
        <v>63457</v>
      </c>
      <c r="K23" s="45">
        <f>平成5年度!J14</f>
        <v>49676</v>
      </c>
      <c r="L23" s="79">
        <f>平成5年度!K14</f>
        <v>13781</v>
      </c>
      <c r="M23" s="45">
        <f>Ｎ!N23+Ｎ!O23</f>
        <v>9918</v>
      </c>
      <c r="N23" s="45">
        <f>平成5年度!M14</f>
        <v>7165</v>
      </c>
      <c r="O23" s="80">
        <f>平成5年度!N14</f>
        <v>2753</v>
      </c>
      <c r="P23" s="48">
        <f>平成5年度!O14</f>
        <v>96147</v>
      </c>
      <c r="Q23" s="45">
        <f>平成5年度!P14</f>
        <v>284956</v>
      </c>
      <c r="R23" s="50">
        <f>Ｎ!D23/Ｎ!P23</f>
        <v>0.36411952531020209</v>
      </c>
      <c r="S23" s="51">
        <f>Ｎ!I23/Ｎ!Q23</f>
        <v>0.25749589410294921</v>
      </c>
      <c r="T23" s="52">
        <f>Ｎ!M23/Ｎ!I23</f>
        <v>0.13516865417376492</v>
      </c>
    </row>
    <row r="24" spans="3:20" x14ac:dyDescent="0.2">
      <c r="C24" s="43">
        <v>11</v>
      </c>
      <c r="D24" s="48">
        <f>平成5年度!C15</f>
        <v>35057</v>
      </c>
      <c r="E24" s="45">
        <f>Ｎ!F24+Ｎ!G24</f>
        <v>30119</v>
      </c>
      <c r="F24" s="45">
        <f>Ｎ!D24-Ｎ!H24-Ｎ!G24</f>
        <v>28722</v>
      </c>
      <c r="G24" s="79">
        <f>平成5年度!F15</f>
        <v>1397</v>
      </c>
      <c r="H24" s="80">
        <f>平成5年度!G15</f>
        <v>4938</v>
      </c>
      <c r="I24" s="48">
        <f>Ｎ!J24+Ｎ!M24</f>
        <v>73375</v>
      </c>
      <c r="J24" s="45">
        <f>Ｎ!K24+Ｎ!L24</f>
        <v>63373</v>
      </c>
      <c r="K24" s="45">
        <f>平成5年度!J15</f>
        <v>49539</v>
      </c>
      <c r="L24" s="79">
        <f>平成5年度!K15</f>
        <v>13834</v>
      </c>
      <c r="M24" s="45">
        <f>Ｎ!N24+Ｎ!O24</f>
        <v>10002</v>
      </c>
      <c r="N24" s="45">
        <f>平成5年度!M15</f>
        <v>7230</v>
      </c>
      <c r="O24" s="80">
        <f>平成5年度!N15</f>
        <v>2772</v>
      </c>
      <c r="P24" s="48">
        <f>平成5年度!O15</f>
        <v>96277</v>
      </c>
      <c r="Q24" s="45">
        <f>平成5年度!P15</f>
        <v>285134</v>
      </c>
      <c r="R24" s="50">
        <f>Ｎ!D24/Ｎ!P24</f>
        <v>0.36412642687246177</v>
      </c>
      <c r="S24" s="51">
        <f>Ｎ!I24/Ｎ!Q24</f>
        <v>0.25733514768494814</v>
      </c>
      <c r="T24" s="52">
        <f>Ｎ!M24/Ｎ!I24</f>
        <v>0.13631345826235094</v>
      </c>
    </row>
    <row r="25" spans="3:20" x14ac:dyDescent="0.2">
      <c r="C25" s="43">
        <v>12</v>
      </c>
      <c r="D25" s="48">
        <f>平成5年度!C16</f>
        <v>35127</v>
      </c>
      <c r="E25" s="55">
        <f>Ｎ!F25+Ｎ!G25</f>
        <v>30171</v>
      </c>
      <c r="F25" s="55">
        <f>Ｎ!D25-Ｎ!H25-Ｎ!G25</f>
        <v>28769</v>
      </c>
      <c r="G25" s="89">
        <f>平成5年度!F16</f>
        <v>1402</v>
      </c>
      <c r="H25" s="90">
        <f>平成5年度!G16</f>
        <v>4956</v>
      </c>
      <c r="I25" s="58">
        <f>Ｎ!J25+Ｎ!M25</f>
        <v>73521</v>
      </c>
      <c r="J25" s="55">
        <f>Ｎ!K25+Ｎ!L25</f>
        <v>63472</v>
      </c>
      <c r="K25" s="55">
        <f>平成5年度!J16</f>
        <v>49600</v>
      </c>
      <c r="L25" s="89">
        <f>平成5年度!K16</f>
        <v>13872</v>
      </c>
      <c r="M25" s="55">
        <f>Ｎ!N25+Ｎ!O25</f>
        <v>10049</v>
      </c>
      <c r="N25" s="55">
        <f>平成5年度!M16</f>
        <v>7265</v>
      </c>
      <c r="O25" s="90">
        <f>平成5年度!N16</f>
        <v>2784</v>
      </c>
      <c r="P25" s="58">
        <f>平成5年度!O16</f>
        <v>96368</v>
      </c>
      <c r="Q25" s="55">
        <f>平成5年度!P16</f>
        <v>285338</v>
      </c>
      <c r="R25" s="60">
        <f>Ｎ!D25/Ｎ!P25</f>
        <v>0.36450896563174495</v>
      </c>
      <c r="S25" s="61">
        <f>Ｎ!I25/Ｎ!Q25</f>
        <v>0.2576628419628651</v>
      </c>
      <c r="T25" s="62">
        <f>Ｎ!M25/Ｎ!I25</f>
        <v>0.13668203642496701</v>
      </c>
    </row>
    <row r="26" spans="3:20" x14ac:dyDescent="0.2">
      <c r="C26" s="53">
        <v>1</v>
      </c>
      <c r="D26" s="48">
        <f>平成5年度!C17</f>
        <v>35207</v>
      </c>
      <c r="E26" s="45">
        <f>Ｎ!F26+Ｎ!G26</f>
        <v>30256</v>
      </c>
      <c r="F26" s="45">
        <f>Ｎ!D26-Ｎ!H26-Ｎ!G26</f>
        <v>28865</v>
      </c>
      <c r="G26" s="79">
        <f>平成5年度!F17</f>
        <v>1391</v>
      </c>
      <c r="H26" s="80">
        <f>平成5年度!G17</f>
        <v>4951</v>
      </c>
      <c r="I26" s="48">
        <f>Ｎ!J26+Ｎ!M26</f>
        <v>73698</v>
      </c>
      <c r="J26" s="45">
        <f>Ｎ!K26+Ｎ!L26</f>
        <v>63662</v>
      </c>
      <c r="K26" s="45">
        <f>平成5年度!J17</f>
        <v>49732</v>
      </c>
      <c r="L26" s="79">
        <f>平成5年度!K17</f>
        <v>13930</v>
      </c>
      <c r="M26" s="45">
        <f>Ｎ!N26+Ｎ!O26</f>
        <v>10036</v>
      </c>
      <c r="N26" s="45">
        <f>平成5年度!M17</f>
        <v>7250</v>
      </c>
      <c r="O26" s="80">
        <f>平成5年度!N17</f>
        <v>2786</v>
      </c>
      <c r="P26" s="48">
        <f>平成5年度!O17</f>
        <v>96404</v>
      </c>
      <c r="Q26" s="45">
        <f>平成5年度!P17</f>
        <v>285411</v>
      </c>
      <c r="R26" s="50">
        <f>Ｎ!D26/Ｎ!P26</f>
        <v>0.36520268868511679</v>
      </c>
      <c r="S26" s="51">
        <f>Ｎ!I26/Ｎ!Q26</f>
        <v>0.25821709744894206</v>
      </c>
      <c r="T26" s="52">
        <f>Ｎ!M26/Ｎ!I26</f>
        <v>0.1361773725202855</v>
      </c>
    </row>
    <row r="27" spans="3:20" x14ac:dyDescent="0.2">
      <c r="C27" s="43">
        <v>2</v>
      </c>
      <c r="D27" s="48">
        <f>平成5年度!C18</f>
        <v>35212</v>
      </c>
      <c r="E27" s="45">
        <f>Ｎ!F27+Ｎ!G27</f>
        <v>30297</v>
      </c>
      <c r="F27" s="45">
        <f>Ｎ!D27-Ｎ!H27-Ｎ!G27</f>
        <v>28896</v>
      </c>
      <c r="G27" s="79">
        <f>平成5年度!F18</f>
        <v>1401</v>
      </c>
      <c r="H27" s="80">
        <f>平成5年度!G18</f>
        <v>4915</v>
      </c>
      <c r="I27" s="48">
        <f>Ｎ!J27+Ｎ!M27</f>
        <v>73680</v>
      </c>
      <c r="J27" s="45">
        <f>Ｎ!K27+Ｎ!L27</f>
        <v>63692</v>
      </c>
      <c r="K27" s="45">
        <f>平成5年度!J18</f>
        <v>49658</v>
      </c>
      <c r="L27" s="79">
        <f>平成5年度!K18</f>
        <v>14034</v>
      </c>
      <c r="M27" s="45">
        <f>Ｎ!N27+Ｎ!O27</f>
        <v>9988</v>
      </c>
      <c r="N27" s="45">
        <f>平成5年度!M18</f>
        <v>7214</v>
      </c>
      <c r="O27" s="80">
        <f>平成5年度!N18</f>
        <v>2774</v>
      </c>
      <c r="P27" s="48">
        <f>平成5年度!O18</f>
        <v>96472</v>
      </c>
      <c r="Q27" s="45">
        <f>平成5年度!P18</f>
        <v>285582</v>
      </c>
      <c r="R27" s="50">
        <f>Ｎ!D27/Ｎ!P27</f>
        <v>0.36499709760344973</v>
      </c>
      <c r="S27" s="51">
        <f>Ｎ!I27/Ｎ!Q27</f>
        <v>0.25799945374708488</v>
      </c>
      <c r="T27" s="52">
        <f>Ｎ!M27/Ｎ!I27</f>
        <v>0.13555917480998914</v>
      </c>
    </row>
    <row r="28" spans="3:20" x14ac:dyDescent="0.2">
      <c r="C28" s="91">
        <v>3</v>
      </c>
      <c r="D28" s="92">
        <f>平成5年度!C19</f>
        <v>35276</v>
      </c>
      <c r="E28" s="289">
        <f>Ｎ!F28+Ｎ!G28</f>
        <v>30371</v>
      </c>
      <c r="F28" s="289">
        <f>Ｎ!D28-Ｎ!H28-Ｎ!G28</f>
        <v>28957</v>
      </c>
      <c r="G28" s="290">
        <f>平成5年度!F19</f>
        <v>1414</v>
      </c>
      <c r="H28" s="291">
        <f>平成5年度!G19</f>
        <v>4905</v>
      </c>
      <c r="I28" s="292">
        <f>Ｎ!J28+Ｎ!M28</f>
        <v>73674</v>
      </c>
      <c r="J28" s="289">
        <f>Ｎ!K28+Ｎ!L28</f>
        <v>63696</v>
      </c>
      <c r="K28" s="289">
        <f>平成5年度!J19</f>
        <v>49653</v>
      </c>
      <c r="L28" s="290">
        <f>平成5年度!K19</f>
        <v>14043</v>
      </c>
      <c r="M28" s="289">
        <f>Ｎ!N28+Ｎ!O28</f>
        <v>9978</v>
      </c>
      <c r="N28" s="289">
        <f>平成5年度!M19</f>
        <v>7214</v>
      </c>
      <c r="O28" s="291">
        <f>平成5年度!N19</f>
        <v>2764</v>
      </c>
      <c r="P28" s="292">
        <f>平成5年度!O19</f>
        <v>96552</v>
      </c>
      <c r="Q28" s="289">
        <f>平成5年度!P19</f>
        <v>285325</v>
      </c>
      <c r="R28" s="293">
        <f>Ｎ!D28/Ｎ!P28</f>
        <v>0.36535752754992129</v>
      </c>
      <c r="S28" s="294">
        <f>Ｎ!I28/Ｎ!Q28</f>
        <v>0.25821081223166564</v>
      </c>
      <c r="T28" s="295">
        <f>Ｎ!M28/Ｎ!I28</f>
        <v>0.13543448163531233</v>
      </c>
    </row>
    <row r="29" spans="3:20" x14ac:dyDescent="0.2">
      <c r="C29" s="296" t="s">
        <v>2769</v>
      </c>
      <c r="D29" s="297">
        <f>平成6年度!C8</f>
        <v>35435</v>
      </c>
      <c r="E29" s="298">
        <f>Ｎ!F29+Ｎ!G29</f>
        <v>30465</v>
      </c>
      <c r="F29" s="298">
        <f>Ｎ!D29-Ｎ!H29-Ｎ!G29</f>
        <v>29027</v>
      </c>
      <c r="G29" s="299">
        <f>平成6年度!F8</f>
        <v>1438</v>
      </c>
      <c r="H29" s="300">
        <f>平成6年度!G8</f>
        <v>4970</v>
      </c>
      <c r="I29" s="297">
        <f>Ｎ!J29+Ｎ!M29</f>
        <v>73765</v>
      </c>
      <c r="J29" s="298">
        <f>Ｎ!K29+Ｎ!L29</f>
        <v>63623</v>
      </c>
      <c r="K29" s="298">
        <f>平成6年度!J8</f>
        <v>49485</v>
      </c>
      <c r="L29" s="299">
        <f>平成6年度!K8</f>
        <v>14138</v>
      </c>
      <c r="M29" s="298">
        <f>Ｎ!N29+Ｎ!O29</f>
        <v>10142</v>
      </c>
      <c r="N29" s="298">
        <f>平成6年度!M8</f>
        <v>7315</v>
      </c>
      <c r="O29" s="300">
        <f>平成6年度!N8</f>
        <v>2827</v>
      </c>
      <c r="P29" s="297">
        <f>平成6年度!O8</f>
        <v>97039</v>
      </c>
      <c r="Q29" s="298">
        <f>平成6年度!P8</f>
        <v>285862</v>
      </c>
      <c r="R29" s="301">
        <f>Ｎ!D29/Ｎ!P29</f>
        <v>0.36516246045404427</v>
      </c>
      <c r="S29" s="302">
        <f>Ｎ!I29/Ｎ!Q29</f>
        <v>0.25804409120484711</v>
      </c>
      <c r="T29" s="303">
        <f>Ｎ!M29/Ｎ!I29</f>
        <v>0.13749067986172303</v>
      </c>
    </row>
    <row r="30" spans="3:20" x14ac:dyDescent="0.2">
      <c r="C30" s="53">
        <v>5</v>
      </c>
      <c r="D30" s="48">
        <f>平成6年度!C9</f>
        <v>35457</v>
      </c>
      <c r="E30" s="45">
        <f>Ｎ!F30+Ｎ!G30</f>
        <v>30484</v>
      </c>
      <c r="F30" s="45">
        <f>Ｎ!D30-Ｎ!H30-Ｎ!G30</f>
        <v>29049</v>
      </c>
      <c r="G30" s="79">
        <f>平成6年度!F9</f>
        <v>1435</v>
      </c>
      <c r="H30" s="80">
        <f>平成6年度!G9</f>
        <v>4973</v>
      </c>
      <c r="I30" s="48">
        <f>Ｎ!J30+Ｎ!M30</f>
        <v>73668</v>
      </c>
      <c r="J30" s="45">
        <f>Ｎ!K30+Ｎ!L30</f>
        <v>63528</v>
      </c>
      <c r="K30" s="45">
        <f>平成6年度!J9</f>
        <v>49354</v>
      </c>
      <c r="L30" s="79">
        <f>平成6年度!K9</f>
        <v>14174</v>
      </c>
      <c r="M30" s="45">
        <f>Ｎ!N30+Ｎ!O30</f>
        <v>10140</v>
      </c>
      <c r="N30" s="45">
        <f>平成6年度!M9</f>
        <v>7317</v>
      </c>
      <c r="O30" s="80">
        <f>平成6年度!N9</f>
        <v>2823</v>
      </c>
      <c r="P30" s="48">
        <f>平成6年度!O9</f>
        <v>97156</v>
      </c>
      <c r="Q30" s="45">
        <f>平成6年度!P9</f>
        <v>286014</v>
      </c>
      <c r="R30" s="50">
        <f>Ｎ!D30/Ｎ!P30</f>
        <v>0.36494915393799665</v>
      </c>
      <c r="S30" s="51">
        <f>Ｎ!I30/Ｎ!Q30</f>
        <v>0.2575678113658772</v>
      </c>
      <c r="T30" s="52">
        <f>Ｎ!M30/Ｎ!I30</f>
        <v>0.13764456751913992</v>
      </c>
    </row>
    <row r="31" spans="3:20" x14ac:dyDescent="0.2">
      <c r="C31" s="43">
        <v>6</v>
      </c>
      <c r="D31" s="48">
        <f>平成6年度!C10</f>
        <v>35498</v>
      </c>
      <c r="E31" s="45">
        <f>Ｎ!F31+Ｎ!G31</f>
        <v>30489</v>
      </c>
      <c r="F31" s="45">
        <f>Ｎ!D31-Ｎ!H31-Ｎ!G31</f>
        <v>29041</v>
      </c>
      <c r="G31" s="79">
        <f>平成6年度!F10</f>
        <v>1448</v>
      </c>
      <c r="H31" s="80">
        <f>平成6年度!G10</f>
        <v>5009</v>
      </c>
      <c r="I31" s="48">
        <f>Ｎ!J31+Ｎ!M31</f>
        <v>73637</v>
      </c>
      <c r="J31" s="45">
        <f>Ｎ!K31+Ｎ!L31</f>
        <v>63411</v>
      </c>
      <c r="K31" s="45">
        <f>平成6年度!J10</f>
        <v>49171</v>
      </c>
      <c r="L31" s="79">
        <f>平成6年度!K10</f>
        <v>14240</v>
      </c>
      <c r="M31" s="45">
        <f>Ｎ!N31+Ｎ!O31</f>
        <v>10226</v>
      </c>
      <c r="N31" s="45">
        <f>平成6年度!M10</f>
        <v>7378</v>
      </c>
      <c r="O31" s="80">
        <f>平成6年度!N10</f>
        <v>2848</v>
      </c>
      <c r="P31" s="48">
        <f>平成6年度!O10</f>
        <v>97283</v>
      </c>
      <c r="Q31" s="45">
        <f>平成6年度!P10</f>
        <v>286198</v>
      </c>
      <c r="R31" s="50">
        <f>Ｎ!D31/Ｎ!P31</f>
        <v>0.36489417472734187</v>
      </c>
      <c r="S31" s="51">
        <f>Ｎ!I31/Ｎ!Q31</f>
        <v>0.25729390142488767</v>
      </c>
      <c r="T31" s="52">
        <f>Ｎ!M31/Ｎ!I31</f>
        <v>0.13887040482366203</v>
      </c>
    </row>
    <row r="32" spans="3:20" x14ac:dyDescent="0.2">
      <c r="C32" s="43">
        <v>7</v>
      </c>
      <c r="D32" s="48">
        <f>平成6年度!C11</f>
        <v>35574</v>
      </c>
      <c r="E32" s="55">
        <f>Ｎ!F32+Ｎ!G32</f>
        <v>30541</v>
      </c>
      <c r="F32" s="55">
        <f>Ｎ!D32-Ｎ!H32-Ｎ!G32</f>
        <v>29090</v>
      </c>
      <c r="G32" s="89">
        <f>平成6年度!F11</f>
        <v>1451</v>
      </c>
      <c r="H32" s="90">
        <f>平成6年度!G11</f>
        <v>5033</v>
      </c>
      <c r="I32" s="58">
        <f>Ｎ!J32+Ｎ!M32</f>
        <v>73676</v>
      </c>
      <c r="J32" s="55">
        <f>Ｎ!K32+Ｎ!L32</f>
        <v>63419</v>
      </c>
      <c r="K32" s="55">
        <f>平成6年度!J11</f>
        <v>49131</v>
      </c>
      <c r="L32" s="89">
        <f>平成6年度!K11</f>
        <v>14288</v>
      </c>
      <c r="M32" s="55">
        <f>Ｎ!N32+Ｎ!O32</f>
        <v>10257</v>
      </c>
      <c r="N32" s="55">
        <f>平成6年度!M11</f>
        <v>7412</v>
      </c>
      <c r="O32" s="90">
        <f>平成6年度!N11</f>
        <v>2845</v>
      </c>
      <c r="P32" s="58">
        <f>平成6年度!O11</f>
        <v>97440</v>
      </c>
      <c r="Q32" s="55">
        <f>平成6年度!P11</f>
        <v>286456</v>
      </c>
      <c r="R32" s="60">
        <f>Ｎ!D32/Ｎ!P32</f>
        <v>0.36508620689655175</v>
      </c>
      <c r="S32" s="61">
        <f>Ｎ!I32/Ｎ!Q32</f>
        <v>0.25719831317898734</v>
      </c>
      <c r="T32" s="62">
        <f>Ｎ!M32/Ｎ!I32</f>
        <v>0.13921765568163311</v>
      </c>
    </row>
    <row r="33" spans="3:20" x14ac:dyDescent="0.2">
      <c r="C33" s="53">
        <v>8</v>
      </c>
      <c r="D33" s="48">
        <f>平成6年度!C12</f>
        <v>35592</v>
      </c>
      <c r="E33" s="55">
        <f>Ｎ!F33+Ｎ!G33</f>
        <v>30577</v>
      </c>
      <c r="F33" s="55">
        <f>Ｎ!D33-Ｎ!H33-Ｎ!G33</f>
        <v>29115</v>
      </c>
      <c r="G33" s="89">
        <f>平成6年度!F12</f>
        <v>1462</v>
      </c>
      <c r="H33" s="90">
        <f>平成6年度!G12</f>
        <v>5015</v>
      </c>
      <c r="I33" s="58">
        <f>Ｎ!J33+Ｎ!M33</f>
        <v>73708</v>
      </c>
      <c r="J33" s="55">
        <f>Ｎ!K33+Ｎ!L33</f>
        <v>63457</v>
      </c>
      <c r="K33" s="55">
        <f>平成6年度!J12</f>
        <v>49111</v>
      </c>
      <c r="L33" s="89">
        <f>平成6年度!K12</f>
        <v>14346</v>
      </c>
      <c r="M33" s="55">
        <f>Ｎ!N33+Ｎ!O33</f>
        <v>10251</v>
      </c>
      <c r="N33" s="55">
        <f>平成6年度!M12</f>
        <v>7406</v>
      </c>
      <c r="O33" s="90">
        <f>平成6年度!N12</f>
        <v>2845</v>
      </c>
      <c r="P33" s="58">
        <f>平成6年度!O12</f>
        <v>97587</v>
      </c>
      <c r="Q33" s="55">
        <f>平成6年度!P12</f>
        <v>286654</v>
      </c>
      <c r="R33" s="60">
        <f>Ｎ!D33/Ｎ!P33</f>
        <v>0.36472071075040735</v>
      </c>
      <c r="S33" s="61">
        <f>Ｎ!I33/Ｎ!Q33</f>
        <v>0.25713229189196735</v>
      </c>
      <c r="T33" s="62">
        <f>Ｎ!M33/Ｎ!I33</f>
        <v>0.13907581266619634</v>
      </c>
    </row>
    <row r="34" spans="3:20" x14ac:dyDescent="0.2">
      <c r="C34" s="53">
        <v>9</v>
      </c>
      <c r="D34" s="58">
        <f>平成6年度!C13</f>
        <v>35668</v>
      </c>
      <c r="E34" s="55">
        <f>Ｎ!F34+Ｎ!G34</f>
        <v>30699</v>
      </c>
      <c r="F34" s="55">
        <f>Ｎ!D34-Ｎ!H34-Ｎ!G34</f>
        <v>29248</v>
      </c>
      <c r="G34" s="89">
        <f>平成6年度!F13</f>
        <v>1451</v>
      </c>
      <c r="H34" s="90">
        <f>平成6年度!G13</f>
        <v>4969</v>
      </c>
      <c r="I34" s="58">
        <f>Ｎ!J34+Ｎ!M34</f>
        <v>73702</v>
      </c>
      <c r="J34" s="55">
        <f>Ｎ!K34+Ｎ!L34</f>
        <v>63531</v>
      </c>
      <c r="K34" s="55">
        <f>平成6年度!J13</f>
        <v>49124</v>
      </c>
      <c r="L34" s="89">
        <f>平成6年度!K13</f>
        <v>14407</v>
      </c>
      <c r="M34" s="55">
        <f>Ｎ!N34+Ｎ!O34</f>
        <v>10171</v>
      </c>
      <c r="N34" s="55">
        <f>平成6年度!M13</f>
        <v>7338</v>
      </c>
      <c r="O34" s="90">
        <f>平成6年度!N13</f>
        <v>2833</v>
      </c>
      <c r="P34" s="58">
        <f>平成6年度!O13</f>
        <v>97657</v>
      </c>
      <c r="Q34" s="55">
        <f>平成6年度!P13</f>
        <v>286660</v>
      </c>
      <c r="R34" s="60">
        <f>Ｎ!D34/Ｎ!P34</f>
        <v>0.36523751497588497</v>
      </c>
      <c r="S34" s="61">
        <f>Ｎ!I34/Ｎ!Q34</f>
        <v>0.25710597920881884</v>
      </c>
      <c r="T34" s="62">
        <f>Ｎ!M34/Ｎ!I34</f>
        <v>0.13800168245095112</v>
      </c>
    </row>
    <row r="35" spans="3:20" x14ac:dyDescent="0.2">
      <c r="C35" s="53">
        <v>10</v>
      </c>
      <c r="D35" s="48">
        <f>平成6年度!C14</f>
        <v>35791</v>
      </c>
      <c r="E35" s="45">
        <f>Ｎ!F35+Ｎ!G35</f>
        <v>30774</v>
      </c>
      <c r="F35" s="45">
        <f>Ｎ!D35-Ｎ!H35-Ｎ!G35</f>
        <v>29320</v>
      </c>
      <c r="G35" s="79">
        <f>平成6年度!F14</f>
        <v>1454</v>
      </c>
      <c r="H35" s="80">
        <f>平成6年度!G14</f>
        <v>5017</v>
      </c>
      <c r="I35" s="48">
        <f>Ｎ!J35+Ｎ!M35</f>
        <v>73839</v>
      </c>
      <c r="J35" s="45">
        <f>Ｎ!K35+Ｎ!L35</f>
        <v>63584</v>
      </c>
      <c r="K35" s="45">
        <f>平成6年度!J14</f>
        <v>49063</v>
      </c>
      <c r="L35" s="79">
        <f>平成6年度!K14</f>
        <v>14521</v>
      </c>
      <c r="M35" s="45">
        <f>Ｎ!N35+Ｎ!O35</f>
        <v>10255</v>
      </c>
      <c r="N35" s="45">
        <f>平成6年度!M14</f>
        <v>7400</v>
      </c>
      <c r="O35" s="80">
        <f>平成6年度!N14</f>
        <v>2855</v>
      </c>
      <c r="P35" s="48">
        <f>平成6年度!O14</f>
        <v>97899</v>
      </c>
      <c r="Q35" s="45">
        <f>平成6年度!P14</f>
        <v>286983</v>
      </c>
      <c r="R35" s="50">
        <f>Ｎ!D35/Ｎ!P35</f>
        <v>0.3655910683459484</v>
      </c>
      <c r="S35" s="51">
        <f>Ｎ!I35/Ｎ!Q35</f>
        <v>0.2572939860549231</v>
      </c>
      <c r="T35" s="52">
        <f>Ｎ!M35/Ｎ!I35</f>
        <v>0.13888324598112109</v>
      </c>
    </row>
    <row r="36" spans="3:20" x14ac:dyDescent="0.2">
      <c r="C36" s="43">
        <v>11</v>
      </c>
      <c r="D36" s="48">
        <f>平成6年度!C15</f>
        <v>35843</v>
      </c>
      <c r="E36" s="45">
        <f>Ｎ!F36+Ｎ!G36</f>
        <v>30814</v>
      </c>
      <c r="F36" s="45">
        <f>Ｎ!D36-Ｎ!H36-Ｎ!G36</f>
        <v>29340</v>
      </c>
      <c r="G36" s="79">
        <f>平成6年度!F15</f>
        <v>1474</v>
      </c>
      <c r="H36" s="80">
        <f>平成6年度!G15</f>
        <v>5029</v>
      </c>
      <c r="I36" s="48">
        <f>Ｎ!J36+Ｎ!M36</f>
        <v>73874</v>
      </c>
      <c r="J36" s="45">
        <f>Ｎ!K36+Ｎ!L36</f>
        <v>63580</v>
      </c>
      <c r="K36" s="45">
        <f>平成6年度!J15</f>
        <v>48940</v>
      </c>
      <c r="L36" s="79">
        <f>平成6年度!K15</f>
        <v>14640</v>
      </c>
      <c r="M36" s="45">
        <f>Ｎ!N36+Ｎ!O36</f>
        <v>10294</v>
      </c>
      <c r="N36" s="45">
        <f>平成6年度!M15</f>
        <v>7437</v>
      </c>
      <c r="O36" s="80">
        <f>平成6年度!N15</f>
        <v>2857</v>
      </c>
      <c r="P36" s="48">
        <f>平成6年度!O15</f>
        <v>98097</v>
      </c>
      <c r="Q36" s="45">
        <f>平成6年度!P15</f>
        <v>287290</v>
      </c>
      <c r="R36" s="50">
        <f>Ｎ!D36/Ｎ!P36</f>
        <v>0.36538324311650711</v>
      </c>
      <c r="S36" s="51">
        <f>Ｎ!I36/Ｎ!Q36</f>
        <v>0.25714086811236031</v>
      </c>
      <c r="T36" s="52">
        <f>Ｎ!M36/Ｎ!I36</f>
        <v>0.13934537184936513</v>
      </c>
    </row>
    <row r="37" spans="3:20" x14ac:dyDescent="0.2">
      <c r="C37" s="43">
        <v>12</v>
      </c>
      <c r="D37" s="48">
        <f>平成6年度!C16</f>
        <v>35861</v>
      </c>
      <c r="E37" s="55">
        <f>Ｎ!F37+Ｎ!G37</f>
        <v>30834</v>
      </c>
      <c r="F37" s="55">
        <f>Ｎ!D37-Ｎ!H37-Ｎ!G37</f>
        <v>29365</v>
      </c>
      <c r="G37" s="89">
        <f>平成6年度!F16</f>
        <v>1469</v>
      </c>
      <c r="H37" s="90">
        <f>平成6年度!G16</f>
        <v>5027</v>
      </c>
      <c r="I37" s="58">
        <f>Ｎ!J37+Ｎ!M37</f>
        <v>73922</v>
      </c>
      <c r="J37" s="55">
        <f>Ｎ!K37+Ｎ!L37</f>
        <v>63641</v>
      </c>
      <c r="K37" s="55">
        <f>平成6年度!J16</f>
        <v>48932</v>
      </c>
      <c r="L37" s="89">
        <f>平成6年度!K16</f>
        <v>14709</v>
      </c>
      <c r="M37" s="55">
        <f>Ｎ!N37+Ｎ!O37</f>
        <v>10281</v>
      </c>
      <c r="N37" s="55">
        <f>平成6年度!M16</f>
        <v>7431</v>
      </c>
      <c r="O37" s="90">
        <f>平成6年度!N16</f>
        <v>2850</v>
      </c>
      <c r="P37" s="58">
        <f>平成6年度!O16</f>
        <v>98184</v>
      </c>
      <c r="Q37" s="55">
        <f>平成6年度!P16</f>
        <v>287514</v>
      </c>
      <c r="R37" s="60">
        <f>Ｎ!D37/Ｎ!P37</f>
        <v>0.36524280941904996</v>
      </c>
      <c r="S37" s="61">
        <f>Ｎ!I37/Ｎ!Q37</f>
        <v>0.25710747998358341</v>
      </c>
      <c r="T37" s="62">
        <f>Ｎ!M37/Ｎ!I37</f>
        <v>0.13907902924704418</v>
      </c>
    </row>
    <row r="38" spans="3:20" x14ac:dyDescent="0.2">
      <c r="C38" s="53">
        <v>1</v>
      </c>
      <c r="D38" s="48">
        <f>平成6年度!C17</f>
        <v>35941</v>
      </c>
      <c r="E38" s="45">
        <f>Ｎ!F38+Ｎ!G38</f>
        <v>30934</v>
      </c>
      <c r="F38" s="45">
        <f>Ｎ!D38-Ｎ!H38-Ｎ!G38</f>
        <v>29461</v>
      </c>
      <c r="G38" s="79">
        <f>平成6年度!F17</f>
        <v>1473</v>
      </c>
      <c r="H38" s="80">
        <f>平成6年度!G17</f>
        <v>5007</v>
      </c>
      <c r="I38" s="48">
        <f>Ｎ!J38+Ｎ!M38</f>
        <v>74044</v>
      </c>
      <c r="J38" s="45">
        <f>Ｎ!K38+Ｎ!L38</f>
        <v>63782</v>
      </c>
      <c r="K38" s="45">
        <f>平成6年度!J17</f>
        <v>49011</v>
      </c>
      <c r="L38" s="79">
        <f>平成6年度!K17</f>
        <v>14771</v>
      </c>
      <c r="M38" s="45">
        <f>Ｎ!N38+Ｎ!O38</f>
        <v>10262</v>
      </c>
      <c r="N38" s="45">
        <f>平成6年度!M17</f>
        <v>7410</v>
      </c>
      <c r="O38" s="80">
        <f>平成6年度!N17</f>
        <v>2852</v>
      </c>
      <c r="P38" s="48">
        <f>平成6年度!O17</f>
        <v>98311</v>
      </c>
      <c r="Q38" s="45">
        <f>平成6年度!P17</f>
        <v>287703</v>
      </c>
      <c r="R38" s="50">
        <f>Ｎ!D38/Ｎ!P38</f>
        <v>0.36558472602252035</v>
      </c>
      <c r="S38" s="51">
        <f>Ｎ!I38/Ｎ!Q38</f>
        <v>0.25736262743176125</v>
      </c>
      <c r="T38" s="52">
        <f>Ｎ!M38/Ｎ!I38</f>
        <v>0.13859326886716006</v>
      </c>
    </row>
    <row r="39" spans="3:20" x14ac:dyDescent="0.2">
      <c r="C39" s="43">
        <v>2</v>
      </c>
      <c r="D39" s="48">
        <f>平成6年度!C18</f>
        <v>35981</v>
      </c>
      <c r="E39" s="45">
        <f>Ｎ!F39+Ｎ!G39</f>
        <v>31008</v>
      </c>
      <c r="F39" s="45">
        <f>Ｎ!D39-Ｎ!H39-Ｎ!G39</f>
        <v>29550</v>
      </c>
      <c r="G39" s="79">
        <f>平成6年度!F18</f>
        <v>1458</v>
      </c>
      <c r="H39" s="80">
        <f>平成6年度!G18</f>
        <v>4973</v>
      </c>
      <c r="I39" s="48">
        <f>Ｎ!J39+Ｎ!M39</f>
        <v>73991</v>
      </c>
      <c r="J39" s="45">
        <f>Ｎ!K39+Ｎ!L39</f>
        <v>63826</v>
      </c>
      <c r="K39" s="45">
        <f>平成6年度!J18</f>
        <v>48907</v>
      </c>
      <c r="L39" s="79">
        <f>平成6年度!K18</f>
        <v>14919</v>
      </c>
      <c r="M39" s="45">
        <f>Ｎ!N39+Ｎ!O39</f>
        <v>10165</v>
      </c>
      <c r="N39" s="45">
        <f>平成6年度!M18</f>
        <v>7350</v>
      </c>
      <c r="O39" s="80">
        <f>平成6年度!N18</f>
        <v>2815</v>
      </c>
      <c r="P39" s="48">
        <f>平成6年度!O18</f>
        <v>98477</v>
      </c>
      <c r="Q39" s="45">
        <f>平成6年度!P18</f>
        <v>287951</v>
      </c>
      <c r="R39" s="50">
        <f>Ｎ!D39/Ｎ!P39</f>
        <v>0.36537465601104824</v>
      </c>
      <c r="S39" s="51">
        <f>Ｎ!I39/Ｎ!Q39</f>
        <v>0.25695691280808192</v>
      </c>
      <c r="T39" s="52">
        <f>Ｎ!M39/Ｎ!I39</f>
        <v>0.13738157343460691</v>
      </c>
    </row>
    <row r="40" spans="3:20" x14ac:dyDescent="0.2">
      <c r="C40" s="91">
        <v>3</v>
      </c>
      <c r="D40" s="92">
        <f>平成6年度!C19</f>
        <v>36029</v>
      </c>
      <c r="E40" s="289">
        <f>Ｎ!F40+Ｎ!G40</f>
        <v>31132</v>
      </c>
      <c r="F40" s="289">
        <f>Ｎ!D40-Ｎ!H40-Ｎ!G40</f>
        <v>29665</v>
      </c>
      <c r="G40" s="290">
        <f>平成6年度!F19</f>
        <v>1467</v>
      </c>
      <c r="H40" s="291">
        <f>平成6年度!G19</f>
        <v>4897</v>
      </c>
      <c r="I40" s="292">
        <f>Ｎ!J40+Ｎ!M40</f>
        <v>73958</v>
      </c>
      <c r="J40" s="289">
        <f>Ｎ!K40+Ｎ!L40</f>
        <v>63910</v>
      </c>
      <c r="K40" s="289">
        <f>平成6年度!J19</f>
        <v>48914</v>
      </c>
      <c r="L40" s="290">
        <f>平成6年度!K19</f>
        <v>14996</v>
      </c>
      <c r="M40" s="289">
        <f>Ｎ!N40+Ｎ!O40</f>
        <v>10048</v>
      </c>
      <c r="N40" s="289">
        <f>平成6年度!M19</f>
        <v>7258</v>
      </c>
      <c r="O40" s="291">
        <f>平成6年度!N19</f>
        <v>2790</v>
      </c>
      <c r="P40" s="292">
        <f>平成6年度!O19</f>
        <v>98491</v>
      </c>
      <c r="Q40" s="289">
        <f>平成6年度!P19</f>
        <v>287580</v>
      </c>
      <c r="R40" s="293">
        <f>Ｎ!D40/Ｎ!P40</f>
        <v>0.36581007401691523</v>
      </c>
      <c r="S40" s="294">
        <f>Ｎ!I40/Ｎ!Q40</f>
        <v>0.25717365602614922</v>
      </c>
      <c r="T40" s="295">
        <f>Ｎ!M40/Ｎ!I40</f>
        <v>0.13586089402093079</v>
      </c>
    </row>
    <row r="41" spans="3:20" x14ac:dyDescent="0.2">
      <c r="C41" s="296" t="s">
        <v>2770</v>
      </c>
      <c r="D41" s="297">
        <f>平成7年度!C8</f>
        <v>36183</v>
      </c>
      <c r="E41" s="298">
        <f>Ｎ!F41+Ｎ!G41</f>
        <v>31203</v>
      </c>
      <c r="F41" s="298">
        <f>Ｎ!D41-Ｎ!H41-Ｎ!G41</f>
        <v>29722</v>
      </c>
      <c r="G41" s="299">
        <f>平成7年度!F8</f>
        <v>1481</v>
      </c>
      <c r="H41" s="300">
        <f>平成7年度!G8</f>
        <v>4980</v>
      </c>
      <c r="I41" s="297">
        <f>Ｎ!J41+Ｎ!M41</f>
        <v>74145</v>
      </c>
      <c r="J41" s="298">
        <f>Ｎ!K41+Ｎ!L41</f>
        <v>63913</v>
      </c>
      <c r="K41" s="298">
        <f>平成7年度!J8</f>
        <v>48777</v>
      </c>
      <c r="L41" s="299">
        <f>平成7年度!K8</f>
        <v>15136</v>
      </c>
      <c r="M41" s="298">
        <f>Ｎ!N41+Ｎ!O41</f>
        <v>10232</v>
      </c>
      <c r="N41" s="298">
        <f>平成7年度!M8</f>
        <v>7374</v>
      </c>
      <c r="O41" s="300">
        <f>平成7年度!N8</f>
        <v>2858</v>
      </c>
      <c r="P41" s="297">
        <f>平成7年度!O8</f>
        <v>98969</v>
      </c>
      <c r="Q41" s="298">
        <f>平成7年度!P8</f>
        <v>288072</v>
      </c>
      <c r="R41" s="301">
        <f>Ｎ!D41/Ｎ!P41</f>
        <v>0.36559932908284415</v>
      </c>
      <c r="S41" s="302">
        <f>Ｎ!I41/Ｎ!Q41</f>
        <v>0.25738357077397317</v>
      </c>
      <c r="T41" s="303">
        <f>Ｎ!M41/Ｎ!I41</f>
        <v>0.13799986512913884</v>
      </c>
    </row>
    <row r="42" spans="3:20" x14ac:dyDescent="0.2">
      <c r="C42" s="53">
        <v>5</v>
      </c>
      <c r="D42" s="48">
        <f>平成7年度!C9</f>
        <v>36285</v>
      </c>
      <c r="E42" s="45">
        <f>Ｎ!F42+Ｎ!G42</f>
        <v>31305</v>
      </c>
      <c r="F42" s="45">
        <f>Ｎ!D42-Ｎ!H42-Ｎ!G42</f>
        <v>29824</v>
      </c>
      <c r="G42" s="79">
        <f>平成7年度!F9</f>
        <v>1481</v>
      </c>
      <c r="H42" s="80">
        <f>平成7年度!G9</f>
        <v>4980</v>
      </c>
      <c r="I42" s="48">
        <f>Ｎ!J42+Ｎ!M42</f>
        <v>74188</v>
      </c>
      <c r="J42" s="45">
        <f>Ｎ!K42+Ｎ!L42</f>
        <v>63946</v>
      </c>
      <c r="K42" s="45">
        <f>平成7年度!J9</f>
        <v>48726</v>
      </c>
      <c r="L42" s="79">
        <f>平成7年度!K9</f>
        <v>15220</v>
      </c>
      <c r="M42" s="45">
        <f>Ｎ!N42+Ｎ!O42</f>
        <v>10242</v>
      </c>
      <c r="N42" s="45">
        <f>平成7年度!M9</f>
        <v>7377</v>
      </c>
      <c r="O42" s="80">
        <f>平成7年度!N9</f>
        <v>2865</v>
      </c>
      <c r="P42" s="48">
        <f>平成7年度!O9</f>
        <v>99124</v>
      </c>
      <c r="Q42" s="45">
        <f>平成7年度!P9</f>
        <v>288210</v>
      </c>
      <c r="R42" s="50">
        <f>Ｎ!D42/Ｎ!P42</f>
        <v>0.3660566563092692</v>
      </c>
      <c r="S42" s="51">
        <f>Ｎ!I42/Ｎ!Q42</f>
        <v>0.25740952777488635</v>
      </c>
      <c r="T42" s="52">
        <f>Ｎ!M42/Ｎ!I42</f>
        <v>0.13805467191459536</v>
      </c>
    </row>
    <row r="43" spans="3:20" x14ac:dyDescent="0.2">
      <c r="C43" s="43">
        <v>6</v>
      </c>
      <c r="D43" s="48">
        <f>平成7年度!C10</f>
        <v>36372</v>
      </c>
      <c r="E43" s="45">
        <f>Ｎ!F43+Ｎ!G43</f>
        <v>31312</v>
      </c>
      <c r="F43" s="45">
        <f>Ｎ!D43-Ｎ!H43-Ｎ!G43</f>
        <v>29827</v>
      </c>
      <c r="G43" s="79">
        <f>平成7年度!F10</f>
        <v>1485</v>
      </c>
      <c r="H43" s="80">
        <f>平成7年度!G10</f>
        <v>5060</v>
      </c>
      <c r="I43" s="48">
        <f>Ｎ!J43+Ｎ!M43</f>
        <v>74246</v>
      </c>
      <c r="J43" s="45">
        <f>Ｎ!K43+Ｎ!L43</f>
        <v>63886</v>
      </c>
      <c r="K43" s="45">
        <f>平成7年度!J10</f>
        <v>48589</v>
      </c>
      <c r="L43" s="79">
        <f>平成7年度!K10</f>
        <v>15297</v>
      </c>
      <c r="M43" s="45">
        <f>Ｎ!N43+Ｎ!O43</f>
        <v>10360</v>
      </c>
      <c r="N43" s="45">
        <f>平成7年度!M10</f>
        <v>7485</v>
      </c>
      <c r="O43" s="80">
        <f>平成7年度!N10</f>
        <v>2875</v>
      </c>
      <c r="P43" s="48">
        <f>平成7年度!O10</f>
        <v>99246</v>
      </c>
      <c r="Q43" s="45">
        <f>平成7年度!P10</f>
        <v>288404</v>
      </c>
      <c r="R43" s="50">
        <f>Ｎ!D43/Ｎ!P43</f>
        <v>0.36648328396106644</v>
      </c>
      <c r="S43" s="51">
        <f>Ｎ!I43/Ｎ!Q43</f>
        <v>0.25743748353004814</v>
      </c>
      <c r="T43" s="52">
        <f>Ｎ!M43/Ｎ!I43</f>
        <v>0.13953613662688899</v>
      </c>
    </row>
    <row r="44" spans="3:20" x14ac:dyDescent="0.2">
      <c r="C44" s="43">
        <v>7</v>
      </c>
      <c r="D44" s="48">
        <f>平成7年度!C11</f>
        <v>36464</v>
      </c>
      <c r="E44" s="55">
        <f>Ｎ!F44+Ｎ!G44</f>
        <v>31401</v>
      </c>
      <c r="F44" s="55">
        <f>Ｎ!D44-Ｎ!H44-Ｎ!G44</f>
        <v>29906</v>
      </c>
      <c r="G44" s="89">
        <f>平成7年度!F11</f>
        <v>1495</v>
      </c>
      <c r="H44" s="90">
        <f>平成7年度!G11</f>
        <v>5063</v>
      </c>
      <c r="I44" s="58">
        <f>Ｎ!J44+Ｎ!M44</f>
        <v>74354</v>
      </c>
      <c r="J44" s="55">
        <f>Ｎ!K44+Ｎ!L44</f>
        <v>63973</v>
      </c>
      <c r="K44" s="55">
        <f>平成7年度!J11</f>
        <v>48611</v>
      </c>
      <c r="L44" s="89">
        <f>平成7年度!K11</f>
        <v>15362</v>
      </c>
      <c r="M44" s="55">
        <f>Ｎ!N44+Ｎ!O44</f>
        <v>10381</v>
      </c>
      <c r="N44" s="55">
        <f>平成7年度!M11</f>
        <v>7504</v>
      </c>
      <c r="O44" s="90">
        <f>平成7年度!N11</f>
        <v>2877</v>
      </c>
      <c r="P44" s="58">
        <f>平成7年度!O11</f>
        <v>99321</v>
      </c>
      <c r="Q44" s="55">
        <f>平成7年度!P11</f>
        <v>288396</v>
      </c>
      <c r="R44" s="60">
        <f>Ｎ!D44/Ｎ!P44</f>
        <v>0.36713283192879653</v>
      </c>
      <c r="S44" s="61">
        <f>Ｎ!I44/Ｎ!Q44</f>
        <v>0.25781910983508788</v>
      </c>
      <c r="T44" s="62">
        <f>Ｎ!M44/Ｎ!I44</f>
        <v>0.13961589154584825</v>
      </c>
    </row>
    <row r="45" spans="3:20" x14ac:dyDescent="0.2">
      <c r="C45" s="53">
        <v>8</v>
      </c>
      <c r="D45" s="48">
        <f>平成7年度!C12</f>
        <v>36521</v>
      </c>
      <c r="E45" s="55">
        <f>Ｎ!F45+Ｎ!G45</f>
        <v>31453</v>
      </c>
      <c r="F45" s="55">
        <f>Ｎ!D45-Ｎ!H45-Ｎ!G45</f>
        <v>29954</v>
      </c>
      <c r="G45" s="89">
        <f>平成7年度!F12</f>
        <v>1499</v>
      </c>
      <c r="H45" s="90">
        <f>平成7年度!G12</f>
        <v>5068</v>
      </c>
      <c r="I45" s="58">
        <f>Ｎ!J45+Ｎ!M45</f>
        <v>74408</v>
      </c>
      <c r="J45" s="55">
        <f>Ｎ!K45+Ｎ!L45</f>
        <v>64014</v>
      </c>
      <c r="K45" s="55">
        <f>平成7年度!J12</f>
        <v>48594</v>
      </c>
      <c r="L45" s="89">
        <f>平成7年度!K12</f>
        <v>15420</v>
      </c>
      <c r="M45" s="55">
        <f>Ｎ!N45+Ｎ!O45</f>
        <v>10394</v>
      </c>
      <c r="N45" s="55">
        <f>平成7年度!M12</f>
        <v>7508</v>
      </c>
      <c r="O45" s="90">
        <f>平成7年度!N12</f>
        <v>2886</v>
      </c>
      <c r="P45" s="58">
        <f>平成7年度!O12</f>
        <v>99389</v>
      </c>
      <c r="Q45" s="55">
        <f>平成7年度!P12</f>
        <v>288488</v>
      </c>
      <c r="R45" s="60">
        <f>Ｎ!D45/Ｎ!P45</f>
        <v>0.36745515097244164</v>
      </c>
      <c r="S45" s="61">
        <f>Ｎ!I45/Ｎ!Q45</f>
        <v>0.25792407309836113</v>
      </c>
      <c r="T45" s="62">
        <f>Ｎ!M45/Ｎ!I45</f>
        <v>0.13968928072250295</v>
      </c>
    </row>
    <row r="46" spans="3:20" x14ac:dyDescent="0.2">
      <c r="C46" s="53">
        <v>9</v>
      </c>
      <c r="D46" s="58">
        <f>平成7年度!C13</f>
        <v>36632</v>
      </c>
      <c r="E46" s="55">
        <f>Ｎ!F46+Ｎ!G46</f>
        <v>31628</v>
      </c>
      <c r="F46" s="55">
        <f>Ｎ!D46-Ｎ!H46-Ｎ!G46</f>
        <v>30131</v>
      </c>
      <c r="G46" s="89">
        <f>平成7年度!F13</f>
        <v>1497</v>
      </c>
      <c r="H46" s="90">
        <f>平成7年度!G13</f>
        <v>5004</v>
      </c>
      <c r="I46" s="58">
        <f>Ｎ!J46+Ｎ!M46</f>
        <v>74564</v>
      </c>
      <c r="J46" s="55">
        <f>Ｎ!K46+Ｎ!L46</f>
        <v>64289</v>
      </c>
      <c r="K46" s="55">
        <f>平成7年度!J13</f>
        <v>48767</v>
      </c>
      <c r="L46" s="89">
        <f>平成7年度!K13</f>
        <v>15522</v>
      </c>
      <c r="M46" s="55">
        <f>Ｎ!N46+Ｎ!O46</f>
        <v>10275</v>
      </c>
      <c r="N46" s="55">
        <f>平成7年度!M13</f>
        <v>7429</v>
      </c>
      <c r="O46" s="90">
        <f>平成7年度!N13</f>
        <v>2846</v>
      </c>
      <c r="P46" s="58">
        <f>平成7年度!O13</f>
        <v>99524</v>
      </c>
      <c r="Q46" s="55">
        <f>平成7年度!P13</f>
        <v>288654</v>
      </c>
      <c r="R46" s="60">
        <f>Ｎ!D46/Ｎ!P46</f>
        <v>0.36807202282866447</v>
      </c>
      <c r="S46" s="61">
        <f>Ｎ!I46/Ｎ!Q46</f>
        <v>0.25831618477485158</v>
      </c>
      <c r="T46" s="62">
        <f>Ｎ!M46/Ｎ!I46</f>
        <v>0.13780108363285232</v>
      </c>
    </row>
    <row r="47" spans="3:20" x14ac:dyDescent="0.2">
      <c r="C47" s="53">
        <v>10</v>
      </c>
      <c r="D47" s="48">
        <f>平成7年度!C14</f>
        <v>36760</v>
      </c>
      <c r="E47" s="45">
        <f>Ｎ!F47+Ｎ!G47</f>
        <v>31709</v>
      </c>
      <c r="F47" s="45">
        <f>Ｎ!D47-Ｎ!H47-Ｎ!G47</f>
        <v>30201</v>
      </c>
      <c r="G47" s="79">
        <f>平成7年度!F14</f>
        <v>1508</v>
      </c>
      <c r="H47" s="80">
        <f>平成7年度!G14</f>
        <v>5051</v>
      </c>
      <c r="I47" s="48">
        <f>Ｎ!J47+Ｎ!M47</f>
        <v>74776</v>
      </c>
      <c r="J47" s="45">
        <f>Ｎ!K47+Ｎ!L47</f>
        <v>64404</v>
      </c>
      <c r="K47" s="45">
        <f>平成7年度!J14</f>
        <v>48758</v>
      </c>
      <c r="L47" s="79">
        <f>平成7年度!K14</f>
        <v>15646</v>
      </c>
      <c r="M47" s="45">
        <f>Ｎ!N47+Ｎ!O47</f>
        <v>10372</v>
      </c>
      <c r="N47" s="45">
        <f>平成7年度!M14</f>
        <v>7494</v>
      </c>
      <c r="O47" s="80">
        <f>平成7年度!N14</f>
        <v>2878</v>
      </c>
      <c r="P47" s="48">
        <f>平成7年度!O14</f>
        <v>99734</v>
      </c>
      <c r="Q47" s="45">
        <f>平成7年度!P14</f>
        <v>288930</v>
      </c>
      <c r="R47" s="50">
        <f>Ｎ!D47/Ｎ!P47</f>
        <v>0.36858042392764756</v>
      </c>
      <c r="S47" s="51">
        <f>Ｎ!I47/Ｎ!Q47</f>
        <v>0.2588031703180701</v>
      </c>
      <c r="T47" s="52">
        <f>Ｎ!M47/Ｎ!I47</f>
        <v>0.13870760671873328</v>
      </c>
    </row>
    <row r="48" spans="3:20" x14ac:dyDescent="0.2">
      <c r="C48" s="43">
        <v>11</v>
      </c>
      <c r="D48" s="48">
        <f>平成7年度!C15</f>
        <v>36855</v>
      </c>
      <c r="E48" s="45">
        <f>Ｎ!F48+Ｎ!G48</f>
        <v>31783</v>
      </c>
      <c r="F48" s="45">
        <f>Ｎ!D48-Ｎ!H48-Ｎ!G48</f>
        <v>30281</v>
      </c>
      <c r="G48" s="79">
        <f>平成7年度!F15</f>
        <v>1502</v>
      </c>
      <c r="H48" s="80">
        <f>平成7年度!G15</f>
        <v>5072</v>
      </c>
      <c r="I48" s="48">
        <f>Ｎ!J48+Ｎ!M48</f>
        <v>74866</v>
      </c>
      <c r="J48" s="45">
        <f>Ｎ!K48+Ｎ!L48</f>
        <v>64478</v>
      </c>
      <c r="K48" s="45">
        <f>平成7年度!J15</f>
        <v>48709</v>
      </c>
      <c r="L48" s="79">
        <f>平成7年度!K15</f>
        <v>15769</v>
      </c>
      <c r="M48" s="45">
        <f>Ｎ!N48+Ｎ!O48</f>
        <v>10388</v>
      </c>
      <c r="N48" s="45">
        <f>平成7年度!M15</f>
        <v>7514</v>
      </c>
      <c r="O48" s="80">
        <f>平成7年度!N15</f>
        <v>2874</v>
      </c>
      <c r="P48" s="48">
        <f>平成7年度!O15</f>
        <v>99868</v>
      </c>
      <c r="Q48" s="45">
        <f>平成7年度!P15</f>
        <v>289049</v>
      </c>
      <c r="R48" s="50">
        <f>Ｎ!D48/Ｎ!P48</f>
        <v>0.36903712901029356</v>
      </c>
      <c r="S48" s="51">
        <f>Ｎ!I48/Ｎ!Q48</f>
        <v>0.25900798826496546</v>
      </c>
      <c r="T48" s="52">
        <f>Ｎ!M48/Ｎ!I48</f>
        <v>0.13875457484038148</v>
      </c>
    </row>
    <row r="49" spans="3:20" x14ac:dyDescent="0.2">
      <c r="C49" s="43">
        <v>12</v>
      </c>
      <c r="D49" s="48">
        <f>平成7年度!C16</f>
        <v>36866</v>
      </c>
      <c r="E49" s="55">
        <f>Ｎ!F49+Ｎ!G49</f>
        <v>31784</v>
      </c>
      <c r="F49" s="55">
        <f>Ｎ!D49-Ｎ!H49-Ｎ!G49</f>
        <v>30281</v>
      </c>
      <c r="G49" s="89">
        <f>平成7年度!F16</f>
        <v>1503</v>
      </c>
      <c r="H49" s="90">
        <f>平成7年度!G16</f>
        <v>5082</v>
      </c>
      <c r="I49" s="58">
        <f>Ｎ!J49+Ｎ!M49</f>
        <v>74936</v>
      </c>
      <c r="J49" s="55">
        <f>Ｎ!K49+Ｎ!L49</f>
        <v>64525</v>
      </c>
      <c r="K49" s="55">
        <f>平成7年度!J16</f>
        <v>48671</v>
      </c>
      <c r="L49" s="89">
        <f>平成7年度!K16</f>
        <v>15854</v>
      </c>
      <c r="M49" s="55">
        <f>Ｎ!N49+Ｎ!O49</f>
        <v>10411</v>
      </c>
      <c r="N49" s="55">
        <f>平成7年度!M16</f>
        <v>7529</v>
      </c>
      <c r="O49" s="90">
        <f>平成7年度!N16</f>
        <v>2882</v>
      </c>
      <c r="P49" s="58">
        <f>平成7年度!O16</f>
        <v>99845</v>
      </c>
      <c r="Q49" s="55">
        <f>平成7年度!P16</f>
        <v>289021</v>
      </c>
      <c r="R49" s="60">
        <f>Ｎ!D49/Ｎ!P49</f>
        <v>0.36923231008062496</v>
      </c>
      <c r="S49" s="61">
        <f>Ｎ!I49/Ｎ!Q49</f>
        <v>0.25927527757498592</v>
      </c>
      <c r="T49" s="62">
        <f>Ｎ!M49/Ｎ!I49</f>
        <v>0.13893188854489164</v>
      </c>
    </row>
    <row r="50" spans="3:20" x14ac:dyDescent="0.2">
      <c r="C50" s="53">
        <v>1</v>
      </c>
      <c r="D50" s="48">
        <f>平成7年度!C17</f>
        <v>36975</v>
      </c>
      <c r="E50" s="45">
        <f>Ｎ!F50+Ｎ!G50</f>
        <v>31879</v>
      </c>
      <c r="F50" s="45">
        <f>Ｎ!D50-Ｎ!H50-Ｎ!G50</f>
        <v>30377</v>
      </c>
      <c r="G50" s="79">
        <f>平成7年度!F17</f>
        <v>1502</v>
      </c>
      <c r="H50" s="80">
        <f>平成7年度!G17</f>
        <v>5096</v>
      </c>
      <c r="I50" s="48">
        <f>Ｎ!J50+Ｎ!M50</f>
        <v>75171</v>
      </c>
      <c r="J50" s="45">
        <f>Ｎ!K50+Ｎ!L50</f>
        <v>64732</v>
      </c>
      <c r="K50" s="45">
        <f>平成7年度!J17</f>
        <v>48802</v>
      </c>
      <c r="L50" s="79">
        <f>平成7年度!K17</f>
        <v>15930</v>
      </c>
      <c r="M50" s="45">
        <f>Ｎ!N50+Ｎ!O50</f>
        <v>10439</v>
      </c>
      <c r="N50" s="45">
        <f>平成7年度!M17</f>
        <v>7549</v>
      </c>
      <c r="O50" s="80">
        <f>平成7年度!N17</f>
        <v>2890</v>
      </c>
      <c r="P50" s="48">
        <f>平成7年度!O17</f>
        <v>99944</v>
      </c>
      <c r="Q50" s="45">
        <f>平成7年度!P17</f>
        <v>289143</v>
      </c>
      <c r="R50" s="50">
        <f>Ｎ!D50/Ｎ!P50</f>
        <v>0.36995717601857042</v>
      </c>
      <c r="S50" s="51">
        <f>Ｎ!I50/Ｎ!Q50</f>
        <v>0.25997862649277348</v>
      </c>
      <c r="T50" s="52">
        <f>Ｎ!M50/Ｎ!I50</f>
        <v>0.13887004296869804</v>
      </c>
    </row>
    <row r="51" spans="3:20" x14ac:dyDescent="0.2">
      <c r="C51" s="43">
        <v>2</v>
      </c>
      <c r="D51" s="48">
        <f>平成7年度!C18</f>
        <v>36998</v>
      </c>
      <c r="E51" s="45">
        <f>Ｎ!F51+Ｎ!G51</f>
        <v>31948</v>
      </c>
      <c r="F51" s="45">
        <f>Ｎ!D51-Ｎ!H51-Ｎ!G51</f>
        <v>30445</v>
      </c>
      <c r="G51" s="79">
        <f>平成7年度!F18</f>
        <v>1503</v>
      </c>
      <c r="H51" s="80">
        <f>平成7年度!G18</f>
        <v>5050</v>
      </c>
      <c r="I51" s="48">
        <f>Ｎ!J51+Ｎ!M51</f>
        <v>75200</v>
      </c>
      <c r="J51" s="45">
        <f>Ｎ!K51+Ｎ!L51</f>
        <v>64844</v>
      </c>
      <c r="K51" s="45">
        <f>平成7年度!J18</f>
        <v>48796</v>
      </c>
      <c r="L51" s="79">
        <f>平成7年度!K18</f>
        <v>16048</v>
      </c>
      <c r="M51" s="45">
        <f>Ｎ!N51+Ｎ!O51</f>
        <v>10356</v>
      </c>
      <c r="N51" s="45">
        <f>平成7年度!M18</f>
        <v>7491</v>
      </c>
      <c r="O51" s="80">
        <f>平成7年度!N18</f>
        <v>2865</v>
      </c>
      <c r="P51" s="48">
        <f>平成7年度!O18</f>
        <v>100002</v>
      </c>
      <c r="Q51" s="45">
        <f>平成7年度!P18</f>
        <v>289267</v>
      </c>
      <c r="R51" s="50">
        <f>Ｎ!D51/Ｎ!P51</f>
        <v>0.36997260054798903</v>
      </c>
      <c r="S51" s="51">
        <f>Ｎ!I51/Ｎ!Q51</f>
        <v>0.25996743493035845</v>
      </c>
      <c r="T51" s="52">
        <f>Ｎ!M51/Ｎ!I51</f>
        <v>0.1377127659574468</v>
      </c>
    </row>
    <row r="52" spans="3:20" x14ac:dyDescent="0.2">
      <c r="C52" s="91">
        <v>3</v>
      </c>
      <c r="D52" s="92">
        <f>平成7年度!C19</f>
        <v>37108</v>
      </c>
      <c r="E52" s="289">
        <f>Ｎ!F52+Ｎ!G52</f>
        <v>32125</v>
      </c>
      <c r="F52" s="289">
        <f>Ｎ!D52-Ｎ!H52-Ｎ!G52</f>
        <v>30623</v>
      </c>
      <c r="G52" s="290">
        <f>平成7年度!F19</f>
        <v>1502</v>
      </c>
      <c r="H52" s="291">
        <f>平成7年度!G19</f>
        <v>4983</v>
      </c>
      <c r="I52" s="292">
        <f>Ｎ!J52+Ｎ!M52</f>
        <v>75303</v>
      </c>
      <c r="J52" s="289">
        <f>Ｎ!K52+Ｎ!L52</f>
        <v>65084</v>
      </c>
      <c r="K52" s="289">
        <f>平成7年度!J19</f>
        <v>48926</v>
      </c>
      <c r="L52" s="290">
        <f>平成7年度!K19</f>
        <v>16158</v>
      </c>
      <c r="M52" s="289">
        <f>Ｎ!N52+Ｎ!O52</f>
        <v>10219</v>
      </c>
      <c r="N52" s="289">
        <f>平成7年度!M19</f>
        <v>7404</v>
      </c>
      <c r="O52" s="291">
        <f>平成7年度!N19</f>
        <v>2815</v>
      </c>
      <c r="P52" s="292">
        <f>平成7年度!O19</f>
        <v>99950</v>
      </c>
      <c r="Q52" s="289">
        <f>平成7年度!P19</f>
        <v>288713</v>
      </c>
      <c r="R52" s="293">
        <f>Ｎ!D52/Ｎ!P52</f>
        <v>0.37126563281640823</v>
      </c>
      <c r="S52" s="294">
        <f>Ｎ!I52/Ｎ!Q52</f>
        <v>0.26082303186901873</v>
      </c>
      <c r="T52" s="295">
        <f>Ｎ!M52/Ｎ!I52</f>
        <v>0.13570508479077859</v>
      </c>
    </row>
    <row r="53" spans="3:20" x14ac:dyDescent="0.2">
      <c r="C53" s="296" t="s">
        <v>2771</v>
      </c>
      <c r="D53" s="297">
        <f>平成８年度!C8</f>
        <v>37416</v>
      </c>
      <c r="E53" s="298">
        <f>Ｎ!F53+Ｎ!G53</f>
        <v>32280</v>
      </c>
      <c r="F53" s="298">
        <f>Ｎ!D53-Ｎ!H53-Ｎ!G53</f>
        <v>30761</v>
      </c>
      <c r="G53" s="299">
        <f>平成８年度!F8</f>
        <v>1519</v>
      </c>
      <c r="H53" s="300">
        <f>平成８年度!G8</f>
        <v>5136</v>
      </c>
      <c r="I53" s="297">
        <f>Ｎ!J53+Ｎ!M53</f>
        <v>75663</v>
      </c>
      <c r="J53" s="298">
        <f>Ｎ!K53+Ｎ!L53</f>
        <v>65135</v>
      </c>
      <c r="K53" s="298">
        <f>平成８年度!J8</f>
        <v>48807</v>
      </c>
      <c r="L53" s="299">
        <f>平成８年度!K8</f>
        <v>16328</v>
      </c>
      <c r="M53" s="298">
        <f>Ｎ!N53+Ｎ!O53</f>
        <v>10528</v>
      </c>
      <c r="N53" s="298">
        <f>平成８年度!M8</f>
        <v>7595</v>
      </c>
      <c r="O53" s="300">
        <f>平成８年度!N8</f>
        <v>2933</v>
      </c>
      <c r="P53" s="297">
        <f>平成８年度!O8</f>
        <v>100509</v>
      </c>
      <c r="Q53" s="298">
        <f>平成８年度!P8</f>
        <v>289235</v>
      </c>
      <c r="R53" s="301">
        <f>Ｎ!D53/Ｎ!P53</f>
        <v>0.37226517028325823</v>
      </c>
      <c r="S53" s="302">
        <f>Ｎ!I53/Ｎ!Q53</f>
        <v>0.26159697132089821</v>
      </c>
      <c r="T53" s="303">
        <f>Ｎ!M53/Ｎ!I53</f>
        <v>0.13914330650383938</v>
      </c>
    </row>
    <row r="54" spans="3:20" x14ac:dyDescent="0.2">
      <c r="C54" s="53">
        <v>5</v>
      </c>
      <c r="D54" s="48">
        <f>平成８年度!C9</f>
        <v>37502</v>
      </c>
      <c r="E54" s="45">
        <f>Ｎ!F54+Ｎ!G54</f>
        <v>32368</v>
      </c>
      <c r="F54" s="45">
        <f>Ｎ!D54-Ｎ!H54-Ｎ!G54</f>
        <v>30852</v>
      </c>
      <c r="G54" s="79">
        <f>平成８年度!F9</f>
        <v>1516</v>
      </c>
      <c r="H54" s="80">
        <f>平成８年度!G9</f>
        <v>5134</v>
      </c>
      <c r="I54" s="48">
        <f>Ｎ!J54+Ｎ!M54</f>
        <v>75656</v>
      </c>
      <c r="J54" s="45">
        <f>Ｎ!K54+Ｎ!L54</f>
        <v>65132</v>
      </c>
      <c r="K54" s="45">
        <f>平成８年度!J9</f>
        <v>48724</v>
      </c>
      <c r="L54" s="79">
        <f>平成８年度!K9</f>
        <v>16408</v>
      </c>
      <c r="M54" s="45">
        <f>Ｎ!N54+Ｎ!O54</f>
        <v>10524</v>
      </c>
      <c r="N54" s="45">
        <f>平成８年度!M9</f>
        <v>7585</v>
      </c>
      <c r="O54" s="80">
        <f>平成８年度!N9</f>
        <v>2939</v>
      </c>
      <c r="P54" s="48">
        <f>平成８年度!O9</f>
        <v>100792</v>
      </c>
      <c r="Q54" s="45">
        <f>平成８年度!P9</f>
        <v>289496</v>
      </c>
      <c r="R54" s="50">
        <f>Ｎ!D54/Ｎ!P54</f>
        <v>0.37207318041114373</v>
      </c>
      <c r="S54" s="51">
        <f>Ｎ!I54/Ｎ!Q54</f>
        <v>0.26133694420648301</v>
      </c>
      <c r="T54" s="52">
        <f>Ｎ!M54/Ｎ!I54</f>
        <v>0.13910330971766946</v>
      </c>
    </row>
    <row r="55" spans="3:20" x14ac:dyDescent="0.2">
      <c r="C55" s="43">
        <v>6</v>
      </c>
      <c r="D55" s="48">
        <f>平成８年度!C10</f>
        <v>37594</v>
      </c>
      <c r="E55" s="45">
        <f>Ｎ!F55+Ｎ!G55</f>
        <v>32414</v>
      </c>
      <c r="F55" s="45">
        <f>Ｎ!D55-Ｎ!H55-Ｎ!G55</f>
        <v>30876</v>
      </c>
      <c r="G55" s="79">
        <f>平成８年度!F10</f>
        <v>1538</v>
      </c>
      <c r="H55" s="80">
        <f>平成８年度!G10</f>
        <v>5180</v>
      </c>
      <c r="I55" s="48">
        <f>Ｎ!J55+Ｎ!M55</f>
        <v>75753</v>
      </c>
      <c r="J55" s="45">
        <f>Ｎ!K55+Ｎ!L55</f>
        <v>65148</v>
      </c>
      <c r="K55" s="45">
        <f>平成８年度!J10</f>
        <v>48661</v>
      </c>
      <c r="L55" s="79">
        <f>平成８年度!K10</f>
        <v>16487</v>
      </c>
      <c r="M55" s="45">
        <f>Ｎ!N55+Ｎ!O55</f>
        <v>10605</v>
      </c>
      <c r="N55" s="45">
        <f>平成８年度!M10</f>
        <v>7670</v>
      </c>
      <c r="O55" s="80">
        <f>平成８年度!N10</f>
        <v>2935</v>
      </c>
      <c r="P55" s="48">
        <f>平成８年度!O10</f>
        <v>100982</v>
      </c>
      <c r="Q55" s="45">
        <f>平成８年度!P10</f>
        <v>289745</v>
      </c>
      <c r="R55" s="50">
        <f>Ｎ!D55/Ｎ!P55</f>
        <v>0.37228416945594267</v>
      </c>
      <c r="S55" s="51">
        <f>Ｎ!I55/Ｎ!Q55</f>
        <v>0.26144713454934509</v>
      </c>
      <c r="T55" s="52">
        <f>Ｎ!M55/Ｎ!I55</f>
        <v>0.13999445566512217</v>
      </c>
    </row>
    <row r="56" spans="3:20" x14ac:dyDescent="0.2">
      <c r="C56" s="43">
        <v>7</v>
      </c>
      <c r="D56" s="48">
        <f>平成８年度!C11</f>
        <v>37736</v>
      </c>
      <c r="E56" s="55">
        <f>Ｎ!F56+Ｎ!G56</f>
        <v>32518</v>
      </c>
      <c r="F56" s="55">
        <f>Ｎ!D56-Ｎ!H56-Ｎ!G56</f>
        <v>30975</v>
      </c>
      <c r="G56" s="89">
        <f>平成８年度!F11</f>
        <v>1543</v>
      </c>
      <c r="H56" s="90">
        <f>平成８年度!G11</f>
        <v>5218</v>
      </c>
      <c r="I56" s="58">
        <f>Ｎ!J56+Ｎ!M56</f>
        <v>75916</v>
      </c>
      <c r="J56" s="55">
        <f>Ｎ!K56+Ｎ!L56</f>
        <v>65240</v>
      </c>
      <c r="K56" s="55">
        <f>平成８年度!J11</f>
        <v>48677</v>
      </c>
      <c r="L56" s="89">
        <f>平成８年度!K11</f>
        <v>16563</v>
      </c>
      <c r="M56" s="55">
        <f>Ｎ!N56+Ｎ!O56</f>
        <v>10676</v>
      </c>
      <c r="N56" s="55">
        <f>平成８年度!M11</f>
        <v>7718</v>
      </c>
      <c r="O56" s="90">
        <f>平成８年度!N11</f>
        <v>2958</v>
      </c>
      <c r="P56" s="58">
        <f>平成８年度!O11</f>
        <v>101151</v>
      </c>
      <c r="Q56" s="55">
        <f>平成８年度!P11</f>
        <v>289947</v>
      </c>
      <c r="R56" s="60">
        <f>Ｎ!D56/Ｎ!P56</f>
        <v>0.37306601022234087</v>
      </c>
      <c r="S56" s="61">
        <f>Ｎ!I56/Ｎ!Q56</f>
        <v>0.26182716151572527</v>
      </c>
      <c r="T56" s="62">
        <f>Ｎ!M56/Ｎ!I56</f>
        <v>0.14062911639180148</v>
      </c>
    </row>
    <row r="57" spans="3:20" x14ac:dyDescent="0.2">
      <c r="C57" s="53">
        <v>8</v>
      </c>
      <c r="D57" s="48">
        <f>平成８年度!C12</f>
        <v>37866</v>
      </c>
      <c r="E57" s="55">
        <f>Ｎ!F57+Ｎ!G57</f>
        <v>32668</v>
      </c>
      <c r="F57" s="55">
        <f>Ｎ!D57-Ｎ!H57-Ｎ!G57</f>
        <v>31126</v>
      </c>
      <c r="G57" s="89">
        <f>平成８年度!F12</f>
        <v>1542</v>
      </c>
      <c r="H57" s="90">
        <f>平成８年度!G12</f>
        <v>5198</v>
      </c>
      <c r="I57" s="58">
        <f>Ｎ!J57+Ｎ!M57</f>
        <v>76122</v>
      </c>
      <c r="J57" s="55">
        <f>Ｎ!K57+Ｎ!L57</f>
        <v>65487</v>
      </c>
      <c r="K57" s="55">
        <f>平成８年度!J12</f>
        <v>48831</v>
      </c>
      <c r="L57" s="89">
        <f>平成８年度!K12</f>
        <v>16656</v>
      </c>
      <c r="M57" s="55">
        <f>Ｎ!N57+Ｎ!O57</f>
        <v>10635</v>
      </c>
      <c r="N57" s="55">
        <f>平成８年度!M12</f>
        <v>7692</v>
      </c>
      <c r="O57" s="90">
        <f>平成８年度!N12</f>
        <v>2943</v>
      </c>
      <c r="P57" s="58">
        <f>平成８年度!O12</f>
        <v>101238</v>
      </c>
      <c r="Q57" s="55">
        <f>平成８年度!P12</f>
        <v>290040</v>
      </c>
      <c r="R57" s="60">
        <f>Ｎ!D57/Ｎ!P57</f>
        <v>0.37402951460913886</v>
      </c>
      <c r="S57" s="61">
        <f>Ｎ!I57/Ｎ!Q57</f>
        <v>0.26245345469590403</v>
      </c>
      <c r="T57" s="62">
        <f>Ｎ!M57/Ｎ!I57</f>
        <v>0.13970993930795303</v>
      </c>
    </row>
    <row r="58" spans="3:20" x14ac:dyDescent="0.2">
      <c r="C58" s="53">
        <v>9</v>
      </c>
      <c r="D58" s="58">
        <f>平成８年度!C13</f>
        <v>37939</v>
      </c>
      <c r="E58" s="55">
        <f>Ｎ!F58+Ｎ!G58</f>
        <v>32736</v>
      </c>
      <c r="F58" s="55">
        <f>Ｎ!D58-Ｎ!H58-Ｎ!G58</f>
        <v>31212</v>
      </c>
      <c r="G58" s="89">
        <f>平成８年度!F13</f>
        <v>1524</v>
      </c>
      <c r="H58" s="90">
        <f>平成８年度!G13</f>
        <v>5203</v>
      </c>
      <c r="I58" s="58">
        <f>Ｎ!J58+Ｎ!M58</f>
        <v>76171</v>
      </c>
      <c r="J58" s="55">
        <f>Ｎ!K58+Ｎ!L58</f>
        <v>65543</v>
      </c>
      <c r="K58" s="55">
        <f>平成８年度!J13</f>
        <v>48779</v>
      </c>
      <c r="L58" s="89">
        <f>平成８年度!K13</f>
        <v>16764</v>
      </c>
      <c r="M58" s="55">
        <f>Ｎ!N58+Ｎ!O58</f>
        <v>10628</v>
      </c>
      <c r="N58" s="55">
        <f>平成８年度!M13</f>
        <v>7675</v>
      </c>
      <c r="O58" s="90">
        <f>平成８年度!N13</f>
        <v>2953</v>
      </c>
      <c r="P58" s="58">
        <f>平成８年度!O13</f>
        <v>101257</v>
      </c>
      <c r="Q58" s="55">
        <f>平成８年度!P13</f>
        <v>290058</v>
      </c>
      <c r="R58" s="60">
        <f>Ｎ!D58/Ｎ!P58</f>
        <v>0.37468026901843821</v>
      </c>
      <c r="S58" s="61">
        <f>Ｎ!I58/Ｎ!Q58</f>
        <v>0.26260609946976121</v>
      </c>
      <c r="T58" s="62">
        <f>Ｎ!M58/Ｎ!I58</f>
        <v>0.13952816688766065</v>
      </c>
    </row>
    <row r="59" spans="3:20" x14ac:dyDescent="0.2">
      <c r="C59" s="53">
        <v>10</v>
      </c>
      <c r="D59" s="48">
        <f>平成８年度!C14</f>
        <v>38085</v>
      </c>
      <c r="E59" s="45">
        <f>Ｎ!F59+Ｎ!G59</f>
        <v>32850</v>
      </c>
      <c r="F59" s="45">
        <f>Ｎ!D59-Ｎ!H59-Ｎ!G59</f>
        <v>31331</v>
      </c>
      <c r="G59" s="79">
        <f>平成８年度!F14</f>
        <v>1519</v>
      </c>
      <c r="H59" s="80">
        <f>平成８年度!G14</f>
        <v>5235</v>
      </c>
      <c r="I59" s="48">
        <f>Ｎ!J59+Ｎ!M59</f>
        <v>76359</v>
      </c>
      <c r="J59" s="45">
        <f>Ｎ!K59+Ｎ!L59</f>
        <v>65672</v>
      </c>
      <c r="K59" s="45">
        <f>平成８年度!J14</f>
        <v>48769</v>
      </c>
      <c r="L59" s="79">
        <f>平成８年度!K14</f>
        <v>16903</v>
      </c>
      <c r="M59" s="45">
        <f>Ｎ!N59+Ｎ!O59</f>
        <v>10687</v>
      </c>
      <c r="N59" s="45">
        <f>平成８年度!M14</f>
        <v>7700</v>
      </c>
      <c r="O59" s="80">
        <f>平成８年度!N14</f>
        <v>2987</v>
      </c>
      <c r="P59" s="48">
        <f>平成８年度!O14</f>
        <v>101451</v>
      </c>
      <c r="Q59" s="45">
        <f>平成８年度!P14</f>
        <v>290246</v>
      </c>
      <c r="R59" s="50">
        <f>Ｎ!D59/Ｎ!P59</f>
        <v>0.37540290386492003</v>
      </c>
      <c r="S59" s="51">
        <f>Ｎ!I59/Ｎ!Q59</f>
        <v>0.26308372897473176</v>
      </c>
      <c r="T59" s="52">
        <f>Ｎ!M59/Ｎ!I59</f>
        <v>0.13995730693173039</v>
      </c>
    </row>
    <row r="60" spans="3:20" x14ac:dyDescent="0.2">
      <c r="C60" s="43">
        <v>11</v>
      </c>
      <c r="D60" s="48">
        <f>平成８年度!C15</f>
        <v>38125</v>
      </c>
      <c r="E60" s="45">
        <f>Ｎ!F60+Ｎ!G60</f>
        <v>32844</v>
      </c>
      <c r="F60" s="45">
        <f>Ｎ!D60-Ｎ!H60-Ｎ!G60</f>
        <v>31312</v>
      </c>
      <c r="G60" s="79">
        <f>平成８年度!F15</f>
        <v>1532</v>
      </c>
      <c r="H60" s="80">
        <f>平成８年度!G15</f>
        <v>5281</v>
      </c>
      <c r="I60" s="48">
        <f>Ｎ!J60+Ｎ!M60</f>
        <v>76427</v>
      </c>
      <c r="J60" s="45">
        <f>Ｎ!K60+Ｎ!L60</f>
        <v>65636</v>
      </c>
      <c r="K60" s="45">
        <f>平成８年度!J15</f>
        <v>48642</v>
      </c>
      <c r="L60" s="79">
        <f>平成８年度!K15</f>
        <v>16994</v>
      </c>
      <c r="M60" s="45">
        <f>Ｎ!N60+Ｎ!O60</f>
        <v>10791</v>
      </c>
      <c r="N60" s="45">
        <f>平成８年度!M15</f>
        <v>7775</v>
      </c>
      <c r="O60" s="80">
        <f>平成８年度!N15</f>
        <v>3016</v>
      </c>
      <c r="P60" s="48">
        <f>平成８年度!O15</f>
        <v>101587</v>
      </c>
      <c r="Q60" s="45">
        <f>平成８年度!P15</f>
        <v>290416</v>
      </c>
      <c r="R60" s="50">
        <f>Ｎ!D60/Ｎ!P60</f>
        <v>0.3752940829043086</v>
      </c>
      <c r="S60" s="51">
        <f>Ｎ!I60/Ｎ!Q60</f>
        <v>0.26316387526858026</v>
      </c>
      <c r="T60" s="52">
        <f>Ｎ!M60/Ｎ!I60</f>
        <v>0.14119355725070984</v>
      </c>
    </row>
    <row r="61" spans="3:20" x14ac:dyDescent="0.2">
      <c r="C61" s="43">
        <v>12</v>
      </c>
      <c r="D61" s="48">
        <f>平成８年度!C16</f>
        <v>38198</v>
      </c>
      <c r="E61" s="55">
        <f>Ｎ!F61+Ｎ!G61</f>
        <v>32906</v>
      </c>
      <c r="F61" s="55">
        <f>Ｎ!D61-Ｎ!H61-Ｎ!G61</f>
        <v>31370</v>
      </c>
      <c r="G61" s="89">
        <f>平成８年度!F16</f>
        <v>1536</v>
      </c>
      <c r="H61" s="90">
        <f>平成８年度!G16</f>
        <v>5292</v>
      </c>
      <c r="I61" s="58">
        <f>Ｎ!J61+Ｎ!M61</f>
        <v>76553</v>
      </c>
      <c r="J61" s="55">
        <f>Ｎ!K61+Ｎ!L61</f>
        <v>65743</v>
      </c>
      <c r="K61" s="55">
        <f>平成８年度!J16</f>
        <v>48684</v>
      </c>
      <c r="L61" s="89">
        <f>平成８年度!K16</f>
        <v>17059</v>
      </c>
      <c r="M61" s="55">
        <f>Ｎ!N61+Ｎ!O61</f>
        <v>10810</v>
      </c>
      <c r="N61" s="55">
        <f>平成８年度!M16</f>
        <v>7790</v>
      </c>
      <c r="O61" s="90">
        <f>平成８年度!N16</f>
        <v>3020</v>
      </c>
      <c r="P61" s="58">
        <f>平成８年度!O16</f>
        <v>101677</v>
      </c>
      <c r="Q61" s="55">
        <f>平成８年度!P16</f>
        <v>290603</v>
      </c>
      <c r="R61" s="60">
        <f>Ｎ!D61/Ｎ!P61</f>
        <v>0.37567984893338707</v>
      </c>
      <c r="S61" s="61">
        <f>Ｎ!I61/Ｎ!Q61</f>
        <v>0.26342811326792909</v>
      </c>
      <c r="T61" s="62">
        <f>Ｎ!M61/Ｎ!I61</f>
        <v>0.14120935822240802</v>
      </c>
    </row>
    <row r="62" spans="3:20" x14ac:dyDescent="0.2">
      <c r="C62" s="53">
        <v>1</v>
      </c>
      <c r="D62" s="48">
        <f>平成８年度!C17</f>
        <v>38270</v>
      </c>
      <c r="E62" s="45">
        <f>Ｎ!F62+Ｎ!G62</f>
        <v>33002</v>
      </c>
      <c r="F62" s="45">
        <f>Ｎ!D62-Ｎ!H62-Ｎ!G62</f>
        <v>31462</v>
      </c>
      <c r="G62" s="79">
        <f>平成８年度!F17</f>
        <v>1540</v>
      </c>
      <c r="H62" s="80">
        <f>平成８年度!G17</f>
        <v>5268</v>
      </c>
      <c r="I62" s="48">
        <f>Ｎ!J62+Ｎ!M62</f>
        <v>76640</v>
      </c>
      <c r="J62" s="45">
        <f>Ｎ!K62+Ｎ!L62</f>
        <v>65868</v>
      </c>
      <c r="K62" s="45">
        <f>平成８年度!J17</f>
        <v>48796</v>
      </c>
      <c r="L62" s="79">
        <f>平成８年度!K17</f>
        <v>17072</v>
      </c>
      <c r="M62" s="45">
        <f>Ｎ!N62+Ｎ!O62</f>
        <v>10772</v>
      </c>
      <c r="N62" s="45">
        <f>平成８年度!M17</f>
        <v>7766</v>
      </c>
      <c r="O62" s="80">
        <f>平成８年度!N17</f>
        <v>3006</v>
      </c>
      <c r="P62" s="48">
        <f>平成８年度!O17</f>
        <v>101743</v>
      </c>
      <c r="Q62" s="45">
        <f>平成８年度!P17</f>
        <v>290565</v>
      </c>
      <c r="R62" s="50">
        <f>Ｎ!D62/Ｎ!P62</f>
        <v>0.37614381333359542</v>
      </c>
      <c r="S62" s="51">
        <f>Ｎ!I62/Ｎ!Q62</f>
        <v>0.26376198096811387</v>
      </c>
      <c r="T62" s="52">
        <f>Ｎ!M62/Ｎ!I62</f>
        <v>0.14055323590814195</v>
      </c>
    </row>
    <row r="63" spans="3:20" x14ac:dyDescent="0.2">
      <c r="C63" s="43">
        <v>2</v>
      </c>
      <c r="D63" s="48">
        <f>平成８年度!C18</f>
        <v>38274</v>
      </c>
      <c r="E63" s="45">
        <f>Ｎ!F63+Ｎ!G63</f>
        <v>33037</v>
      </c>
      <c r="F63" s="45">
        <f>Ｎ!D63-Ｎ!H63-Ｎ!G63</f>
        <v>31489</v>
      </c>
      <c r="G63" s="79">
        <f>平成８年度!F18</f>
        <v>1548</v>
      </c>
      <c r="H63" s="80">
        <f>平成８年度!G18</f>
        <v>5237</v>
      </c>
      <c r="I63" s="48">
        <f>Ｎ!J63+Ｎ!M63</f>
        <v>76666</v>
      </c>
      <c r="J63" s="45">
        <f>Ｎ!K63+Ｎ!L63</f>
        <v>65936</v>
      </c>
      <c r="K63" s="45">
        <f>平成８年度!J18</f>
        <v>48753</v>
      </c>
      <c r="L63" s="79">
        <f>平成８年度!K18</f>
        <v>17183</v>
      </c>
      <c r="M63" s="45">
        <f>Ｎ!N63+Ｎ!O63</f>
        <v>10730</v>
      </c>
      <c r="N63" s="45">
        <f>平成８年度!M18</f>
        <v>7731</v>
      </c>
      <c r="O63" s="80">
        <f>平成８年度!N18</f>
        <v>2999</v>
      </c>
      <c r="P63" s="48">
        <f>平成８年度!O18</f>
        <v>101807</v>
      </c>
      <c r="Q63" s="45">
        <f>平成８年度!P18</f>
        <v>290638</v>
      </c>
      <c r="R63" s="50">
        <f>Ｎ!D63/Ｎ!P63</f>
        <v>0.37594664414038326</v>
      </c>
      <c r="S63" s="51">
        <f>Ｎ!I63/Ｎ!Q63</f>
        <v>0.26378518982376703</v>
      </c>
      <c r="T63" s="52">
        <f>Ｎ!M63/Ｎ!I63</f>
        <v>0.13995773876294576</v>
      </c>
    </row>
    <row r="64" spans="3:20" x14ac:dyDescent="0.2">
      <c r="C64" s="91">
        <v>3</v>
      </c>
      <c r="D64" s="92">
        <f>平成８年度!C19</f>
        <v>38366</v>
      </c>
      <c r="E64" s="289">
        <f>Ｎ!F64+Ｎ!G64</f>
        <v>33145</v>
      </c>
      <c r="F64" s="289">
        <f>Ｎ!D64-Ｎ!H64-Ｎ!G64</f>
        <v>31596</v>
      </c>
      <c r="G64" s="290">
        <f>平成８年度!F19</f>
        <v>1549</v>
      </c>
      <c r="H64" s="291">
        <f>平成８年度!G19</f>
        <v>5221</v>
      </c>
      <c r="I64" s="292">
        <f>Ｎ!J64+Ｎ!M64</f>
        <v>76694</v>
      </c>
      <c r="J64" s="289">
        <f>Ｎ!K64+Ｎ!L64</f>
        <v>65984</v>
      </c>
      <c r="K64" s="289">
        <f>平成８年度!J19</f>
        <v>48708</v>
      </c>
      <c r="L64" s="290">
        <f>平成８年度!K19</f>
        <v>17276</v>
      </c>
      <c r="M64" s="289">
        <f>Ｎ!N64+Ｎ!O64</f>
        <v>10710</v>
      </c>
      <c r="N64" s="289">
        <f>平成８年度!M19</f>
        <v>7715</v>
      </c>
      <c r="O64" s="291">
        <f>平成８年度!N19</f>
        <v>2995</v>
      </c>
      <c r="P64" s="292">
        <f>平成８年度!O19</f>
        <v>101745</v>
      </c>
      <c r="Q64" s="289">
        <f>平成８年度!P19</f>
        <v>290105</v>
      </c>
      <c r="R64" s="293">
        <f>Ｎ!D64/Ｎ!P64</f>
        <v>0.37707995478893314</v>
      </c>
      <c r="S64" s="294">
        <f>Ｎ!I64/Ｎ!Q64</f>
        <v>0.26436635011461368</v>
      </c>
      <c r="T64" s="295">
        <f>Ｎ!M64/Ｎ!I64</f>
        <v>0.13964586538712284</v>
      </c>
    </row>
    <row r="65" spans="3:20" x14ac:dyDescent="0.2">
      <c r="C65" s="296" t="s">
        <v>2772</v>
      </c>
      <c r="D65" s="297">
        <f>平成９年度!C8</f>
        <v>38667</v>
      </c>
      <c r="E65" s="298">
        <f>Ｎ!F65+Ｎ!G65</f>
        <v>33337</v>
      </c>
      <c r="F65" s="298">
        <f>Ｎ!D65-Ｎ!H65-Ｎ!G65</f>
        <v>31747</v>
      </c>
      <c r="G65" s="299">
        <f>平成９年度!F8</f>
        <v>1590</v>
      </c>
      <c r="H65" s="300">
        <f>平成９年度!G8</f>
        <v>5330</v>
      </c>
      <c r="I65" s="297">
        <f>Ｎ!J65+Ｎ!M65</f>
        <v>77092</v>
      </c>
      <c r="J65" s="298">
        <f>Ｎ!K65+Ｎ!L65</f>
        <v>66124</v>
      </c>
      <c r="K65" s="298">
        <f>平成９年度!J8</f>
        <v>48690</v>
      </c>
      <c r="L65" s="299">
        <f>平成９年度!K8</f>
        <v>17434</v>
      </c>
      <c r="M65" s="298">
        <f>Ｎ!N65+Ｎ!O65</f>
        <v>10968</v>
      </c>
      <c r="N65" s="298">
        <f>平成９年度!M8</f>
        <v>7894</v>
      </c>
      <c r="O65" s="300">
        <f>平成９年度!N8</f>
        <v>3074</v>
      </c>
      <c r="P65" s="297">
        <f>平成９年度!O8</f>
        <v>102247</v>
      </c>
      <c r="Q65" s="298">
        <f>平成９年度!P8</f>
        <v>290536</v>
      </c>
      <c r="R65" s="301">
        <f>Ｎ!D65/Ｎ!P65</f>
        <v>0.37817246471779126</v>
      </c>
      <c r="S65" s="302">
        <f>Ｎ!I65/Ｎ!Q65</f>
        <v>0.265344053748933</v>
      </c>
      <c r="T65" s="303">
        <f>Ｎ!M65/Ｎ!I65</f>
        <v>0.14227157162870338</v>
      </c>
    </row>
    <row r="66" spans="3:20" x14ac:dyDescent="0.2">
      <c r="C66" s="53">
        <v>5</v>
      </c>
      <c r="D66" s="48">
        <f>平成９年度!C9</f>
        <v>38741</v>
      </c>
      <c r="E66" s="45">
        <f>Ｎ!F66+Ｎ!G66</f>
        <v>33399</v>
      </c>
      <c r="F66" s="45">
        <f>Ｎ!D66-Ｎ!H66-Ｎ!G66</f>
        <v>31822</v>
      </c>
      <c r="G66" s="79">
        <f>平成９年度!F9</f>
        <v>1577</v>
      </c>
      <c r="H66" s="80">
        <f>平成９年度!G9</f>
        <v>5342</v>
      </c>
      <c r="I66" s="48">
        <f>Ｎ!J66+Ｎ!M66</f>
        <v>77143</v>
      </c>
      <c r="J66" s="45">
        <f>Ｎ!K66+Ｎ!L66</f>
        <v>66181</v>
      </c>
      <c r="K66" s="45">
        <f>平成９年度!J9</f>
        <v>48669</v>
      </c>
      <c r="L66" s="79">
        <f>平成９年度!K9</f>
        <v>17512</v>
      </c>
      <c r="M66" s="45">
        <f>Ｎ!N66+Ｎ!O66</f>
        <v>10962</v>
      </c>
      <c r="N66" s="45">
        <f>平成９年度!M9</f>
        <v>7892</v>
      </c>
      <c r="O66" s="80">
        <f>平成９年度!N9</f>
        <v>3070</v>
      </c>
      <c r="P66" s="48">
        <f>平成９年度!O9</f>
        <v>102352</v>
      </c>
      <c r="Q66" s="45">
        <f>平成９年度!P9</f>
        <v>290657</v>
      </c>
      <c r="R66" s="50">
        <f>Ｎ!D66/Ｎ!P66</f>
        <v>0.37850750351727375</v>
      </c>
      <c r="S66" s="51">
        <f>Ｎ!I66/Ｎ!Q66</f>
        <v>0.26540905603512044</v>
      </c>
      <c r="T66" s="52">
        <f>Ｎ!M66/Ｎ!I66</f>
        <v>0.14209973685233918</v>
      </c>
    </row>
    <row r="67" spans="3:20" x14ac:dyDescent="0.2">
      <c r="C67" s="43">
        <v>6</v>
      </c>
      <c r="D67" s="48">
        <f>平成９年度!C10</f>
        <v>38857</v>
      </c>
      <c r="E67" s="45">
        <f>Ｎ!F67+Ｎ!G67</f>
        <v>33446</v>
      </c>
      <c r="F67" s="45">
        <f>Ｎ!D67-Ｎ!H67-Ｎ!G67</f>
        <v>31846</v>
      </c>
      <c r="G67" s="79">
        <f>平成９年度!F10</f>
        <v>1600</v>
      </c>
      <c r="H67" s="80">
        <f>平成９年度!G10</f>
        <v>5411</v>
      </c>
      <c r="I67" s="48">
        <f>Ｎ!J67+Ｎ!M67</f>
        <v>77280</v>
      </c>
      <c r="J67" s="45">
        <f>Ｎ!K67+Ｎ!L67</f>
        <v>66193</v>
      </c>
      <c r="K67" s="45">
        <f>平成９年度!J10</f>
        <v>48598</v>
      </c>
      <c r="L67" s="79">
        <f>平成９年度!K10</f>
        <v>17595</v>
      </c>
      <c r="M67" s="45">
        <f>Ｎ!N67+Ｎ!O67</f>
        <v>11087</v>
      </c>
      <c r="N67" s="45">
        <f>平成９年度!M10</f>
        <v>8002</v>
      </c>
      <c r="O67" s="80">
        <f>平成９年度!N10</f>
        <v>3085</v>
      </c>
      <c r="P67" s="48">
        <f>平成９年度!O10</f>
        <v>102450</v>
      </c>
      <c r="Q67" s="45">
        <f>平成９年度!P10</f>
        <v>290693</v>
      </c>
      <c r="R67" s="50">
        <f>Ｎ!D67/Ｎ!P67</f>
        <v>0.37927769643728648</v>
      </c>
      <c r="S67" s="51">
        <f>Ｎ!I67/Ｎ!Q67</f>
        <v>0.26584747482739524</v>
      </c>
      <c r="T67" s="52">
        <f>Ｎ!M67/Ｎ!I67</f>
        <v>0.14346532091097308</v>
      </c>
    </row>
    <row r="68" spans="3:20" x14ac:dyDescent="0.2">
      <c r="C68" s="43">
        <v>7</v>
      </c>
      <c r="D68" s="48">
        <f>平成９年度!C11</f>
        <v>38960</v>
      </c>
      <c r="E68" s="55">
        <f>Ｎ!F68+Ｎ!G68</f>
        <v>33524</v>
      </c>
      <c r="F68" s="55">
        <f>Ｎ!D68-Ｎ!H68-Ｎ!G68</f>
        <v>31899</v>
      </c>
      <c r="G68" s="89">
        <f>平成９年度!F11</f>
        <v>1625</v>
      </c>
      <c r="H68" s="90">
        <f>平成９年度!G11</f>
        <v>5436</v>
      </c>
      <c r="I68" s="58">
        <f>Ｎ!J68+Ｎ!M68</f>
        <v>77472</v>
      </c>
      <c r="J68" s="55">
        <f>Ｎ!K68+Ｎ!L68</f>
        <v>66302</v>
      </c>
      <c r="K68" s="55">
        <f>平成９年度!J11</f>
        <v>48647</v>
      </c>
      <c r="L68" s="89">
        <f>平成９年度!K11</f>
        <v>17655</v>
      </c>
      <c r="M68" s="55">
        <f>Ｎ!N68+Ｎ!O68</f>
        <v>11170</v>
      </c>
      <c r="N68" s="55">
        <f>平成９年度!M11</f>
        <v>8052</v>
      </c>
      <c r="O68" s="90">
        <f>平成９年度!N11</f>
        <v>3118</v>
      </c>
      <c r="P68" s="58">
        <f>平成９年度!O11</f>
        <v>102464</v>
      </c>
      <c r="Q68" s="55">
        <f>平成９年度!P11</f>
        <v>290776</v>
      </c>
      <c r="R68" s="60">
        <f>Ｎ!D68/Ｎ!P68</f>
        <v>0.38023110555902562</v>
      </c>
      <c r="S68" s="61">
        <f>Ｎ!I68/Ｎ!Q68</f>
        <v>0.26643189259086031</v>
      </c>
      <c r="T68" s="62">
        <f>Ｎ!M68/Ｎ!I68</f>
        <v>0.14418112350268483</v>
      </c>
    </row>
    <row r="69" spans="3:20" x14ac:dyDescent="0.2">
      <c r="C69" s="53">
        <v>8</v>
      </c>
      <c r="D69" s="48">
        <f>平成９年度!C12</f>
        <v>39074</v>
      </c>
      <c r="E69" s="55">
        <f>Ｎ!F69+Ｎ!G69</f>
        <v>33650</v>
      </c>
      <c r="F69" s="55">
        <f>Ｎ!D69-Ｎ!H69-Ｎ!G69</f>
        <v>32021</v>
      </c>
      <c r="G69" s="89">
        <f>平成９年度!F12</f>
        <v>1629</v>
      </c>
      <c r="H69" s="90">
        <f>平成９年度!G12</f>
        <v>5424</v>
      </c>
      <c r="I69" s="58">
        <f>Ｎ!J69+Ｎ!M69</f>
        <v>77606</v>
      </c>
      <c r="J69" s="55">
        <f>Ｎ!K69+Ｎ!L69</f>
        <v>66455</v>
      </c>
      <c r="K69" s="55">
        <f>平成９年度!J12</f>
        <v>48671</v>
      </c>
      <c r="L69" s="89">
        <f>平成９年度!K12</f>
        <v>17784</v>
      </c>
      <c r="M69" s="55">
        <f>Ｎ!N69+Ｎ!O69</f>
        <v>11151</v>
      </c>
      <c r="N69" s="55">
        <f>平成９年度!M12</f>
        <v>8037</v>
      </c>
      <c r="O69" s="90">
        <f>平成９年度!N12</f>
        <v>3114</v>
      </c>
      <c r="P69" s="58">
        <f>平成９年度!O12</f>
        <v>102465</v>
      </c>
      <c r="Q69" s="55">
        <f>平成９年度!P12</f>
        <v>290846</v>
      </c>
      <c r="R69" s="60">
        <f>Ｎ!D69/Ｎ!P69</f>
        <v>0.38133996974576684</v>
      </c>
      <c r="S69" s="61">
        <f>Ｎ!I69/Ｎ!Q69</f>
        <v>0.26682849342951254</v>
      </c>
      <c r="T69" s="62">
        <f>Ｎ!M69/Ｎ!I69</f>
        <v>0.14368734376208026</v>
      </c>
    </row>
    <row r="70" spans="3:20" x14ac:dyDescent="0.2">
      <c r="C70" s="53">
        <v>9</v>
      </c>
      <c r="D70" s="58">
        <f>平成９年度!C13</f>
        <v>39207</v>
      </c>
      <c r="E70" s="55">
        <f>Ｎ!F70+Ｎ!G70</f>
        <v>33778</v>
      </c>
      <c r="F70" s="55">
        <f>Ｎ!D70-Ｎ!H70-Ｎ!G70</f>
        <v>32153</v>
      </c>
      <c r="G70" s="89">
        <f>平成９年度!F13</f>
        <v>1625</v>
      </c>
      <c r="H70" s="90">
        <f>平成９年度!G13</f>
        <v>5429</v>
      </c>
      <c r="I70" s="58">
        <f>Ｎ!J70+Ｎ!M70</f>
        <v>77805</v>
      </c>
      <c r="J70" s="55">
        <f>Ｎ!K70+Ｎ!L70</f>
        <v>66640</v>
      </c>
      <c r="K70" s="55">
        <f>平成９年度!J13</f>
        <v>48738</v>
      </c>
      <c r="L70" s="89">
        <f>平成９年度!K13</f>
        <v>17902</v>
      </c>
      <c r="M70" s="55">
        <f>Ｎ!N70+Ｎ!O70</f>
        <v>11165</v>
      </c>
      <c r="N70" s="55">
        <f>平成９年度!M13</f>
        <v>8037</v>
      </c>
      <c r="O70" s="90">
        <f>平成９年度!N13</f>
        <v>3128</v>
      </c>
      <c r="P70" s="58">
        <f>平成９年度!O13</f>
        <v>102598</v>
      </c>
      <c r="Q70" s="55">
        <f>平成９年度!P13</f>
        <v>291048</v>
      </c>
      <c r="R70" s="60">
        <f>Ｎ!D70/Ｎ!P70</f>
        <v>0.38214195208483598</v>
      </c>
      <c r="S70" s="61">
        <f>Ｎ!I70/Ｎ!Q70</f>
        <v>0.26732703883895442</v>
      </c>
      <c r="T70" s="62">
        <f>Ｎ!M70/Ｎ!I70</f>
        <v>0.14349977507872244</v>
      </c>
    </row>
    <row r="71" spans="3:20" x14ac:dyDescent="0.2">
      <c r="C71" s="53">
        <v>10</v>
      </c>
      <c r="D71" s="48">
        <f>平成９年度!C14</f>
        <v>39316</v>
      </c>
      <c r="E71" s="45">
        <f>Ｎ!F71+Ｎ!G71</f>
        <v>33864</v>
      </c>
      <c r="F71" s="45">
        <f>Ｎ!D71-Ｎ!H71-Ｎ!G71</f>
        <v>32228</v>
      </c>
      <c r="G71" s="79">
        <f>平成９年度!F14</f>
        <v>1636</v>
      </c>
      <c r="H71" s="80">
        <f>平成９年度!G14</f>
        <v>5452</v>
      </c>
      <c r="I71" s="48">
        <f>Ｎ!J71+Ｎ!M71</f>
        <v>78018</v>
      </c>
      <c r="J71" s="45">
        <f>Ｎ!K71+Ｎ!L71</f>
        <v>66783</v>
      </c>
      <c r="K71" s="45">
        <f>平成９年度!J14</f>
        <v>48781</v>
      </c>
      <c r="L71" s="79">
        <f>平成９年度!K14</f>
        <v>18002</v>
      </c>
      <c r="M71" s="45">
        <f>Ｎ!N71+Ｎ!O71</f>
        <v>11235</v>
      </c>
      <c r="N71" s="45">
        <f>平成９年度!M14</f>
        <v>8076</v>
      </c>
      <c r="O71" s="80">
        <f>平成９年度!N14</f>
        <v>3159</v>
      </c>
      <c r="P71" s="48">
        <f>平成９年度!O14</f>
        <v>102749</v>
      </c>
      <c r="Q71" s="45">
        <f>平成９年度!P14</f>
        <v>291188</v>
      </c>
      <c r="R71" s="50">
        <f>Ｎ!D71/Ｎ!P71</f>
        <v>0.38264119358825877</v>
      </c>
      <c r="S71" s="51">
        <f>Ｎ!I71/Ｎ!Q71</f>
        <v>0.26792999711526572</v>
      </c>
      <c r="T71" s="52">
        <f>Ｎ!M71/Ｎ!I71</f>
        <v>0.14400522956240869</v>
      </c>
    </row>
    <row r="72" spans="3:20" x14ac:dyDescent="0.2">
      <c r="C72" s="43">
        <v>11</v>
      </c>
      <c r="D72" s="48">
        <f>平成９年度!C15</f>
        <v>39406</v>
      </c>
      <c r="E72" s="45">
        <f>Ｎ!F72+Ｎ!G72</f>
        <v>33957</v>
      </c>
      <c r="F72" s="45">
        <f>Ｎ!D72-Ｎ!H72-Ｎ!G72</f>
        <v>32314</v>
      </c>
      <c r="G72" s="79">
        <f>平成９年度!F15</f>
        <v>1643</v>
      </c>
      <c r="H72" s="80">
        <f>平成９年度!G15</f>
        <v>5449</v>
      </c>
      <c r="I72" s="48">
        <f>Ｎ!J72+Ｎ!M72</f>
        <v>78148</v>
      </c>
      <c r="J72" s="45">
        <f>Ｎ!K72+Ｎ!L72</f>
        <v>66908</v>
      </c>
      <c r="K72" s="45">
        <f>平成９年度!J15</f>
        <v>48820</v>
      </c>
      <c r="L72" s="79">
        <f>平成９年度!K15</f>
        <v>18088</v>
      </c>
      <c r="M72" s="45">
        <f>Ｎ!N72+Ｎ!O72</f>
        <v>11240</v>
      </c>
      <c r="N72" s="45">
        <f>平成９年度!M15</f>
        <v>8088</v>
      </c>
      <c r="O72" s="80">
        <f>平成９年度!N15</f>
        <v>3152</v>
      </c>
      <c r="P72" s="48">
        <f>平成９年度!O15</f>
        <v>102919</v>
      </c>
      <c r="Q72" s="45">
        <f>平成９年度!P15</f>
        <v>291391</v>
      </c>
      <c r="R72" s="50">
        <f>Ｎ!D72/Ｎ!P72</f>
        <v>0.38288362692991573</v>
      </c>
      <c r="S72" s="51">
        <f>Ｎ!I72/Ｎ!Q72</f>
        <v>0.26818947736889609</v>
      </c>
      <c r="T72" s="52">
        <f>Ｎ!M72/Ｎ!I72</f>
        <v>0.14382965654911195</v>
      </c>
    </row>
    <row r="73" spans="3:20" x14ac:dyDescent="0.2">
      <c r="C73" s="43">
        <v>12</v>
      </c>
      <c r="D73" s="48">
        <f>平成９年度!C16</f>
        <v>39486</v>
      </c>
      <c r="E73" s="55">
        <f>Ｎ!F73+Ｎ!G73</f>
        <v>34004</v>
      </c>
      <c r="F73" s="55">
        <f>Ｎ!D73-Ｎ!H73-Ｎ!G73</f>
        <v>32334</v>
      </c>
      <c r="G73" s="89">
        <f>平成９年度!F16</f>
        <v>1670</v>
      </c>
      <c r="H73" s="90">
        <f>平成９年度!G16</f>
        <v>5482</v>
      </c>
      <c r="I73" s="58">
        <f>Ｎ!J73+Ｎ!M73</f>
        <v>78262</v>
      </c>
      <c r="J73" s="55">
        <f>Ｎ!K73+Ｎ!L73</f>
        <v>66947</v>
      </c>
      <c r="K73" s="55">
        <f>平成９年度!J16</f>
        <v>48790</v>
      </c>
      <c r="L73" s="89">
        <f>平成９年度!K16</f>
        <v>18157</v>
      </c>
      <c r="M73" s="55">
        <f>Ｎ!N73+Ｎ!O73</f>
        <v>11315</v>
      </c>
      <c r="N73" s="55">
        <f>平成９年度!M16</f>
        <v>8153</v>
      </c>
      <c r="O73" s="90">
        <f>平成９年度!N16</f>
        <v>3162</v>
      </c>
      <c r="P73" s="58">
        <f>平成９年度!O16</f>
        <v>102989</v>
      </c>
      <c r="Q73" s="55">
        <f>平成９年度!P16</f>
        <v>291550</v>
      </c>
      <c r="R73" s="60">
        <f>Ｎ!D73/Ｎ!P73</f>
        <v>0.38340016895008205</v>
      </c>
      <c r="S73" s="61">
        <f>Ｎ!I73/Ｎ!Q73</f>
        <v>0.26843423083519125</v>
      </c>
      <c r="T73" s="62">
        <f>Ｎ!M73/Ｎ!I73</f>
        <v>0.14457846719991824</v>
      </c>
    </row>
    <row r="74" spans="3:20" x14ac:dyDescent="0.2">
      <c r="C74" s="53">
        <v>1</v>
      </c>
      <c r="D74" s="48">
        <f>平成９年度!C17</f>
        <v>39616</v>
      </c>
      <c r="E74" s="45">
        <f>Ｎ!F74+Ｎ!G74</f>
        <v>34147</v>
      </c>
      <c r="F74" s="45">
        <f>Ｎ!D74-Ｎ!H74-Ｎ!G74</f>
        <v>32481</v>
      </c>
      <c r="G74" s="79">
        <f>平成９年度!F17</f>
        <v>1666</v>
      </c>
      <c r="H74" s="80">
        <f>平成９年度!G17</f>
        <v>5469</v>
      </c>
      <c r="I74" s="48">
        <f>Ｎ!J74+Ｎ!M74</f>
        <v>78580</v>
      </c>
      <c r="J74" s="45">
        <f>Ｎ!K74+Ｎ!L74</f>
        <v>67296</v>
      </c>
      <c r="K74" s="45">
        <f>平成９年度!J17</f>
        <v>49102</v>
      </c>
      <c r="L74" s="79">
        <f>平成９年度!K17</f>
        <v>18194</v>
      </c>
      <c r="M74" s="45">
        <f>Ｎ!N74+Ｎ!O74</f>
        <v>11284</v>
      </c>
      <c r="N74" s="45">
        <f>平成９年度!M17</f>
        <v>8125</v>
      </c>
      <c r="O74" s="80">
        <f>平成９年度!N17</f>
        <v>3159</v>
      </c>
      <c r="P74" s="48">
        <f>平成９年度!O17</f>
        <v>103047</v>
      </c>
      <c r="Q74" s="45">
        <f>平成９年度!P17</f>
        <v>291648</v>
      </c>
      <c r="R74" s="50">
        <f>Ｎ!D74/Ｎ!P74</f>
        <v>0.38444593243859598</v>
      </c>
      <c r="S74" s="51">
        <f>Ｎ!I74/Ｎ!Q74</f>
        <v>0.26943438665788894</v>
      </c>
      <c r="T74" s="52">
        <f>Ｎ!M74/Ｎ!I74</f>
        <v>0.14359888012216848</v>
      </c>
    </row>
    <row r="75" spans="3:20" x14ac:dyDescent="0.2">
      <c r="C75" s="43">
        <v>2</v>
      </c>
      <c r="D75" s="48">
        <f>平成９年度!C18</f>
        <v>39695</v>
      </c>
      <c r="E75" s="45">
        <f>Ｎ!F75+Ｎ!G75</f>
        <v>34240</v>
      </c>
      <c r="F75" s="45">
        <f>Ｎ!D75-Ｎ!H75-Ｎ!G75</f>
        <v>32557</v>
      </c>
      <c r="G75" s="79">
        <f>平成９年度!F18</f>
        <v>1683</v>
      </c>
      <c r="H75" s="80">
        <f>平成９年度!G18</f>
        <v>5455</v>
      </c>
      <c r="I75" s="48">
        <f>Ｎ!J75+Ｎ!M75</f>
        <v>78727</v>
      </c>
      <c r="J75" s="45">
        <f>Ｎ!K75+Ｎ!L75</f>
        <v>67444</v>
      </c>
      <c r="K75" s="45">
        <f>平成９年度!J18</f>
        <v>49108</v>
      </c>
      <c r="L75" s="79">
        <f>平成９年度!K18</f>
        <v>18336</v>
      </c>
      <c r="M75" s="45">
        <f>Ｎ!N75+Ｎ!O75</f>
        <v>11283</v>
      </c>
      <c r="N75" s="45">
        <f>平成９年度!M18</f>
        <v>8122</v>
      </c>
      <c r="O75" s="80">
        <f>平成９年度!N18</f>
        <v>3161</v>
      </c>
      <c r="P75" s="48">
        <f>平成９年度!O18</f>
        <v>103162</v>
      </c>
      <c r="Q75" s="45">
        <f>平成９年度!P18</f>
        <v>291808</v>
      </c>
      <c r="R75" s="50">
        <f>Ｎ!D75/Ｎ!P75</f>
        <v>0.38478315658866635</v>
      </c>
      <c r="S75" s="51">
        <f>Ｎ!I75/Ｎ!Q75</f>
        <v>0.26979041013269001</v>
      </c>
      <c r="T75" s="52">
        <f>Ｎ!M75/Ｎ!I75</f>
        <v>0.1433180484458953</v>
      </c>
    </row>
    <row r="76" spans="3:20" x14ac:dyDescent="0.2">
      <c r="C76" s="91">
        <v>3</v>
      </c>
      <c r="D76" s="92">
        <f>平成９年度!C19</f>
        <v>39808</v>
      </c>
      <c r="E76" s="289">
        <f>Ｎ!F76+Ｎ!G76</f>
        <v>34347</v>
      </c>
      <c r="F76" s="289">
        <f>Ｎ!D76-Ｎ!H76-Ｎ!G76</f>
        <v>32655</v>
      </c>
      <c r="G76" s="290">
        <f>平成９年度!F19</f>
        <v>1692</v>
      </c>
      <c r="H76" s="291">
        <f>平成９年度!G19</f>
        <v>5461</v>
      </c>
      <c r="I76" s="292">
        <f>Ｎ!J76+Ｎ!M76</f>
        <v>78843</v>
      </c>
      <c r="J76" s="289">
        <f>Ｎ!K76+Ｎ!L76</f>
        <v>67530</v>
      </c>
      <c r="K76" s="289">
        <f>平成９年度!J19</f>
        <v>49113</v>
      </c>
      <c r="L76" s="290">
        <f>平成９年度!K19</f>
        <v>18417</v>
      </c>
      <c r="M76" s="289">
        <f>Ｎ!N76+Ｎ!O76</f>
        <v>11313</v>
      </c>
      <c r="N76" s="289">
        <f>平成９年度!M19</f>
        <v>8143</v>
      </c>
      <c r="O76" s="291">
        <f>平成９年度!N19</f>
        <v>3170</v>
      </c>
      <c r="P76" s="292">
        <f>平成９年度!O19</f>
        <v>103255</v>
      </c>
      <c r="Q76" s="289">
        <f>平成９年度!P19</f>
        <v>291366</v>
      </c>
      <c r="R76" s="293">
        <f>Ｎ!D76/Ｎ!P76</f>
        <v>0.38553096702338868</v>
      </c>
      <c r="S76" s="294">
        <f>Ｎ!I76/Ｎ!Q76</f>
        <v>0.27059780482280021</v>
      </c>
      <c r="T76" s="295">
        <f>Ｎ!M76/Ｎ!I76</f>
        <v>0.14348769072714129</v>
      </c>
    </row>
    <row r="77" spans="3:20" x14ac:dyDescent="0.2">
      <c r="C77" s="296" t="s">
        <v>2773</v>
      </c>
      <c r="D77" s="297">
        <f>平成10年度!C8</f>
        <v>40143</v>
      </c>
      <c r="E77" s="298">
        <f>Ｎ!F77+Ｎ!G77</f>
        <v>34571</v>
      </c>
      <c r="F77" s="298">
        <f>Ｎ!D77-Ｎ!H77-Ｎ!G77</f>
        <v>32830</v>
      </c>
      <c r="G77" s="299">
        <f>平成10年度!F8</f>
        <v>1741</v>
      </c>
      <c r="H77" s="300">
        <f>平成10年度!G8</f>
        <v>5572</v>
      </c>
      <c r="I77" s="297">
        <f>Ｎ!J77+Ｎ!M77</f>
        <v>79448</v>
      </c>
      <c r="J77" s="298">
        <f>Ｎ!K77+Ｎ!L77</f>
        <v>67821</v>
      </c>
      <c r="K77" s="298">
        <f>平成10年度!J8</f>
        <v>49220</v>
      </c>
      <c r="L77" s="299">
        <f>平成10年度!K8</f>
        <v>18601</v>
      </c>
      <c r="M77" s="298">
        <f>Ｎ!N77+Ｎ!O77</f>
        <v>11627</v>
      </c>
      <c r="N77" s="298">
        <f>平成10年度!M8</f>
        <v>8340</v>
      </c>
      <c r="O77" s="300">
        <f>平成10年度!N8</f>
        <v>3287</v>
      </c>
      <c r="P77" s="297">
        <f>平成10年度!O8</f>
        <v>103804</v>
      </c>
      <c r="Q77" s="298">
        <f>平成10年度!P8</f>
        <v>291886</v>
      </c>
      <c r="R77" s="301">
        <f>Ｎ!D77/Ｎ!P77</f>
        <v>0.38671920157219375</v>
      </c>
      <c r="S77" s="302">
        <f>Ｎ!I77/Ｎ!Q77</f>
        <v>0.27218845713737555</v>
      </c>
      <c r="T77" s="303">
        <f>Ｎ!M77/Ｎ!I77</f>
        <v>0.14634729634477897</v>
      </c>
    </row>
    <row r="78" spans="3:20" x14ac:dyDescent="0.2">
      <c r="C78" s="53">
        <v>5</v>
      </c>
      <c r="D78" s="48">
        <f>平成10年度!C9</f>
        <v>40271</v>
      </c>
      <c r="E78" s="45">
        <f>Ｎ!F78+Ｎ!G78</f>
        <v>34713</v>
      </c>
      <c r="F78" s="45">
        <f>Ｎ!D78-Ｎ!H78-Ｎ!G78</f>
        <v>32961</v>
      </c>
      <c r="G78" s="79">
        <f>平成10年度!F9</f>
        <v>1752</v>
      </c>
      <c r="H78" s="80">
        <f>平成10年度!G9</f>
        <v>5558</v>
      </c>
      <c r="I78" s="48">
        <f>Ｎ!J78+Ｎ!M78</f>
        <v>79632</v>
      </c>
      <c r="J78" s="45">
        <f>Ｎ!K78+Ｎ!L78</f>
        <v>68038</v>
      </c>
      <c r="K78" s="45">
        <f>平成10年度!J9</f>
        <v>49326</v>
      </c>
      <c r="L78" s="79">
        <f>平成10年度!K9</f>
        <v>18712</v>
      </c>
      <c r="M78" s="45">
        <f>Ｎ!N78+Ｎ!O78</f>
        <v>11594</v>
      </c>
      <c r="N78" s="45">
        <f>平成10年度!M9</f>
        <v>8325</v>
      </c>
      <c r="O78" s="80">
        <f>平成10年度!N9</f>
        <v>3269</v>
      </c>
      <c r="P78" s="48">
        <f>平成10年度!O9</f>
        <v>103965</v>
      </c>
      <c r="Q78" s="45">
        <f>平成10年度!P9</f>
        <v>292117</v>
      </c>
      <c r="R78" s="50">
        <f>Ｎ!D78/Ｎ!P78</f>
        <v>0.38735151252825473</v>
      </c>
      <c r="S78" s="51">
        <f>Ｎ!I78/Ｎ!Q78</f>
        <v>0.27260310081234573</v>
      </c>
      <c r="T78" s="52">
        <f>Ｎ!M78/Ｎ!I78</f>
        <v>0.14559473578460921</v>
      </c>
    </row>
    <row r="79" spans="3:20" x14ac:dyDescent="0.2">
      <c r="C79" s="43">
        <v>6</v>
      </c>
      <c r="D79" s="48">
        <f>平成10年度!C10</f>
        <v>40429</v>
      </c>
      <c r="E79" s="45">
        <f>Ｎ!F79+Ｎ!G79</f>
        <v>34835</v>
      </c>
      <c r="F79" s="45">
        <f>Ｎ!D79-Ｎ!H79-Ｎ!G79</f>
        <v>33082</v>
      </c>
      <c r="G79" s="79">
        <f>平成10年度!F10</f>
        <v>1753</v>
      </c>
      <c r="H79" s="80">
        <f>平成10年度!G10</f>
        <v>5594</v>
      </c>
      <c r="I79" s="48">
        <f>Ｎ!J79+Ｎ!M79</f>
        <v>79889</v>
      </c>
      <c r="J79" s="45">
        <f>Ｎ!K79+Ｎ!L79</f>
        <v>68225</v>
      </c>
      <c r="K79" s="45">
        <f>平成10年度!J10</f>
        <v>49395</v>
      </c>
      <c r="L79" s="79">
        <f>平成10年度!K10</f>
        <v>18830</v>
      </c>
      <c r="M79" s="45">
        <f>Ｎ!N79+Ｎ!O79</f>
        <v>11664</v>
      </c>
      <c r="N79" s="45">
        <f>平成10年度!M10</f>
        <v>8363</v>
      </c>
      <c r="O79" s="80">
        <f>平成10年度!N10</f>
        <v>3301</v>
      </c>
      <c r="P79" s="48">
        <f>平成10年度!O10</f>
        <v>104033</v>
      </c>
      <c r="Q79" s="45">
        <f>平成10年度!P10</f>
        <v>292219</v>
      </c>
      <c r="R79" s="50">
        <f>Ｎ!D79/Ｎ!P79</f>
        <v>0.38861707342862362</v>
      </c>
      <c r="S79" s="51">
        <f>Ｎ!I79/Ｎ!Q79</f>
        <v>0.27338742518453624</v>
      </c>
      <c r="T79" s="52">
        <f>Ｎ!M79/Ｎ!I79</f>
        <v>0.14600257857777665</v>
      </c>
    </row>
    <row r="80" spans="3:20" x14ac:dyDescent="0.2">
      <c r="C80" s="43">
        <v>7</v>
      </c>
      <c r="D80" s="48">
        <f>平成10年度!C11</f>
        <v>40629</v>
      </c>
      <c r="E80" s="55">
        <f>Ｎ!F80+Ｎ!G80</f>
        <v>34980</v>
      </c>
      <c r="F80" s="55">
        <f>Ｎ!D80-Ｎ!H80-Ｎ!G80</f>
        <v>33196</v>
      </c>
      <c r="G80" s="89">
        <f>平成10年度!F11</f>
        <v>1784</v>
      </c>
      <c r="H80" s="90">
        <f>平成10年度!G11</f>
        <v>5649</v>
      </c>
      <c r="I80" s="58">
        <f>Ｎ!J80+Ｎ!M80</f>
        <v>80285</v>
      </c>
      <c r="J80" s="55">
        <f>Ｎ!K80+Ｎ!L80</f>
        <v>68502</v>
      </c>
      <c r="K80" s="55">
        <f>平成10年度!J11</f>
        <v>49590</v>
      </c>
      <c r="L80" s="89">
        <f>平成10年度!K11</f>
        <v>18912</v>
      </c>
      <c r="M80" s="55">
        <f>Ｎ!N80+Ｎ!O80</f>
        <v>11783</v>
      </c>
      <c r="N80" s="55">
        <f>平成10年度!M11</f>
        <v>8483</v>
      </c>
      <c r="O80" s="90">
        <f>平成10年度!N11</f>
        <v>3300</v>
      </c>
      <c r="P80" s="58">
        <f>平成10年度!O11</f>
        <v>104077</v>
      </c>
      <c r="Q80" s="55">
        <f>平成10年度!P11</f>
        <v>292223</v>
      </c>
      <c r="R80" s="60">
        <f>Ｎ!D80/Ｎ!P80</f>
        <v>0.39037443431305668</v>
      </c>
      <c r="S80" s="61">
        <f>Ｎ!I80/Ｎ!Q80</f>
        <v>0.27473881248224813</v>
      </c>
      <c r="T80" s="62">
        <f>Ｎ!M80/Ｎ!I80</f>
        <v>0.14676465093105812</v>
      </c>
    </row>
    <row r="81" spans="3:20" x14ac:dyDescent="0.2">
      <c r="C81" s="53">
        <v>8</v>
      </c>
      <c r="D81" s="48">
        <f>平成10年度!C12</f>
        <v>40746</v>
      </c>
      <c r="E81" s="55">
        <f>Ｎ!F81+Ｎ!G81</f>
        <v>35104</v>
      </c>
      <c r="F81" s="55">
        <f>Ｎ!D81-Ｎ!H81-Ｎ!G81</f>
        <v>33304</v>
      </c>
      <c r="G81" s="89">
        <f>平成10年度!F12</f>
        <v>1800</v>
      </c>
      <c r="H81" s="90">
        <f>平成10年度!G12</f>
        <v>5642</v>
      </c>
      <c r="I81" s="58">
        <f>Ｎ!J81+Ｎ!M81</f>
        <v>80566</v>
      </c>
      <c r="J81" s="55">
        <f>Ｎ!K81+Ｎ!L81</f>
        <v>68763</v>
      </c>
      <c r="K81" s="55">
        <f>平成10年度!J12</f>
        <v>49771</v>
      </c>
      <c r="L81" s="89">
        <f>平成10年度!K12</f>
        <v>18992</v>
      </c>
      <c r="M81" s="55">
        <f>Ｎ!N81+Ｎ!O81</f>
        <v>11803</v>
      </c>
      <c r="N81" s="55">
        <f>平成10年度!M12</f>
        <v>8488</v>
      </c>
      <c r="O81" s="90">
        <f>平成10年度!N12</f>
        <v>3315</v>
      </c>
      <c r="P81" s="58">
        <f>平成10年度!O12</f>
        <v>104094</v>
      </c>
      <c r="Q81" s="55">
        <f>平成10年度!P12</f>
        <v>292290</v>
      </c>
      <c r="R81" s="60">
        <f>Ｎ!D81/Ｎ!P81</f>
        <v>0.39143466482217998</v>
      </c>
      <c r="S81" s="61">
        <f>Ｎ!I81/Ｎ!Q81</f>
        <v>0.2756372096205823</v>
      </c>
      <c r="T81" s="62">
        <f>Ｎ!M81/Ｎ!I81</f>
        <v>0.14650100538688776</v>
      </c>
    </row>
    <row r="82" spans="3:20" x14ac:dyDescent="0.2">
      <c r="C82" s="53">
        <v>9</v>
      </c>
      <c r="D82" s="58">
        <f>平成10年度!C13</f>
        <v>40913</v>
      </c>
      <c r="E82" s="55">
        <f>Ｎ!F82+Ｎ!G82</f>
        <v>35279</v>
      </c>
      <c r="F82" s="55">
        <f>Ｎ!D82-Ｎ!H82-Ｎ!G82</f>
        <v>33474</v>
      </c>
      <c r="G82" s="89">
        <f>平成10年度!F13</f>
        <v>1805</v>
      </c>
      <c r="H82" s="90">
        <f>平成10年度!G13</f>
        <v>5634</v>
      </c>
      <c r="I82" s="58">
        <f>Ｎ!J82+Ｎ!M82</f>
        <v>80862</v>
      </c>
      <c r="J82" s="55">
        <f>Ｎ!K82+Ｎ!L82</f>
        <v>69074</v>
      </c>
      <c r="K82" s="55">
        <f>平成10年度!J13</f>
        <v>49951</v>
      </c>
      <c r="L82" s="89">
        <f>平成10年度!K13</f>
        <v>19123</v>
      </c>
      <c r="M82" s="55">
        <f>Ｎ!N82+Ｎ!O82</f>
        <v>11788</v>
      </c>
      <c r="N82" s="55">
        <f>平成10年度!M13</f>
        <v>8480</v>
      </c>
      <c r="O82" s="90">
        <f>平成10年度!N13</f>
        <v>3308</v>
      </c>
      <c r="P82" s="58">
        <f>平成10年度!O13</f>
        <v>104196</v>
      </c>
      <c r="Q82" s="55">
        <f>平成10年度!P13</f>
        <v>292379</v>
      </c>
      <c r="R82" s="60">
        <f>Ｎ!D82/Ｎ!P82</f>
        <v>0.39265422856923493</v>
      </c>
      <c r="S82" s="61">
        <f>Ｎ!I82/Ｎ!Q82</f>
        <v>0.27656569042236273</v>
      </c>
      <c r="T82" s="62">
        <f>Ｎ!M82/Ｎ!I82</f>
        <v>0.14577922880957681</v>
      </c>
    </row>
    <row r="83" spans="3:20" x14ac:dyDescent="0.2">
      <c r="C83" s="53">
        <v>10</v>
      </c>
      <c r="D83" s="48">
        <f>平成10年度!C14</f>
        <v>41059</v>
      </c>
      <c r="E83" s="45">
        <f>Ｎ!F83+Ｎ!G83</f>
        <v>35389</v>
      </c>
      <c r="F83" s="45">
        <f>Ｎ!D83-Ｎ!H83-Ｎ!G83</f>
        <v>33584</v>
      </c>
      <c r="G83" s="79">
        <f>平成10年度!F14</f>
        <v>1805</v>
      </c>
      <c r="H83" s="80">
        <f>平成10年度!G14</f>
        <v>5670</v>
      </c>
      <c r="I83" s="48">
        <f>Ｎ!J83+Ｎ!M83</f>
        <v>81090</v>
      </c>
      <c r="J83" s="45">
        <f>Ｎ!K83+Ｎ!L83</f>
        <v>69231</v>
      </c>
      <c r="K83" s="45">
        <f>平成10年度!J14</f>
        <v>49988</v>
      </c>
      <c r="L83" s="79">
        <f>平成10年度!K14</f>
        <v>19243</v>
      </c>
      <c r="M83" s="45">
        <f>Ｎ!N83+Ｎ!O83</f>
        <v>11859</v>
      </c>
      <c r="N83" s="45">
        <f>平成10年度!M14</f>
        <v>8522</v>
      </c>
      <c r="O83" s="80">
        <f>平成10年度!N14</f>
        <v>3337</v>
      </c>
      <c r="P83" s="48">
        <f>平成10年度!O14</f>
        <v>104310</v>
      </c>
      <c r="Q83" s="45">
        <f>平成10年度!P14</f>
        <v>292461</v>
      </c>
      <c r="R83" s="50">
        <f>Ｎ!D83/Ｎ!P83</f>
        <v>0.3936247723132969</v>
      </c>
      <c r="S83" s="51">
        <f>Ｎ!I83/Ｎ!Q83</f>
        <v>0.27726773826253759</v>
      </c>
      <c r="T83" s="52">
        <f>Ｎ!M83/Ｎ!I83</f>
        <v>0.14624491305956344</v>
      </c>
    </row>
    <row r="84" spans="3:20" x14ac:dyDescent="0.2">
      <c r="C84" s="43">
        <v>11</v>
      </c>
      <c r="D84" s="48">
        <f>平成10年度!C15</f>
        <v>41124</v>
      </c>
      <c r="E84" s="45">
        <f>Ｎ!F84+Ｎ!G84</f>
        <v>35483</v>
      </c>
      <c r="F84" s="45">
        <f>Ｎ!D84-Ｎ!H84-Ｎ!G84</f>
        <v>33672</v>
      </c>
      <c r="G84" s="79">
        <f>平成10年度!F15</f>
        <v>1811</v>
      </c>
      <c r="H84" s="80">
        <f>平成10年度!G15</f>
        <v>5641</v>
      </c>
      <c r="I84" s="48">
        <f>Ｎ!J84+Ｎ!M84</f>
        <v>81127</v>
      </c>
      <c r="J84" s="45">
        <f>Ｎ!K84+Ｎ!L84</f>
        <v>69307</v>
      </c>
      <c r="K84" s="45">
        <f>平成10年度!J15</f>
        <v>49978</v>
      </c>
      <c r="L84" s="79">
        <f>平成10年度!K15</f>
        <v>19329</v>
      </c>
      <c r="M84" s="45">
        <f>Ｎ!N84+Ｎ!O84</f>
        <v>11820</v>
      </c>
      <c r="N84" s="45">
        <f>平成10年度!M15</f>
        <v>8491</v>
      </c>
      <c r="O84" s="80">
        <f>平成10年度!N15</f>
        <v>3329</v>
      </c>
      <c r="P84" s="48">
        <f>平成10年度!O15</f>
        <v>104408</v>
      </c>
      <c r="Q84" s="45">
        <f>平成10年度!P15</f>
        <v>292474</v>
      </c>
      <c r="R84" s="50">
        <f>Ｎ!D84/Ｎ!P84</f>
        <v>0.39387786376522871</v>
      </c>
      <c r="S84" s="51">
        <f>Ｎ!I84/Ｎ!Q84</f>
        <v>0.27738192112803189</v>
      </c>
      <c r="T84" s="52">
        <f>Ｎ!M84/Ｎ!I84</f>
        <v>0.14569748665672341</v>
      </c>
    </row>
    <row r="85" spans="3:20" x14ac:dyDescent="0.2">
      <c r="C85" s="43">
        <v>12</v>
      </c>
      <c r="D85" s="48">
        <f>平成10年度!C16</f>
        <v>41227</v>
      </c>
      <c r="E85" s="55">
        <f>Ｎ!F85+Ｎ!G85</f>
        <v>35555</v>
      </c>
      <c r="F85" s="55">
        <f>Ｎ!D85-Ｎ!H85-Ｎ!G85</f>
        <v>33719</v>
      </c>
      <c r="G85" s="89">
        <f>平成10年度!F16</f>
        <v>1836</v>
      </c>
      <c r="H85" s="90">
        <f>平成10年度!G16</f>
        <v>5672</v>
      </c>
      <c r="I85" s="58">
        <f>Ｎ!J85+Ｎ!M85</f>
        <v>81315</v>
      </c>
      <c r="J85" s="55">
        <f>Ｎ!K85+Ｎ!L85</f>
        <v>69409</v>
      </c>
      <c r="K85" s="55">
        <f>平成10年度!J16</f>
        <v>49955</v>
      </c>
      <c r="L85" s="89">
        <f>平成10年度!K16</f>
        <v>19454</v>
      </c>
      <c r="M85" s="55">
        <f>Ｎ!N85+Ｎ!O85</f>
        <v>11906</v>
      </c>
      <c r="N85" s="55">
        <f>平成10年度!M16</f>
        <v>8564</v>
      </c>
      <c r="O85" s="90">
        <f>平成10年度!N16</f>
        <v>3342</v>
      </c>
      <c r="P85" s="58">
        <f>平成10年度!O16</f>
        <v>104450</v>
      </c>
      <c r="Q85" s="55">
        <f>平成10年度!P16</f>
        <v>292522</v>
      </c>
      <c r="R85" s="60">
        <f>Ｎ!D85/Ｎ!P85</f>
        <v>0.39470560076591671</v>
      </c>
      <c r="S85" s="61">
        <f>Ｎ!I85/Ｎ!Q85</f>
        <v>0.27797909217084527</v>
      </c>
      <c r="T85" s="62">
        <f>Ｎ!M85/Ｎ!I85</f>
        <v>0.14641825001537231</v>
      </c>
    </row>
    <row r="86" spans="3:20" x14ac:dyDescent="0.2">
      <c r="C86" s="53">
        <v>1</v>
      </c>
      <c r="D86" s="48">
        <f>平成10年度!C17</f>
        <v>41392</v>
      </c>
      <c r="E86" s="45">
        <f>Ｎ!F86+Ｎ!G86</f>
        <v>35760</v>
      </c>
      <c r="F86" s="45">
        <f>Ｎ!D86-Ｎ!H86-Ｎ!G86</f>
        <v>33902</v>
      </c>
      <c r="G86" s="79">
        <f>平成10年度!F17</f>
        <v>1858</v>
      </c>
      <c r="H86" s="80">
        <f>平成10年度!G17</f>
        <v>5632</v>
      </c>
      <c r="I86" s="48">
        <f>Ｎ!J86+Ｎ!M86</f>
        <v>81539</v>
      </c>
      <c r="J86" s="45">
        <f>Ｎ!K86+Ｎ!L86</f>
        <v>69671</v>
      </c>
      <c r="K86" s="45">
        <f>平成10年度!J17</f>
        <v>50186</v>
      </c>
      <c r="L86" s="79">
        <f>平成10年度!K17</f>
        <v>19485</v>
      </c>
      <c r="M86" s="45">
        <f>Ｎ!N86+Ｎ!O86</f>
        <v>11868</v>
      </c>
      <c r="N86" s="45">
        <f>平成10年度!M17</f>
        <v>8526</v>
      </c>
      <c r="O86" s="80">
        <f>平成10年度!N17</f>
        <v>3342</v>
      </c>
      <c r="P86" s="48">
        <f>平成10年度!O17</f>
        <v>104555</v>
      </c>
      <c r="Q86" s="45">
        <f>平成10年度!P17</f>
        <v>292538</v>
      </c>
      <c r="R86" s="50">
        <f>Ｎ!D86/Ｎ!P86</f>
        <v>0.3958873320262063</v>
      </c>
      <c r="S86" s="51">
        <f>Ｎ!I86/Ｎ!Q86</f>
        <v>0.27872960094073251</v>
      </c>
      <c r="T86" s="52">
        <f>Ｎ!M86/Ｎ!I86</f>
        <v>0.14554998221709856</v>
      </c>
    </row>
    <row r="87" spans="3:20" x14ac:dyDescent="0.2">
      <c r="C87" s="43">
        <v>2</v>
      </c>
      <c r="D87" s="48">
        <f>平成10年度!C18</f>
        <v>41543</v>
      </c>
      <c r="E87" s="45">
        <f>Ｎ!F87+Ｎ!G87</f>
        <v>35924</v>
      </c>
      <c r="F87" s="45">
        <f>Ｎ!D87-Ｎ!H87-Ｎ!G87</f>
        <v>34068</v>
      </c>
      <c r="G87" s="79">
        <f>平成10年度!F18</f>
        <v>1856</v>
      </c>
      <c r="H87" s="80">
        <f>平成10年度!G18</f>
        <v>5619</v>
      </c>
      <c r="I87" s="48">
        <f>Ｎ!J87+Ｎ!M87</f>
        <v>81777</v>
      </c>
      <c r="J87" s="45">
        <f>Ｎ!K87+Ｎ!L87</f>
        <v>69929</v>
      </c>
      <c r="K87" s="45">
        <f>平成10年度!J18</f>
        <v>50288</v>
      </c>
      <c r="L87" s="79">
        <f>平成10年度!K18</f>
        <v>19641</v>
      </c>
      <c r="M87" s="45">
        <f>Ｎ!N87+Ｎ!O87</f>
        <v>11848</v>
      </c>
      <c r="N87" s="45">
        <f>平成10年度!M18</f>
        <v>8513</v>
      </c>
      <c r="O87" s="80">
        <f>平成10年度!N18</f>
        <v>3335</v>
      </c>
      <c r="P87" s="48">
        <f>平成10年度!O18</f>
        <v>104623</v>
      </c>
      <c r="Q87" s="45">
        <f>平成10年度!P18</f>
        <v>292521</v>
      </c>
      <c r="R87" s="50">
        <f>Ｎ!D87/Ｎ!P87</f>
        <v>0.39707330128174495</v>
      </c>
      <c r="S87" s="51">
        <f>Ｎ!I87/Ｎ!Q87</f>
        <v>0.27955941624703867</v>
      </c>
      <c r="T87" s="52">
        <f>Ｎ!M87/Ｎ!I87</f>
        <v>0.14488181273463199</v>
      </c>
    </row>
    <row r="88" spans="3:20" x14ac:dyDescent="0.2">
      <c r="C88" s="91">
        <v>3</v>
      </c>
      <c r="D88" s="92">
        <f>平成10年度!C19</f>
        <v>41659</v>
      </c>
      <c r="E88" s="289">
        <f>Ｎ!F88+Ｎ!G88</f>
        <v>36022</v>
      </c>
      <c r="F88" s="289">
        <f>Ｎ!D88-Ｎ!H88-Ｎ!G88</f>
        <v>34164</v>
      </c>
      <c r="G88" s="290">
        <f>平成10年度!F19</f>
        <v>1858</v>
      </c>
      <c r="H88" s="291">
        <f>平成10年度!G19</f>
        <v>5637</v>
      </c>
      <c r="I88" s="292">
        <f>Ｎ!J88+Ｎ!M88</f>
        <v>81903</v>
      </c>
      <c r="J88" s="289">
        <f>Ｎ!K88+Ｎ!L88</f>
        <v>70030</v>
      </c>
      <c r="K88" s="289">
        <f>平成10年度!J19</f>
        <v>50246</v>
      </c>
      <c r="L88" s="290">
        <f>平成10年度!K19</f>
        <v>19784</v>
      </c>
      <c r="M88" s="289">
        <f>Ｎ!N88+Ｎ!O88</f>
        <v>11873</v>
      </c>
      <c r="N88" s="289">
        <f>平成10年度!M19</f>
        <v>8530</v>
      </c>
      <c r="O88" s="291">
        <f>平成10年度!N19</f>
        <v>3343</v>
      </c>
      <c r="P88" s="292">
        <f>平成10年度!O19</f>
        <v>104651</v>
      </c>
      <c r="Q88" s="289">
        <f>平成10年度!P19</f>
        <v>291953</v>
      </c>
      <c r="R88" s="293">
        <f>Ｎ!D88/Ｎ!P88</f>
        <v>0.39807550811745707</v>
      </c>
      <c r="S88" s="294">
        <f>Ｎ!I88/Ｎ!Q88</f>
        <v>0.28053488061434545</v>
      </c>
      <c r="T88" s="295">
        <f>Ｎ!M88/Ｎ!I88</f>
        <v>0.14496416492680367</v>
      </c>
    </row>
    <row r="89" spans="3:20" x14ac:dyDescent="0.2">
      <c r="C89" s="296" t="s">
        <v>2774</v>
      </c>
      <c r="D89" s="297">
        <f>平成11年度!C8</f>
        <v>42099</v>
      </c>
      <c r="E89" s="298">
        <f>Ｎ!F89+Ｎ!G89</f>
        <v>36300</v>
      </c>
      <c r="F89" s="298">
        <f>Ｎ!D89-Ｎ!H89-Ｎ!G89</f>
        <v>34396</v>
      </c>
      <c r="G89" s="299">
        <f>平成11年度!F8</f>
        <v>1904</v>
      </c>
      <c r="H89" s="300">
        <f>平成11年度!G8</f>
        <v>5799</v>
      </c>
      <c r="I89" s="297">
        <f>Ｎ!J89+Ｎ!M89</f>
        <v>82725</v>
      </c>
      <c r="J89" s="298">
        <f>Ｎ!K89+Ｎ!L89</f>
        <v>70448</v>
      </c>
      <c r="K89" s="298">
        <f>平成11年度!J8</f>
        <v>50458</v>
      </c>
      <c r="L89" s="299">
        <f>平成11年度!K8</f>
        <v>19990</v>
      </c>
      <c r="M89" s="298">
        <f>Ｎ!N89+Ｎ!O89</f>
        <v>12277</v>
      </c>
      <c r="N89" s="298">
        <f>平成11年度!M8</f>
        <v>8778</v>
      </c>
      <c r="O89" s="300">
        <f>平成11年度!N8</f>
        <v>3499</v>
      </c>
      <c r="P89" s="297">
        <f>平成11年度!O8</f>
        <v>105149</v>
      </c>
      <c r="Q89" s="298">
        <f>平成11年度!P8</f>
        <v>292461</v>
      </c>
      <c r="R89" s="301">
        <f>Ｎ!D89/Ｎ!P89</f>
        <v>0.40037470636905725</v>
      </c>
      <c r="S89" s="302">
        <f>Ｎ!I89/Ｎ!Q89</f>
        <v>0.28285822725081294</v>
      </c>
      <c r="T89" s="303">
        <f>Ｎ!M89/Ｎ!I89</f>
        <v>0.14840737382895133</v>
      </c>
    </row>
    <row r="90" spans="3:20" x14ac:dyDescent="0.2">
      <c r="C90" s="53">
        <v>5</v>
      </c>
      <c r="D90" s="48">
        <f>平成11年度!C9</f>
        <v>42212</v>
      </c>
      <c r="E90" s="45">
        <f>Ｎ!F90+Ｎ!G90</f>
        <v>36415</v>
      </c>
      <c r="F90" s="45">
        <f>Ｎ!D90-Ｎ!H90-Ｎ!G90</f>
        <v>34498</v>
      </c>
      <c r="G90" s="79">
        <f>平成11年度!F9</f>
        <v>1917</v>
      </c>
      <c r="H90" s="80">
        <f>平成11年度!G9</f>
        <v>5797</v>
      </c>
      <c r="I90" s="48">
        <f>Ｎ!J90+Ｎ!M90</f>
        <v>82818</v>
      </c>
      <c r="J90" s="45">
        <f>Ｎ!K90+Ｎ!L90</f>
        <v>70525</v>
      </c>
      <c r="K90" s="45">
        <f>平成11年度!J9</f>
        <v>50451</v>
      </c>
      <c r="L90" s="79">
        <f>平成11年度!K9</f>
        <v>20074</v>
      </c>
      <c r="M90" s="45">
        <f>Ｎ!N90+Ｎ!O90</f>
        <v>12293</v>
      </c>
      <c r="N90" s="45">
        <f>平成11年度!M9</f>
        <v>8788</v>
      </c>
      <c r="O90" s="80">
        <f>平成11年度!N9</f>
        <v>3505</v>
      </c>
      <c r="P90" s="48">
        <f>平成11年度!O9</f>
        <v>105245</v>
      </c>
      <c r="Q90" s="45">
        <f>平成11年度!P9</f>
        <v>292512</v>
      </c>
      <c r="R90" s="50">
        <f>Ｎ!D90/Ｎ!P90</f>
        <v>0.4010831868497316</v>
      </c>
      <c r="S90" s="51">
        <f>Ｎ!I90/Ｎ!Q90</f>
        <v>0.28312684607810962</v>
      </c>
      <c r="T90" s="52">
        <f>Ｎ!M90/Ｎ!I90</f>
        <v>0.14843391533241565</v>
      </c>
    </row>
    <row r="91" spans="3:20" x14ac:dyDescent="0.2">
      <c r="C91" s="43">
        <v>6</v>
      </c>
      <c r="D91" s="48">
        <f>平成11年度!C10</f>
        <v>42356</v>
      </c>
      <c r="E91" s="45">
        <f>Ｎ!F91+Ｎ!G91</f>
        <v>36539</v>
      </c>
      <c r="F91" s="45">
        <f>Ｎ!D91-Ｎ!H91-Ｎ!G91</f>
        <v>34607</v>
      </c>
      <c r="G91" s="79">
        <f>平成11年度!F10</f>
        <v>1932</v>
      </c>
      <c r="H91" s="80">
        <f>平成11年度!G10</f>
        <v>5817</v>
      </c>
      <c r="I91" s="48">
        <f>Ｎ!J91+Ｎ!M91</f>
        <v>82995</v>
      </c>
      <c r="J91" s="45">
        <f>Ｎ!K91+Ｎ!L91</f>
        <v>70643</v>
      </c>
      <c r="K91" s="45">
        <f>平成11年度!J10</f>
        <v>50493</v>
      </c>
      <c r="L91" s="79">
        <f>平成11年度!K10</f>
        <v>20150</v>
      </c>
      <c r="M91" s="45">
        <f>Ｎ!N91+Ｎ!O91</f>
        <v>12352</v>
      </c>
      <c r="N91" s="45">
        <f>平成11年度!M10</f>
        <v>8833</v>
      </c>
      <c r="O91" s="80">
        <f>平成11年度!N10</f>
        <v>3519</v>
      </c>
      <c r="P91" s="48">
        <f>平成11年度!O10</f>
        <v>105378</v>
      </c>
      <c r="Q91" s="45">
        <f>平成11年度!P10</f>
        <v>292669</v>
      </c>
      <c r="R91" s="50">
        <f>Ｎ!D91/Ｎ!P91</f>
        <v>0.40194347966368693</v>
      </c>
      <c r="S91" s="51">
        <f>Ｎ!I91/Ｎ!Q91</f>
        <v>0.28357974366946959</v>
      </c>
      <c r="T91" s="52">
        <f>Ｎ!M91/Ｎ!I91</f>
        <v>0.14882824266522079</v>
      </c>
    </row>
    <row r="92" spans="3:20" x14ac:dyDescent="0.2">
      <c r="C92" s="43">
        <v>7</v>
      </c>
      <c r="D92" s="48">
        <f>平成11年度!C11</f>
        <v>42503</v>
      </c>
      <c r="E92" s="55">
        <f>Ｎ!F92+Ｎ!G92</f>
        <v>36683</v>
      </c>
      <c r="F92" s="55">
        <f>Ｎ!D92-Ｎ!H92-Ｎ!G92</f>
        <v>34729</v>
      </c>
      <c r="G92" s="89">
        <f>平成11年度!F11</f>
        <v>1954</v>
      </c>
      <c r="H92" s="90">
        <f>平成11年度!G11</f>
        <v>5820</v>
      </c>
      <c r="I92" s="58">
        <f>Ｎ!J92+Ｎ!M92</f>
        <v>83267</v>
      </c>
      <c r="J92" s="55">
        <f>Ｎ!K92+Ｎ!L92</f>
        <v>70868</v>
      </c>
      <c r="K92" s="55">
        <f>平成11年度!J11</f>
        <v>50604</v>
      </c>
      <c r="L92" s="89">
        <f>平成11年度!K11</f>
        <v>20264</v>
      </c>
      <c r="M92" s="55">
        <f>Ｎ!N92+Ｎ!O92</f>
        <v>12399</v>
      </c>
      <c r="N92" s="55">
        <f>平成11年度!M11</f>
        <v>8856</v>
      </c>
      <c r="O92" s="90">
        <f>平成11年度!N11</f>
        <v>3543</v>
      </c>
      <c r="P92" s="58">
        <f>平成11年度!O11</f>
        <v>105449</v>
      </c>
      <c r="Q92" s="55">
        <f>平成11年度!P11</f>
        <v>292758</v>
      </c>
      <c r="R92" s="60">
        <f>Ｎ!D92/Ｎ!P92</f>
        <v>0.40306688541380192</v>
      </c>
      <c r="S92" s="61">
        <f>Ｎ!I92/Ｎ!Q92</f>
        <v>0.28442262892901304</v>
      </c>
      <c r="T92" s="62">
        <f>Ｎ!M92/Ｎ!I92</f>
        <v>0.14890652959755965</v>
      </c>
    </row>
    <row r="93" spans="3:20" x14ac:dyDescent="0.2">
      <c r="C93" s="53">
        <v>8</v>
      </c>
      <c r="D93" s="48">
        <f>平成11年度!C12</f>
        <v>42607</v>
      </c>
      <c r="E93" s="55">
        <f>Ｎ!F93+Ｎ!G93</f>
        <v>36758</v>
      </c>
      <c r="F93" s="55">
        <f>Ｎ!D93-Ｎ!H93-Ｎ!G93</f>
        <v>34795</v>
      </c>
      <c r="G93" s="89">
        <f>平成11年度!F12</f>
        <v>1963</v>
      </c>
      <c r="H93" s="90">
        <f>平成11年度!G12</f>
        <v>5849</v>
      </c>
      <c r="I93" s="58">
        <f>Ｎ!J93+Ｎ!M93</f>
        <v>83410</v>
      </c>
      <c r="J93" s="55">
        <f>Ｎ!K93+Ｎ!L93</f>
        <v>70948</v>
      </c>
      <c r="K93" s="55">
        <f>平成11年度!J12</f>
        <v>50573</v>
      </c>
      <c r="L93" s="89">
        <f>平成11年度!K12</f>
        <v>20375</v>
      </c>
      <c r="M93" s="55">
        <f>Ｎ!N93+Ｎ!O93</f>
        <v>12462</v>
      </c>
      <c r="N93" s="55">
        <f>平成11年度!M12</f>
        <v>8906</v>
      </c>
      <c r="O93" s="90">
        <f>平成11年度!N12</f>
        <v>3556</v>
      </c>
      <c r="P93" s="58">
        <f>平成11年度!O12</f>
        <v>105556</v>
      </c>
      <c r="Q93" s="55">
        <f>平成11年度!P12</f>
        <v>292901</v>
      </c>
      <c r="R93" s="60">
        <f>Ｎ!D93/Ｎ!P93</f>
        <v>0.40364356360604797</v>
      </c>
      <c r="S93" s="61">
        <f>Ｎ!I93/Ｎ!Q93</f>
        <v>0.28477198780475316</v>
      </c>
      <c r="T93" s="62">
        <f>Ｎ!M93/Ｎ!I93</f>
        <v>0.14940654597770051</v>
      </c>
    </row>
    <row r="94" spans="3:20" x14ac:dyDescent="0.2">
      <c r="C94" s="53">
        <v>9</v>
      </c>
      <c r="D94" s="58">
        <f>平成11年度!C13</f>
        <v>42772</v>
      </c>
      <c r="E94" s="55">
        <f>Ｎ!F94+Ｎ!G94</f>
        <v>36932</v>
      </c>
      <c r="F94" s="55">
        <f>Ｎ!D94-Ｎ!H94-Ｎ!G94</f>
        <v>34956</v>
      </c>
      <c r="G94" s="89">
        <f>平成11年度!F13</f>
        <v>1976</v>
      </c>
      <c r="H94" s="90">
        <f>平成11年度!G13</f>
        <v>5840</v>
      </c>
      <c r="I94" s="58">
        <f>Ｎ!J94+Ｎ!M94</f>
        <v>83699</v>
      </c>
      <c r="J94" s="55">
        <f>Ｎ!K94+Ｎ!L94</f>
        <v>71231</v>
      </c>
      <c r="K94" s="55">
        <f>平成11年度!J13</f>
        <v>50707</v>
      </c>
      <c r="L94" s="89">
        <f>平成11年度!K13</f>
        <v>20524</v>
      </c>
      <c r="M94" s="55">
        <f>Ｎ!N94+Ｎ!O94</f>
        <v>12468</v>
      </c>
      <c r="N94" s="55">
        <f>平成11年度!M13</f>
        <v>8905</v>
      </c>
      <c r="O94" s="90">
        <f>平成11年度!N13</f>
        <v>3563</v>
      </c>
      <c r="P94" s="58">
        <f>平成11年度!O13</f>
        <v>105613</v>
      </c>
      <c r="Q94" s="55">
        <f>平成11年度!P13</f>
        <v>292910</v>
      </c>
      <c r="R94" s="60">
        <f>Ｎ!D94/Ｎ!P94</f>
        <v>0.40498802230785985</v>
      </c>
      <c r="S94" s="61">
        <f>Ｎ!I94/Ｎ!Q94</f>
        <v>0.28574988904441639</v>
      </c>
      <c r="T94" s="62">
        <f>Ｎ!M94/Ｎ!I94</f>
        <v>0.14896235319418391</v>
      </c>
    </row>
    <row r="95" spans="3:20" x14ac:dyDescent="0.2">
      <c r="C95" s="53">
        <v>10</v>
      </c>
      <c r="D95" s="48">
        <f>平成11年度!C14</f>
        <v>42979</v>
      </c>
      <c r="E95" s="45">
        <f>Ｎ!F95+Ｎ!G95</f>
        <v>37118</v>
      </c>
      <c r="F95" s="45">
        <f>Ｎ!D95-Ｎ!H95-Ｎ!G95</f>
        <v>35118</v>
      </c>
      <c r="G95" s="79">
        <f>平成11年度!F14</f>
        <v>2000</v>
      </c>
      <c r="H95" s="80">
        <f>平成11年度!G14</f>
        <v>5861</v>
      </c>
      <c r="I95" s="48">
        <f>Ｎ!J95+Ｎ!M95</f>
        <v>84073</v>
      </c>
      <c r="J95" s="45">
        <f>Ｎ!K95+Ｎ!L95</f>
        <v>71525</v>
      </c>
      <c r="K95" s="45">
        <f>平成11年度!J14</f>
        <v>50865</v>
      </c>
      <c r="L95" s="79">
        <f>平成11年度!K14</f>
        <v>20660</v>
      </c>
      <c r="M95" s="45">
        <f>Ｎ!N95+Ｎ!O95</f>
        <v>12548</v>
      </c>
      <c r="N95" s="45">
        <f>平成11年度!M14</f>
        <v>8940</v>
      </c>
      <c r="O95" s="80">
        <f>平成11年度!N14</f>
        <v>3608</v>
      </c>
      <c r="P95" s="48">
        <f>平成11年度!O14</f>
        <v>105798</v>
      </c>
      <c r="Q95" s="45">
        <f>平成11年度!P14</f>
        <v>293107</v>
      </c>
      <c r="R95" s="50">
        <f>Ｎ!D95/Ｎ!P95</f>
        <v>0.40623641278663114</v>
      </c>
      <c r="S95" s="51">
        <f>Ｎ!I95/Ｎ!Q95</f>
        <v>0.28683381836667154</v>
      </c>
      <c r="T95" s="52">
        <f>Ｎ!M95/Ｎ!I95</f>
        <v>0.14925124594102743</v>
      </c>
    </row>
    <row r="96" spans="3:20" x14ac:dyDescent="0.2">
      <c r="C96" s="43">
        <v>11</v>
      </c>
      <c r="D96" s="48">
        <f>平成11年度!C15</f>
        <v>43054</v>
      </c>
      <c r="E96" s="45">
        <f>Ｎ!F96+Ｎ!G96</f>
        <v>37197</v>
      </c>
      <c r="F96" s="45">
        <f>Ｎ!D96-Ｎ!H96-Ｎ!G96</f>
        <v>35214</v>
      </c>
      <c r="G96" s="79">
        <f>平成11年度!F15</f>
        <v>1983</v>
      </c>
      <c r="H96" s="80">
        <f>平成11年度!G15</f>
        <v>5857</v>
      </c>
      <c r="I96" s="48">
        <f>Ｎ!J96+Ｎ!M96</f>
        <v>84171</v>
      </c>
      <c r="J96" s="45">
        <f>Ｎ!K96+Ｎ!L96</f>
        <v>71632</v>
      </c>
      <c r="K96" s="45">
        <f>平成11年度!J15</f>
        <v>50870</v>
      </c>
      <c r="L96" s="79">
        <f>平成11年度!K15</f>
        <v>20762</v>
      </c>
      <c r="M96" s="45">
        <f>Ｎ!N96+Ｎ!O96</f>
        <v>12539</v>
      </c>
      <c r="N96" s="45">
        <f>平成11年度!M15</f>
        <v>8929</v>
      </c>
      <c r="O96" s="80">
        <f>平成11年度!N15</f>
        <v>3610</v>
      </c>
      <c r="P96" s="48">
        <f>平成11年度!O15</f>
        <v>105972</v>
      </c>
      <c r="Q96" s="45">
        <f>平成11年度!P15</f>
        <v>293233</v>
      </c>
      <c r="R96" s="50">
        <f>Ｎ!D96/Ｎ!P96</f>
        <v>0.40627712980787378</v>
      </c>
      <c r="S96" s="51">
        <f>Ｎ!I96/Ｎ!Q96</f>
        <v>0.2870447732690386</v>
      </c>
      <c r="T96" s="52">
        <f>Ｎ!M96/Ｎ!I96</f>
        <v>0.14897054805099144</v>
      </c>
    </row>
    <row r="97" spans="2:20" x14ac:dyDescent="0.2">
      <c r="C97" s="43">
        <v>12</v>
      </c>
      <c r="D97" s="48">
        <f>平成11年度!C16</f>
        <v>43204</v>
      </c>
      <c r="E97" s="55">
        <f>Ｎ!F97+Ｎ!G97</f>
        <v>37330</v>
      </c>
      <c r="F97" s="55">
        <f>Ｎ!D97-Ｎ!H97-Ｎ!G97</f>
        <v>35328</v>
      </c>
      <c r="G97" s="89">
        <f>平成11年度!F16</f>
        <v>2002</v>
      </c>
      <c r="H97" s="90">
        <f>平成11年度!G16</f>
        <v>5874</v>
      </c>
      <c r="I97" s="58">
        <f>Ｎ!J97+Ｎ!M97</f>
        <v>84395</v>
      </c>
      <c r="J97" s="55">
        <f>Ｎ!K97+Ｎ!L97</f>
        <v>71802</v>
      </c>
      <c r="K97" s="55">
        <f>平成11年度!J16</f>
        <v>50905</v>
      </c>
      <c r="L97" s="89">
        <f>平成11年度!K16</f>
        <v>20897</v>
      </c>
      <c r="M97" s="55">
        <f>Ｎ!N97+Ｎ!O97</f>
        <v>12593</v>
      </c>
      <c r="N97" s="55">
        <f>平成11年度!M16</f>
        <v>8956</v>
      </c>
      <c r="O97" s="90">
        <f>平成11年度!N16</f>
        <v>3637</v>
      </c>
      <c r="P97" s="58">
        <f>平成11年度!O16</f>
        <v>106043</v>
      </c>
      <c r="Q97" s="55">
        <f>平成11年度!P16</f>
        <v>293316</v>
      </c>
      <c r="R97" s="60">
        <f>Ｎ!D97/Ｎ!P97</f>
        <v>0.40741963165885536</v>
      </c>
      <c r="S97" s="61">
        <f>Ｎ!I97/Ｎ!Q97</f>
        <v>0.28772722933627898</v>
      </c>
      <c r="T97" s="62">
        <f>Ｎ!M97/Ｎ!I97</f>
        <v>0.14921500088867823</v>
      </c>
    </row>
    <row r="98" spans="2:20" x14ac:dyDescent="0.2">
      <c r="C98" s="53">
        <v>1</v>
      </c>
      <c r="D98" s="48">
        <f>平成11年度!C17</f>
        <v>43427</v>
      </c>
      <c r="E98" s="45">
        <f>Ｎ!F98+Ｎ!G98</f>
        <v>37579</v>
      </c>
      <c r="F98" s="45">
        <f>Ｎ!D98-Ｎ!H98-Ｎ!G98</f>
        <v>35573</v>
      </c>
      <c r="G98" s="79">
        <f>平成11年度!F17</f>
        <v>2006</v>
      </c>
      <c r="H98" s="80">
        <f>平成11年度!G17</f>
        <v>5848</v>
      </c>
      <c r="I98" s="48">
        <f>Ｎ!J98+Ｎ!M98</f>
        <v>84788</v>
      </c>
      <c r="J98" s="45">
        <f>Ｎ!K98+Ｎ!L98</f>
        <v>72230</v>
      </c>
      <c r="K98" s="45">
        <f>平成11年度!J17</f>
        <v>51196</v>
      </c>
      <c r="L98" s="79">
        <f>平成11年度!K17</f>
        <v>21034</v>
      </c>
      <c r="M98" s="45">
        <f>Ｎ!N98+Ｎ!O98</f>
        <v>12558</v>
      </c>
      <c r="N98" s="45">
        <f>平成11年度!M17</f>
        <v>8926</v>
      </c>
      <c r="O98" s="80">
        <f>平成11年度!N17</f>
        <v>3632</v>
      </c>
      <c r="P98" s="48">
        <f>平成11年度!O17</f>
        <v>106189</v>
      </c>
      <c r="Q98" s="45">
        <f>平成11年度!P17</f>
        <v>293446</v>
      </c>
      <c r="R98" s="50">
        <f>Ｎ!D98/Ｎ!P98</f>
        <v>0.40895949674636733</v>
      </c>
      <c r="S98" s="51">
        <f>Ｎ!I98/Ｎ!Q98</f>
        <v>0.28893902114869519</v>
      </c>
      <c r="T98" s="52">
        <f>Ｎ!M98/Ｎ!I98</f>
        <v>0.14811058168608765</v>
      </c>
    </row>
    <row r="99" spans="2:20" x14ac:dyDescent="0.2">
      <c r="C99" s="43">
        <v>2</v>
      </c>
      <c r="D99" s="48">
        <f>平成11年度!C18</f>
        <v>43435</v>
      </c>
      <c r="E99" s="45">
        <f>Ｎ!F99+Ｎ!G99</f>
        <v>37583</v>
      </c>
      <c r="F99" s="45">
        <f>Ｎ!D99-Ｎ!H99-Ｎ!G99</f>
        <v>35593</v>
      </c>
      <c r="G99" s="79">
        <f>平成11年度!F18</f>
        <v>1990</v>
      </c>
      <c r="H99" s="80">
        <f>平成11年度!G18</f>
        <v>5852</v>
      </c>
      <c r="I99" s="48">
        <f>Ｎ!J99+Ｎ!M99</f>
        <v>84828</v>
      </c>
      <c r="J99" s="45">
        <f>Ｎ!K99+Ｎ!L99</f>
        <v>72293</v>
      </c>
      <c r="K99" s="45">
        <f>平成11年度!J18</f>
        <v>51101</v>
      </c>
      <c r="L99" s="79">
        <f>平成11年度!K18</f>
        <v>21192</v>
      </c>
      <c r="M99" s="45">
        <f>Ｎ!N99+Ｎ!O99</f>
        <v>12535</v>
      </c>
      <c r="N99" s="45">
        <f>平成11年度!M18</f>
        <v>8906</v>
      </c>
      <c r="O99" s="80">
        <f>平成11年度!N18</f>
        <v>3629</v>
      </c>
      <c r="P99" s="48">
        <f>平成11年度!O18</f>
        <v>106143</v>
      </c>
      <c r="Q99" s="45">
        <f>平成11年度!P18</f>
        <v>293359</v>
      </c>
      <c r="R99" s="50">
        <f>Ｎ!D99/Ｎ!P99</f>
        <v>0.4092121006566613</v>
      </c>
      <c r="S99" s="51">
        <f>Ｎ!I99/Ｎ!Q99</f>
        <v>0.28916106204343484</v>
      </c>
      <c r="T99" s="52">
        <f>Ｎ!M99/Ｎ!I99</f>
        <v>0.1477696043759136</v>
      </c>
    </row>
    <row r="100" spans="2:20" x14ac:dyDescent="0.2">
      <c r="C100" s="91">
        <v>3</v>
      </c>
      <c r="D100" s="92">
        <f>平成11年度!C19</f>
        <v>43579</v>
      </c>
      <c r="E100" s="289">
        <f>Ｎ!F100+Ｎ!G100</f>
        <v>37609</v>
      </c>
      <c r="F100" s="289">
        <f>Ｎ!D100-Ｎ!H100-Ｎ!G100</f>
        <v>35609</v>
      </c>
      <c r="G100" s="290">
        <f>平成11年度!F19</f>
        <v>2000</v>
      </c>
      <c r="H100" s="291">
        <f>平成11年度!G19</f>
        <v>5970</v>
      </c>
      <c r="I100" s="292">
        <f>Ｎ!J100+Ｎ!M100</f>
        <v>85006</v>
      </c>
      <c r="J100" s="289">
        <f>Ｎ!K100+Ｎ!L100</f>
        <v>72255</v>
      </c>
      <c r="K100" s="289">
        <f>平成11年度!J19</f>
        <v>50943</v>
      </c>
      <c r="L100" s="290">
        <f>平成11年度!K19</f>
        <v>21312</v>
      </c>
      <c r="M100" s="289">
        <f>Ｎ!N100+Ｎ!O100</f>
        <v>12751</v>
      </c>
      <c r="N100" s="289">
        <f>平成11年度!M19</f>
        <v>9056</v>
      </c>
      <c r="O100" s="291">
        <f>平成11年度!N19</f>
        <v>3695</v>
      </c>
      <c r="P100" s="292">
        <f>平成11年度!O19</f>
        <v>106170</v>
      </c>
      <c r="Q100" s="289">
        <f>平成11年度!P19</f>
        <v>292833</v>
      </c>
      <c r="R100" s="293">
        <f>Ｎ!D100/Ｎ!P100</f>
        <v>0.41046434962795519</v>
      </c>
      <c r="S100" s="294">
        <f>Ｎ!I100/Ｎ!Q100</f>
        <v>0.29028832132990473</v>
      </c>
      <c r="T100" s="295">
        <f>Ｎ!M100/Ｎ!I100</f>
        <v>0.15000117638754912</v>
      </c>
    </row>
    <row r="103" spans="2:20" x14ac:dyDescent="0.2">
      <c r="B103" s="206" t="s">
        <v>2775</v>
      </c>
    </row>
    <row r="104" spans="2:20" x14ac:dyDescent="0.2">
      <c r="C104" s="296" t="s">
        <v>2776</v>
      </c>
      <c r="D104" s="297">
        <f>ROUND(SUM(Ｎ!D5:D10)/6,0)</f>
        <v>34205</v>
      </c>
      <c r="E104" s="298">
        <f>Ｎ!F104+Ｎ!G104</f>
        <v>29426</v>
      </c>
      <c r="F104" s="298">
        <f>Ｎ!D104-Ｎ!H104-Ｎ!G104</f>
        <v>28070</v>
      </c>
      <c r="G104" s="299">
        <f>ROUND(SUM(Ｎ!G5:G10)/6,0)</f>
        <v>1356</v>
      </c>
      <c r="H104" s="300">
        <f>ROUND(SUM(Ｎ!H5:H10)/6,0)</f>
        <v>4779</v>
      </c>
      <c r="I104" s="297">
        <f>ROUND(SUM(Ｎ!I5:I10)/6,0)</f>
        <v>73336</v>
      </c>
      <c r="J104" s="298">
        <f>ROUND(SUM(Ｎ!J5:J10)/6,0)</f>
        <v>63683</v>
      </c>
      <c r="K104" s="298">
        <f>ROUND(SUM(Ｎ!K5:K10)/6,0)</f>
        <v>50864</v>
      </c>
      <c r="L104" s="299">
        <f>ROUND(SUM(Ｎ!L5:L10)/6,0)</f>
        <v>12819</v>
      </c>
      <c r="M104" s="298">
        <f>ROUND(SUM(Ｎ!M5:M10)/6,0)</f>
        <v>9653</v>
      </c>
      <c r="N104" s="298">
        <f>ROUND(SUM(Ｎ!N5:N10)/6,0)</f>
        <v>6938</v>
      </c>
      <c r="O104" s="300">
        <f>ROUND(SUM(Ｎ!O5:O10)/6,0)</f>
        <v>2715</v>
      </c>
      <c r="P104" s="297">
        <f>ROUND(SUM(Ｎ!P5:P10)/6,0)</f>
        <v>94056</v>
      </c>
      <c r="Q104" s="298">
        <f>ROUND(SUM(Ｎ!Q5:Q10)/6,0)</f>
        <v>282551</v>
      </c>
      <c r="R104" s="301">
        <f>Ｎ!D104/Ｎ!P104</f>
        <v>0.36366632644382069</v>
      </c>
      <c r="S104" s="302">
        <f>Ｎ!I104/Ｎ!Q104</f>
        <v>0.25954960343442424</v>
      </c>
      <c r="T104" s="303">
        <f>Ｎ!M104/Ｎ!I104</f>
        <v>0.13162703174430021</v>
      </c>
    </row>
    <row r="105" spans="2:20" x14ac:dyDescent="0.2">
      <c r="C105" s="43">
        <v>10</v>
      </c>
      <c r="D105" s="48">
        <f>ROUND(SUM(Ｎ!D6:D11)/6,0)</f>
        <v>34236</v>
      </c>
      <c r="E105" s="45">
        <f>Ｎ!F105+Ｎ!G105</f>
        <v>29445</v>
      </c>
      <c r="F105" s="45">
        <f>Ｎ!D105-Ｎ!H105-Ｎ!G105</f>
        <v>28084</v>
      </c>
      <c r="G105" s="79">
        <f>ROUND(SUM(Ｎ!G6:G11)/6,0)</f>
        <v>1361</v>
      </c>
      <c r="H105" s="80">
        <f>ROUND(SUM(Ｎ!H6:H11)/6,0)</f>
        <v>4791</v>
      </c>
      <c r="I105" s="48">
        <f>ROUND(SUM(Ｎ!I6:I11)/6,0)</f>
        <v>73285</v>
      </c>
      <c r="J105" s="45">
        <f>ROUND(SUM(Ｎ!J6:J11)/6,0)</f>
        <v>63605</v>
      </c>
      <c r="K105" s="45">
        <f>ROUND(SUM(Ｎ!K6:K11)/6,0)</f>
        <v>50738</v>
      </c>
      <c r="L105" s="79">
        <f>ROUND(SUM(Ｎ!L6:L11)/6,0)</f>
        <v>12867</v>
      </c>
      <c r="M105" s="45">
        <f>ROUND(SUM(Ｎ!M6:M11)/6,0)</f>
        <v>9680</v>
      </c>
      <c r="N105" s="45">
        <f>ROUND(SUM(Ｎ!N6:N11)/6,0)</f>
        <v>6960</v>
      </c>
      <c r="O105" s="80">
        <f>ROUND(SUM(Ｎ!O6:O11)/6,0)</f>
        <v>2720</v>
      </c>
      <c r="P105" s="48">
        <f>ROUND(SUM(Ｎ!P6:P11)/6,0)</f>
        <v>94184</v>
      </c>
      <c r="Q105" s="45">
        <f>ROUND(SUM(Ｎ!Q6:Q11)/6,0)</f>
        <v>282777</v>
      </c>
      <c r="R105" s="50">
        <f>Ｎ!D105/Ｎ!P105</f>
        <v>0.36350123163169967</v>
      </c>
      <c r="S105" s="51">
        <f>Ｎ!I105/Ｎ!Q105</f>
        <v>0.25916181301873914</v>
      </c>
      <c r="T105" s="52">
        <f>Ｎ!M105/Ｎ!I105</f>
        <v>0.13208705737872689</v>
      </c>
    </row>
    <row r="106" spans="2:20" x14ac:dyDescent="0.2">
      <c r="C106" s="43">
        <v>11</v>
      </c>
      <c r="D106" s="48">
        <f>ROUND(SUM(Ｎ!D7:D12)/6,0)</f>
        <v>34272</v>
      </c>
      <c r="E106" s="55">
        <f>Ｎ!F106+Ｎ!G106</f>
        <v>29467</v>
      </c>
      <c r="F106" s="55">
        <f>Ｎ!D106-Ｎ!H106-Ｎ!G106</f>
        <v>28098</v>
      </c>
      <c r="G106" s="89">
        <f>ROUND(SUM(Ｎ!G7:G12)/6,0)</f>
        <v>1369</v>
      </c>
      <c r="H106" s="90">
        <f>ROUND(SUM(Ｎ!H7:H12)/6,0)</f>
        <v>4805</v>
      </c>
      <c r="I106" s="58">
        <f>ROUND(SUM(Ｎ!I7:I12)/6,0)</f>
        <v>73261</v>
      </c>
      <c r="J106" s="55">
        <f>ROUND(SUM(Ｎ!J7:J12)/6,0)</f>
        <v>63548</v>
      </c>
      <c r="K106" s="55">
        <f>ROUND(SUM(Ｎ!K7:K12)/6,0)</f>
        <v>50628</v>
      </c>
      <c r="L106" s="89">
        <f>ROUND(SUM(Ｎ!L7:L12)/6,0)</f>
        <v>12920</v>
      </c>
      <c r="M106" s="55">
        <f>ROUND(SUM(Ｎ!M7:M12)/6,0)</f>
        <v>9714</v>
      </c>
      <c r="N106" s="55">
        <f>ROUND(SUM(Ｎ!N7:N12)/6,0)</f>
        <v>6989</v>
      </c>
      <c r="O106" s="90">
        <f>ROUND(SUM(Ｎ!O7:O12)/6,0)</f>
        <v>2725</v>
      </c>
      <c r="P106" s="58">
        <f>ROUND(SUM(Ｎ!P7:P12)/6,0)</f>
        <v>94304</v>
      </c>
      <c r="Q106" s="55">
        <f>ROUND(SUM(Ｎ!Q7:Q12)/6,0)</f>
        <v>282978</v>
      </c>
      <c r="R106" s="60">
        <f>Ｎ!D106/Ｎ!P106</f>
        <v>0.36342042755344417</v>
      </c>
      <c r="S106" s="61">
        <f>Ｎ!I106/Ｎ!Q106</f>
        <v>0.2588929174706161</v>
      </c>
      <c r="T106" s="62">
        <f>Ｎ!M106/Ｎ!I106</f>
        <v>0.1325944226805531</v>
      </c>
    </row>
    <row r="107" spans="2:20" x14ac:dyDescent="0.2">
      <c r="C107" s="53">
        <v>12</v>
      </c>
      <c r="D107" s="48">
        <f>ROUND(SUM(Ｎ!D8:D13)/6,0)</f>
        <v>34310</v>
      </c>
      <c r="E107" s="45">
        <f>Ｎ!F107+Ｎ!G107</f>
        <v>29500</v>
      </c>
      <c r="F107" s="45">
        <f>Ｎ!D107-Ｎ!H107-Ｎ!G107</f>
        <v>28125</v>
      </c>
      <c r="G107" s="79">
        <f>ROUND(SUM(Ｎ!G8:G13)/6,0)</f>
        <v>1375</v>
      </c>
      <c r="H107" s="80">
        <f>ROUND(SUM(Ｎ!H8:H13)/6,0)</f>
        <v>4810</v>
      </c>
      <c r="I107" s="48">
        <f>ROUND(SUM(Ｎ!I8:I13)/6,0)</f>
        <v>73245</v>
      </c>
      <c r="J107" s="45">
        <f>ROUND(SUM(Ｎ!J8:J13)/6,0)</f>
        <v>63515</v>
      </c>
      <c r="K107" s="45">
        <f>ROUND(SUM(Ｎ!K8:K13)/6,0)</f>
        <v>50536</v>
      </c>
      <c r="L107" s="79">
        <f>ROUND(SUM(Ｎ!L8:L13)/6,0)</f>
        <v>12979</v>
      </c>
      <c r="M107" s="45">
        <f>ROUND(SUM(Ｎ!M8:M13)/6,0)</f>
        <v>9731</v>
      </c>
      <c r="N107" s="45">
        <f>ROUND(SUM(Ｎ!N8:N13)/6,0)</f>
        <v>7004</v>
      </c>
      <c r="O107" s="80">
        <f>ROUND(SUM(Ｎ!O8:O13)/6,0)</f>
        <v>2727</v>
      </c>
      <c r="P107" s="48">
        <f>ROUND(SUM(Ｎ!P8:P13)/6,0)</f>
        <v>94423</v>
      </c>
      <c r="Q107" s="45">
        <f>ROUND(SUM(Ｎ!Q8:Q13)/6,0)</f>
        <v>283194</v>
      </c>
      <c r="R107" s="50">
        <f>Ｎ!D107/Ｎ!P107</f>
        <v>0.36336485813837732</v>
      </c>
      <c r="S107" s="51">
        <f>Ｎ!I107/Ｎ!Q107</f>
        <v>0.25863895421513167</v>
      </c>
      <c r="T107" s="52">
        <f>Ｎ!M107/Ｎ!I107</f>
        <v>0.13285548501604205</v>
      </c>
    </row>
    <row r="108" spans="2:20" x14ac:dyDescent="0.2">
      <c r="C108" s="43">
        <v>1</v>
      </c>
      <c r="D108" s="48">
        <f>ROUND(SUM(Ｎ!D9:D14)/6,0)</f>
        <v>34363</v>
      </c>
      <c r="E108" s="45">
        <f>Ｎ!F108+Ｎ!G108</f>
        <v>29553</v>
      </c>
      <c r="F108" s="45">
        <f>Ｎ!D108-Ｎ!H108-Ｎ!G108</f>
        <v>28174</v>
      </c>
      <c r="G108" s="79">
        <f>ROUND(SUM(Ｎ!G9:G14)/6,0)</f>
        <v>1379</v>
      </c>
      <c r="H108" s="80">
        <f>ROUND(SUM(Ｎ!H9:H14)/6,0)</f>
        <v>4810</v>
      </c>
      <c r="I108" s="48">
        <f>ROUND(SUM(Ｎ!I9:I14)/6,0)</f>
        <v>73256</v>
      </c>
      <c r="J108" s="45">
        <f>ROUND(SUM(Ｎ!J9:J14)/6,0)</f>
        <v>63518</v>
      </c>
      <c r="K108" s="45">
        <f>ROUND(SUM(Ｎ!K9:K14)/6,0)</f>
        <v>50477</v>
      </c>
      <c r="L108" s="79">
        <f>ROUND(SUM(Ｎ!L9:L14)/6,0)</f>
        <v>13042</v>
      </c>
      <c r="M108" s="45">
        <f>ROUND(SUM(Ｎ!M9:M14)/6,0)</f>
        <v>9737</v>
      </c>
      <c r="N108" s="45">
        <f>ROUND(SUM(Ｎ!N9:N14)/6,0)</f>
        <v>7012</v>
      </c>
      <c r="O108" s="80">
        <f>ROUND(SUM(Ｎ!O9:O14)/6,0)</f>
        <v>2725</v>
      </c>
      <c r="P108" s="48">
        <f>ROUND(SUM(Ｎ!P9:P14)/6,0)</f>
        <v>94552</v>
      </c>
      <c r="Q108" s="45">
        <f>ROUND(SUM(Ｎ!Q9:Q14)/6,0)</f>
        <v>283395</v>
      </c>
      <c r="R108" s="50">
        <f>Ｎ!D108/Ｎ!P108</f>
        <v>0.36342964717827225</v>
      </c>
      <c r="S108" s="51">
        <f>Ｎ!I108/Ｎ!Q108</f>
        <v>0.25849432770514652</v>
      </c>
      <c r="T108" s="52">
        <f>Ｎ!M108/Ｎ!I108</f>
        <v>0.13291744020967566</v>
      </c>
    </row>
    <row r="109" spans="2:20" x14ac:dyDescent="0.2">
      <c r="C109" s="43">
        <v>2</v>
      </c>
      <c r="D109" s="48">
        <f>ROUND(SUM(Ｎ!D10:D15)/6,0)</f>
        <v>34420</v>
      </c>
      <c r="E109" s="55">
        <f>Ｎ!F109+Ｎ!G109</f>
        <v>29617</v>
      </c>
      <c r="F109" s="55">
        <f>Ｎ!D109-Ｎ!H109-Ｎ!G109</f>
        <v>28235</v>
      </c>
      <c r="G109" s="89">
        <f>ROUND(SUM(Ｎ!G10:G15)/6,0)</f>
        <v>1382</v>
      </c>
      <c r="H109" s="90">
        <f>ROUND(SUM(Ｎ!H10:H15)/6,0)</f>
        <v>4803</v>
      </c>
      <c r="I109" s="58">
        <f>ROUND(SUM(Ｎ!I10:I15)/6,0)</f>
        <v>73284</v>
      </c>
      <c r="J109" s="55">
        <f>ROUND(SUM(Ｎ!J10:J15)/6,0)</f>
        <v>63553</v>
      </c>
      <c r="K109" s="55">
        <f>ROUND(SUM(Ｎ!K10:K15)/6,0)</f>
        <v>50440</v>
      </c>
      <c r="L109" s="89">
        <f>ROUND(SUM(Ｎ!L10:L15)/6,0)</f>
        <v>13113</v>
      </c>
      <c r="M109" s="55">
        <f>ROUND(SUM(Ｎ!M10:M15)/6,0)</f>
        <v>9730</v>
      </c>
      <c r="N109" s="55">
        <f>ROUND(SUM(Ｎ!N10:N15)/6,0)</f>
        <v>7010</v>
      </c>
      <c r="O109" s="90">
        <f>ROUND(SUM(Ｎ!O10:O15)/6,0)</f>
        <v>2721</v>
      </c>
      <c r="P109" s="58">
        <f>ROUND(SUM(Ｎ!P10:P15)/6,0)</f>
        <v>94671</v>
      </c>
      <c r="Q109" s="55">
        <f>ROUND(SUM(Ｎ!Q10:Q15)/6,0)</f>
        <v>283562</v>
      </c>
      <c r="R109" s="60">
        <f>Ｎ!D109/Ｎ!P109</f>
        <v>0.36357490678243604</v>
      </c>
      <c r="S109" s="61">
        <f>Ｎ!I109/Ｎ!Q109</f>
        <v>0.2584408348086133</v>
      </c>
      <c r="T109" s="62">
        <f>Ｎ!M109/Ｎ!I109</f>
        <v>0.13277113694667322</v>
      </c>
    </row>
    <row r="110" spans="2:20" x14ac:dyDescent="0.2">
      <c r="C110" s="288">
        <v>3</v>
      </c>
      <c r="D110" s="92">
        <f>ROUND(SUM(Ｎ!D11:D16)/6,0)</f>
        <v>34463</v>
      </c>
      <c r="E110" s="289">
        <f>Ｎ!F110+Ｎ!G110</f>
        <v>29661</v>
      </c>
      <c r="F110" s="289">
        <f>Ｎ!D110-Ｎ!H110-Ｎ!G110</f>
        <v>28279</v>
      </c>
      <c r="G110" s="290">
        <f>ROUND(SUM(Ｎ!G11:G16)/6,0)</f>
        <v>1382</v>
      </c>
      <c r="H110" s="291">
        <f>ROUND(SUM(Ｎ!H11:H16)/6,0)</f>
        <v>4802</v>
      </c>
      <c r="I110" s="292">
        <f>ROUND(SUM(Ｎ!I11:I16)/6,0)</f>
        <v>73271</v>
      </c>
      <c r="J110" s="289">
        <f>ROUND(SUM(Ｎ!J11:J16)/6,0)</f>
        <v>63540</v>
      </c>
      <c r="K110" s="289">
        <f>ROUND(SUM(Ｎ!K11:K16)/6,0)</f>
        <v>50359</v>
      </c>
      <c r="L110" s="290">
        <f>ROUND(SUM(Ｎ!L11:L16)/6,0)</f>
        <v>13182</v>
      </c>
      <c r="M110" s="289">
        <f>ROUND(SUM(Ｎ!M11:M16)/6,0)</f>
        <v>9730</v>
      </c>
      <c r="N110" s="289">
        <f>ROUND(SUM(Ｎ!N11:N16)/6,0)</f>
        <v>7014</v>
      </c>
      <c r="O110" s="291">
        <f>ROUND(SUM(Ｎ!O11:O16)/6,0)</f>
        <v>2716</v>
      </c>
      <c r="P110" s="292">
        <f>ROUND(SUM(Ｎ!P11:P16)/6,0)</f>
        <v>94775</v>
      </c>
      <c r="Q110" s="289">
        <f>ROUND(SUM(Ｎ!Q11:Q16)/6,0)</f>
        <v>283645</v>
      </c>
      <c r="R110" s="293">
        <f>Ｎ!D110/Ｎ!P110</f>
        <v>0.36362964916908469</v>
      </c>
      <c r="S110" s="294">
        <f>Ｎ!I110/Ｎ!Q110</f>
        <v>0.25831937809585925</v>
      </c>
      <c r="T110" s="295">
        <f>Ｎ!M110/Ｎ!I110</f>
        <v>0.1327946936714389</v>
      </c>
    </row>
    <row r="111" spans="2:20" x14ac:dyDescent="0.2">
      <c r="C111" s="296" t="s">
        <v>2777</v>
      </c>
      <c r="D111" s="297">
        <f>ROUND(SUM(Ｎ!D12:D17)/6,0)</f>
        <v>34522</v>
      </c>
      <c r="E111" s="298">
        <f>Ｎ!F111+Ｎ!G111</f>
        <v>29720</v>
      </c>
      <c r="F111" s="298">
        <f>Ｎ!D111-Ｎ!H111-Ｎ!G111</f>
        <v>28335</v>
      </c>
      <c r="G111" s="299">
        <f>ROUND(SUM(Ｎ!G12:G17)/6,0)</f>
        <v>1385</v>
      </c>
      <c r="H111" s="300">
        <f>ROUND(SUM(Ｎ!H12:H17)/6,0)</f>
        <v>4802</v>
      </c>
      <c r="I111" s="297">
        <f>ROUND(SUM(Ｎ!I12:I17)/6,0)</f>
        <v>73283</v>
      </c>
      <c r="J111" s="298">
        <f>ROUND(SUM(Ｎ!J12:J17)/6,0)</f>
        <v>63546</v>
      </c>
      <c r="K111" s="298">
        <f>ROUND(SUM(Ｎ!K12:K17)/6,0)</f>
        <v>50292</v>
      </c>
      <c r="L111" s="299">
        <f>ROUND(SUM(Ｎ!L12:L17)/6,0)</f>
        <v>13254</v>
      </c>
      <c r="M111" s="298">
        <f>ROUND(SUM(Ｎ!M12:M17)/6,0)</f>
        <v>9737</v>
      </c>
      <c r="N111" s="298">
        <f>ROUND(SUM(Ｎ!N12:N17)/6,0)</f>
        <v>7023</v>
      </c>
      <c r="O111" s="300">
        <f>ROUND(SUM(Ｎ!O12:O17)/6,0)</f>
        <v>2714</v>
      </c>
      <c r="P111" s="297">
        <f>ROUND(SUM(Ｎ!P12:P17)/6,0)</f>
        <v>94919</v>
      </c>
      <c r="Q111" s="298">
        <f>ROUND(SUM(Ｎ!Q12:Q17)/6,0)</f>
        <v>283749</v>
      </c>
      <c r="R111" s="301">
        <f>Ｎ!D111/Ｎ!P111</f>
        <v>0.36369957542746972</v>
      </c>
      <c r="S111" s="302">
        <f>Ｎ!I111/Ｎ!Q111</f>
        <v>0.25826698948718763</v>
      </c>
      <c r="T111" s="303">
        <f>Ｎ!M111/Ｎ!I111</f>
        <v>0.13286846881268508</v>
      </c>
    </row>
    <row r="112" spans="2:20" x14ac:dyDescent="0.2">
      <c r="C112" s="53">
        <v>5</v>
      </c>
      <c r="D112" s="48">
        <f>ROUND(SUM(Ｎ!D13:D18)/6,0)</f>
        <v>34580</v>
      </c>
      <c r="E112" s="45">
        <f>Ｎ!F112+Ｎ!G112</f>
        <v>29781</v>
      </c>
      <c r="F112" s="45">
        <f>Ｎ!D112-Ｎ!H112-Ｎ!G112</f>
        <v>28395</v>
      </c>
      <c r="G112" s="79">
        <f>ROUND(SUM(Ｎ!G13:G18)/6,0)</f>
        <v>1386</v>
      </c>
      <c r="H112" s="80">
        <f>ROUND(SUM(Ｎ!H13:H18)/6,0)</f>
        <v>4799</v>
      </c>
      <c r="I112" s="48">
        <f>ROUND(SUM(Ｎ!I13:I18)/6,0)</f>
        <v>73290</v>
      </c>
      <c r="J112" s="45">
        <f>ROUND(SUM(Ｎ!J13:J18)/6,0)</f>
        <v>63553</v>
      </c>
      <c r="K112" s="45">
        <f>ROUND(SUM(Ｎ!K13:K18)/6,0)</f>
        <v>50235</v>
      </c>
      <c r="L112" s="79">
        <f>ROUND(SUM(Ｎ!L13:L18)/6,0)</f>
        <v>13318</v>
      </c>
      <c r="M112" s="45">
        <f>ROUND(SUM(Ｎ!M13:M18)/6,0)</f>
        <v>9737</v>
      </c>
      <c r="N112" s="45">
        <f>ROUND(SUM(Ｎ!N13:N18)/6,0)</f>
        <v>7025</v>
      </c>
      <c r="O112" s="80">
        <f>ROUND(SUM(Ｎ!O13:O18)/6,0)</f>
        <v>2712</v>
      </c>
      <c r="P112" s="48">
        <f>ROUND(SUM(Ｎ!P13:P18)/6,0)</f>
        <v>95064</v>
      </c>
      <c r="Q112" s="45">
        <f>ROUND(SUM(Ｎ!Q13:Q18)/6,0)</f>
        <v>283840</v>
      </c>
      <c r="R112" s="50">
        <f>Ｎ!D112/Ｎ!P112</f>
        <v>0.36375494403770092</v>
      </c>
      <c r="S112" s="51">
        <f>Ｎ!I112/Ｎ!Q112</f>
        <v>0.25820885005636979</v>
      </c>
      <c r="T112" s="52">
        <f>Ｎ!M112/Ｎ!I112</f>
        <v>0.13285577841451768</v>
      </c>
    </row>
    <row r="113" spans="3:20" x14ac:dyDescent="0.2">
      <c r="C113" s="43">
        <v>6</v>
      </c>
      <c r="D113" s="48">
        <f>ROUND(SUM(Ｎ!D14:D19)/6,0)</f>
        <v>34636</v>
      </c>
      <c r="E113" s="45">
        <f>Ｎ!F113+Ｎ!G113</f>
        <v>29834</v>
      </c>
      <c r="F113" s="45">
        <f>Ｎ!D113-Ｎ!H113-Ｎ!G113</f>
        <v>28446</v>
      </c>
      <c r="G113" s="79">
        <f>ROUND(SUM(Ｎ!G14:G19)/6,0)</f>
        <v>1388</v>
      </c>
      <c r="H113" s="80">
        <f>ROUND(SUM(Ｎ!H14:H19)/6,0)</f>
        <v>4802</v>
      </c>
      <c r="I113" s="48">
        <f>ROUND(SUM(Ｎ!I14:I19)/6,0)</f>
        <v>73282</v>
      </c>
      <c r="J113" s="45">
        <f>ROUND(SUM(Ｎ!J14:J19)/6,0)</f>
        <v>63534</v>
      </c>
      <c r="K113" s="45">
        <f>ROUND(SUM(Ｎ!K14:K19)/6,0)</f>
        <v>50155</v>
      </c>
      <c r="L113" s="79">
        <f>ROUND(SUM(Ｎ!L14:L19)/6,0)</f>
        <v>13379</v>
      </c>
      <c r="M113" s="45">
        <f>ROUND(SUM(Ｎ!M14:M19)/6,0)</f>
        <v>9748</v>
      </c>
      <c r="N113" s="45">
        <f>ROUND(SUM(Ｎ!N14:N19)/6,0)</f>
        <v>7036</v>
      </c>
      <c r="O113" s="80">
        <f>ROUND(SUM(Ｎ!O14:O19)/6,0)</f>
        <v>2712</v>
      </c>
      <c r="P113" s="48">
        <f>ROUND(SUM(Ｎ!P14:P19)/6,0)</f>
        <v>95214</v>
      </c>
      <c r="Q113" s="45">
        <f>ROUND(SUM(Ｎ!Q14:Q19)/6,0)</f>
        <v>283926</v>
      </c>
      <c r="R113" s="50">
        <f>Ｎ!D113/Ｎ!P113</f>
        <v>0.3637700338185561</v>
      </c>
      <c r="S113" s="51">
        <f>Ｎ!I113/Ｎ!Q113</f>
        <v>0.25810246331790676</v>
      </c>
      <c r="T113" s="52">
        <f>Ｎ!M113/Ｎ!I113</f>
        <v>0.13302038699817145</v>
      </c>
    </row>
    <row r="114" spans="3:20" x14ac:dyDescent="0.2">
      <c r="C114" s="43">
        <v>7</v>
      </c>
      <c r="D114" s="48">
        <f>ROUND(SUM(Ｎ!D15:D20)/6,0)</f>
        <v>34689</v>
      </c>
      <c r="E114" s="55">
        <f>Ｎ!F114+Ｎ!G114</f>
        <v>29877</v>
      </c>
      <c r="F114" s="55">
        <f>Ｎ!D114-Ｎ!H114-Ｎ!G114</f>
        <v>28487</v>
      </c>
      <c r="G114" s="89">
        <f>ROUND(SUM(Ｎ!G15:G20)/6,0)</f>
        <v>1390</v>
      </c>
      <c r="H114" s="90">
        <f>ROUND(SUM(Ｎ!H15:H20)/6,0)</f>
        <v>4812</v>
      </c>
      <c r="I114" s="58">
        <f>ROUND(SUM(Ｎ!I15:I20)/6,0)</f>
        <v>73282</v>
      </c>
      <c r="J114" s="55">
        <f>ROUND(SUM(Ｎ!J15:J20)/6,0)</f>
        <v>63510</v>
      </c>
      <c r="K114" s="55">
        <f>ROUND(SUM(Ｎ!K15:K20)/6,0)</f>
        <v>50070</v>
      </c>
      <c r="L114" s="89">
        <f>ROUND(SUM(Ｎ!L15:L20)/6,0)</f>
        <v>13440</v>
      </c>
      <c r="M114" s="55">
        <f>ROUND(SUM(Ｎ!M15:M20)/6,0)</f>
        <v>9772</v>
      </c>
      <c r="N114" s="55">
        <f>ROUND(SUM(Ｎ!N15:N20)/6,0)</f>
        <v>7056</v>
      </c>
      <c r="O114" s="90">
        <f>ROUND(SUM(Ｎ!O15:O20)/6,0)</f>
        <v>2716</v>
      </c>
      <c r="P114" s="58">
        <f>ROUND(SUM(Ｎ!P15:P20)/6,0)</f>
        <v>95375</v>
      </c>
      <c r="Q114" s="55">
        <f>ROUND(SUM(Ｎ!Q15:Q20)/6,0)</f>
        <v>284048</v>
      </c>
      <c r="R114" s="60">
        <f>Ｎ!D114/Ｎ!P114</f>
        <v>0.36371166448230668</v>
      </c>
      <c r="S114" s="61">
        <f>Ｎ!I114/Ｎ!Q114</f>
        <v>0.25799160705232921</v>
      </c>
      <c r="T114" s="62">
        <f>Ｎ!M114/Ｎ!I114</f>
        <v>0.13334788897682923</v>
      </c>
    </row>
    <row r="115" spans="3:20" x14ac:dyDescent="0.2">
      <c r="C115" s="53">
        <v>8</v>
      </c>
      <c r="D115" s="48">
        <f>ROUND(SUM(Ｎ!D16:D21)/6,0)</f>
        <v>34742</v>
      </c>
      <c r="E115" s="55">
        <f>Ｎ!F115+Ｎ!G115</f>
        <v>29913</v>
      </c>
      <c r="F115" s="55">
        <f>Ｎ!D115-Ｎ!H115-Ｎ!G115</f>
        <v>28521</v>
      </c>
      <c r="G115" s="89">
        <f>ROUND(SUM(Ｎ!G16:G21)/6,0)</f>
        <v>1392</v>
      </c>
      <c r="H115" s="90">
        <f>ROUND(SUM(Ｎ!H16:H21)/6,0)</f>
        <v>4829</v>
      </c>
      <c r="I115" s="58">
        <f>ROUND(SUM(Ｎ!I16:I21)/6,0)</f>
        <v>73270</v>
      </c>
      <c r="J115" s="55">
        <f>ROUND(SUM(Ｎ!J16:J21)/6,0)</f>
        <v>63467</v>
      </c>
      <c r="K115" s="55">
        <f>ROUND(SUM(Ｎ!K16:K21)/6,0)</f>
        <v>49975</v>
      </c>
      <c r="L115" s="89">
        <f>ROUND(SUM(Ｎ!L16:L21)/6,0)</f>
        <v>13492</v>
      </c>
      <c r="M115" s="55">
        <f>ROUND(SUM(Ｎ!M16:M21)/6,0)</f>
        <v>9803</v>
      </c>
      <c r="N115" s="55">
        <f>ROUND(SUM(Ｎ!N16:N21)/6,0)</f>
        <v>7083</v>
      </c>
      <c r="O115" s="90">
        <f>ROUND(SUM(Ｎ!O16:O21)/6,0)</f>
        <v>2721</v>
      </c>
      <c r="P115" s="58">
        <f>ROUND(SUM(Ｎ!P16:P21)/6,0)</f>
        <v>95543</v>
      </c>
      <c r="Q115" s="55">
        <f>ROUND(SUM(Ｎ!Q16:Q21)/6,0)</f>
        <v>284186</v>
      </c>
      <c r="R115" s="60">
        <f>Ｎ!D115/Ｎ!P115</f>
        <v>0.36362684864406603</v>
      </c>
      <c r="S115" s="61">
        <f>Ｎ!I115/Ｎ!Q115</f>
        <v>0.25782410111687415</v>
      </c>
      <c r="T115" s="62">
        <f>Ｎ!M115/Ｎ!I115</f>
        <v>0.13379282107274465</v>
      </c>
    </row>
    <row r="116" spans="3:20" x14ac:dyDescent="0.2">
      <c r="C116" s="53">
        <v>9</v>
      </c>
      <c r="D116" s="58">
        <f>ROUND(SUM(Ｎ!D17:D22)/6,0)</f>
        <v>34809</v>
      </c>
      <c r="E116" s="55">
        <f>Ｎ!F116+Ｎ!G116</f>
        <v>29965</v>
      </c>
      <c r="F116" s="55">
        <f>Ｎ!D116-Ｎ!H116-Ｎ!G116</f>
        <v>28571</v>
      </c>
      <c r="G116" s="89">
        <f>ROUND(SUM(Ｎ!G17:G22)/6,0)</f>
        <v>1394</v>
      </c>
      <c r="H116" s="90">
        <f>ROUND(SUM(Ｎ!H17:H22)/6,0)</f>
        <v>4844</v>
      </c>
      <c r="I116" s="58">
        <f>ROUND(SUM(Ｎ!I17:I22)/6,0)</f>
        <v>73289</v>
      </c>
      <c r="J116" s="55">
        <f>ROUND(SUM(Ｎ!J17:J22)/6,0)</f>
        <v>63453</v>
      </c>
      <c r="K116" s="55">
        <f>ROUND(SUM(Ｎ!K17:K22)/6,0)</f>
        <v>49903</v>
      </c>
      <c r="L116" s="89">
        <f>ROUND(SUM(Ｎ!L17:L22)/6,0)</f>
        <v>13550</v>
      </c>
      <c r="M116" s="55">
        <f>ROUND(SUM(Ｎ!M17:M22)/6,0)</f>
        <v>9836</v>
      </c>
      <c r="N116" s="55">
        <f>ROUND(SUM(Ｎ!N17:N22)/6,0)</f>
        <v>7107</v>
      </c>
      <c r="O116" s="90">
        <f>ROUND(SUM(Ｎ!O17:O22)/6,0)</f>
        <v>2729</v>
      </c>
      <c r="P116" s="58">
        <f>ROUND(SUM(Ｎ!P17:P22)/6,0)</f>
        <v>95721</v>
      </c>
      <c r="Q116" s="55">
        <f>ROUND(SUM(Ｎ!Q17:Q22)/6,0)</f>
        <v>284382</v>
      </c>
      <c r="R116" s="60">
        <f>Ｎ!D116/Ｎ!P116</f>
        <v>0.36365060958410378</v>
      </c>
      <c r="S116" s="61">
        <f>Ｎ!I116/Ｎ!Q116</f>
        <v>0.25771321672961017</v>
      </c>
      <c r="T116" s="62">
        <f>Ｎ!M116/Ｎ!I116</f>
        <v>0.13420840781017615</v>
      </c>
    </row>
    <row r="117" spans="3:20" x14ac:dyDescent="0.2">
      <c r="C117" s="53">
        <v>10</v>
      </c>
      <c r="D117" s="48">
        <f>ROUND(SUM(Ｎ!D18:D23)/6,0)</f>
        <v>34860</v>
      </c>
      <c r="E117" s="45">
        <f>Ｎ!F117+Ｎ!G117</f>
        <v>30002</v>
      </c>
      <c r="F117" s="45">
        <f>Ｎ!D117-Ｎ!H117-Ｎ!G117</f>
        <v>28609</v>
      </c>
      <c r="G117" s="79">
        <f>ROUND(SUM(Ｎ!G18:G23)/6,0)</f>
        <v>1393</v>
      </c>
      <c r="H117" s="80">
        <f>ROUND(SUM(Ｎ!H18:H23)/6,0)</f>
        <v>4858</v>
      </c>
      <c r="I117" s="48">
        <f>ROUND(SUM(Ｎ!I18:I23)/6,0)</f>
        <v>73292</v>
      </c>
      <c r="J117" s="45">
        <f>ROUND(SUM(Ｎ!J18:J23)/6,0)</f>
        <v>63433</v>
      </c>
      <c r="K117" s="45">
        <f>ROUND(SUM(Ｎ!K18:K23)/6,0)</f>
        <v>49829</v>
      </c>
      <c r="L117" s="79">
        <f>ROUND(SUM(Ｎ!L18:L23)/6,0)</f>
        <v>13604</v>
      </c>
      <c r="M117" s="45">
        <f>ROUND(SUM(Ｎ!M18:M23)/6,0)</f>
        <v>9859</v>
      </c>
      <c r="N117" s="45">
        <f>ROUND(SUM(Ｎ!N18:N23)/6,0)</f>
        <v>7124</v>
      </c>
      <c r="O117" s="80">
        <f>ROUND(SUM(Ｎ!O18:O23)/6,0)</f>
        <v>2735</v>
      </c>
      <c r="P117" s="48">
        <f>ROUND(SUM(Ｎ!P18:P23)/6,0)</f>
        <v>95852</v>
      </c>
      <c r="Q117" s="45">
        <f>ROUND(SUM(Ｎ!Q18:Q23)/6,0)</f>
        <v>284545</v>
      </c>
      <c r="R117" s="50">
        <f>Ｎ!D117/Ｎ!P117</f>
        <v>0.36368568209322705</v>
      </c>
      <c r="S117" s="51">
        <f>Ｎ!I117/Ｎ!Q117</f>
        <v>0.25757613031330723</v>
      </c>
      <c r="T117" s="52">
        <f>Ｎ!M117/Ｎ!I117</f>
        <v>0.13451672761010752</v>
      </c>
    </row>
    <row r="118" spans="3:20" x14ac:dyDescent="0.2">
      <c r="C118" s="43">
        <v>11</v>
      </c>
      <c r="D118" s="48">
        <f>ROUND(SUM(Ｎ!D19:D24)/6,0)</f>
        <v>34916</v>
      </c>
      <c r="E118" s="45">
        <f>Ｎ!F118+Ｎ!G118</f>
        <v>30035</v>
      </c>
      <c r="F118" s="45">
        <f>Ｎ!D118-Ｎ!H118-Ｎ!G118</f>
        <v>28642</v>
      </c>
      <c r="G118" s="79">
        <f>ROUND(SUM(Ｎ!G19:G24)/6,0)</f>
        <v>1393</v>
      </c>
      <c r="H118" s="80">
        <f>ROUND(SUM(Ｎ!H19:H24)/6,0)</f>
        <v>4881</v>
      </c>
      <c r="I118" s="48">
        <f>ROUND(SUM(Ｎ!I19:I24)/6,0)</f>
        <v>73312</v>
      </c>
      <c r="J118" s="45">
        <f>ROUND(SUM(Ｎ!J19:J24)/6,0)</f>
        <v>63414</v>
      </c>
      <c r="K118" s="45">
        <f>ROUND(SUM(Ｎ!K19:K24)/6,0)</f>
        <v>49748</v>
      </c>
      <c r="L118" s="79">
        <f>ROUND(SUM(Ｎ!L19:L24)/6,0)</f>
        <v>13666</v>
      </c>
      <c r="M118" s="45">
        <f>ROUND(SUM(Ｎ!M19:M24)/6,0)</f>
        <v>9898</v>
      </c>
      <c r="N118" s="45">
        <f>ROUND(SUM(Ｎ!N19:N24)/6,0)</f>
        <v>7153</v>
      </c>
      <c r="O118" s="80">
        <f>ROUND(SUM(Ｎ!O19:O24)/6,0)</f>
        <v>2745</v>
      </c>
      <c r="P118" s="48">
        <f>ROUND(SUM(Ｎ!P19:P24)/6,0)</f>
        <v>95977</v>
      </c>
      <c r="Q118" s="45">
        <f>ROUND(SUM(Ｎ!Q19:Q24)/6,0)</f>
        <v>284726</v>
      </c>
      <c r="R118" s="50">
        <f>Ｎ!D118/Ｎ!P118</f>
        <v>0.3637954926701189</v>
      </c>
      <c r="S118" s="51">
        <f>Ｎ!I118/Ｎ!Q118</f>
        <v>0.25748263242556002</v>
      </c>
      <c r="T118" s="52">
        <f>Ｎ!M118/Ｎ!I118</f>
        <v>0.13501200349192494</v>
      </c>
    </row>
    <row r="119" spans="3:20" x14ac:dyDescent="0.2">
      <c r="C119" s="43">
        <v>12</v>
      </c>
      <c r="D119" s="48">
        <f>ROUND(SUM(Ｎ!D20:D25)/6,0)</f>
        <v>34976</v>
      </c>
      <c r="E119" s="55">
        <f>Ｎ!F119+Ｎ!G119</f>
        <v>30077</v>
      </c>
      <c r="F119" s="55">
        <f>Ｎ!D119-Ｎ!H119-Ｎ!G119</f>
        <v>28683</v>
      </c>
      <c r="G119" s="89">
        <f>ROUND(SUM(Ｎ!G20:G25)/6,0)</f>
        <v>1394</v>
      </c>
      <c r="H119" s="90">
        <f>ROUND(SUM(Ｎ!H20:H25)/6,0)</f>
        <v>4899</v>
      </c>
      <c r="I119" s="58">
        <f>ROUND(SUM(Ｎ!I20:I25)/6,0)</f>
        <v>73375</v>
      </c>
      <c r="J119" s="55">
        <f>ROUND(SUM(Ｎ!J20:J25)/6,0)</f>
        <v>63441</v>
      </c>
      <c r="K119" s="55">
        <f>ROUND(SUM(Ｎ!K20:K25)/6,0)</f>
        <v>49715</v>
      </c>
      <c r="L119" s="89">
        <f>ROUND(SUM(Ｎ!L20:L25)/6,0)</f>
        <v>13725</v>
      </c>
      <c r="M119" s="55">
        <f>ROUND(SUM(Ｎ!M20:M25)/6,0)</f>
        <v>9934</v>
      </c>
      <c r="N119" s="55">
        <f>ROUND(SUM(Ｎ!N20:N25)/6,0)</f>
        <v>7180</v>
      </c>
      <c r="O119" s="90">
        <f>ROUND(SUM(Ｎ!O20:O25)/6,0)</f>
        <v>2755</v>
      </c>
      <c r="P119" s="58">
        <f>ROUND(SUM(Ｎ!P20:P25)/6,0)</f>
        <v>96092</v>
      </c>
      <c r="Q119" s="55">
        <f>ROUND(SUM(Ｎ!Q20:Q25)/6,0)</f>
        <v>284910</v>
      </c>
      <c r="R119" s="60">
        <f>Ｎ!D119/Ｎ!P119</f>
        <v>0.36398451483994504</v>
      </c>
      <c r="S119" s="61">
        <f>Ｎ!I119/Ｎ!Q119</f>
        <v>0.25753746797234212</v>
      </c>
      <c r="T119" s="62">
        <f>Ｎ!M119/Ｎ!I119</f>
        <v>0.13538671209540035</v>
      </c>
    </row>
    <row r="120" spans="3:20" x14ac:dyDescent="0.2">
      <c r="C120" s="53">
        <v>1</v>
      </c>
      <c r="D120" s="48">
        <f>ROUND(SUM(Ｎ!D21:D26)/6,0)</f>
        <v>35036</v>
      </c>
      <c r="E120" s="45">
        <f>Ｎ!F120+Ｎ!G120</f>
        <v>30125</v>
      </c>
      <c r="F120" s="45">
        <f>Ｎ!D120-Ｎ!H120-Ｎ!G120</f>
        <v>28732</v>
      </c>
      <c r="G120" s="79">
        <f>ROUND(SUM(Ｎ!G21:G26)/6,0)</f>
        <v>1393</v>
      </c>
      <c r="H120" s="80">
        <f>ROUND(SUM(Ｎ!H21:H26)/6,0)</f>
        <v>4911</v>
      </c>
      <c r="I120" s="48">
        <f>ROUND(SUM(Ｎ!I21:I26)/6,0)</f>
        <v>73442</v>
      </c>
      <c r="J120" s="45">
        <f>ROUND(SUM(Ｎ!J21:J26)/6,0)</f>
        <v>63484</v>
      </c>
      <c r="K120" s="45">
        <f>ROUND(SUM(Ｎ!K21:K26)/6,0)</f>
        <v>49697</v>
      </c>
      <c r="L120" s="79">
        <f>ROUND(SUM(Ｎ!L21:L26)/6,0)</f>
        <v>13788</v>
      </c>
      <c r="M120" s="45">
        <f>ROUND(SUM(Ｎ!M21:M26)/6,0)</f>
        <v>9958</v>
      </c>
      <c r="N120" s="45">
        <f>ROUND(SUM(Ｎ!N21:N26)/6,0)</f>
        <v>7196</v>
      </c>
      <c r="O120" s="80">
        <f>ROUND(SUM(Ｎ!O21:O26)/6,0)</f>
        <v>2762</v>
      </c>
      <c r="P120" s="48">
        <f>ROUND(SUM(Ｎ!P21:P26)/6,0)</f>
        <v>96192</v>
      </c>
      <c r="Q120" s="45">
        <f>ROUND(SUM(Ｎ!Q21:Q26)/6,0)</f>
        <v>285065</v>
      </c>
      <c r="R120" s="50">
        <f>Ｎ!D120/Ｎ!P120</f>
        <v>0.36422987358616099</v>
      </c>
      <c r="S120" s="51">
        <f>Ｎ!I120/Ｎ!Q120</f>
        <v>0.2576324697875923</v>
      </c>
      <c r="T120" s="52">
        <f>Ｎ!M120/Ｎ!I120</f>
        <v>0.13558998937937419</v>
      </c>
    </row>
    <row r="121" spans="3:20" x14ac:dyDescent="0.2">
      <c r="C121" s="43">
        <v>2</v>
      </c>
      <c r="D121" s="48">
        <f>ROUND(SUM(Ｎ!D22:D27)/6,0)</f>
        <v>35092</v>
      </c>
      <c r="E121" s="45">
        <f>Ｎ!F121+Ｎ!G121</f>
        <v>30174</v>
      </c>
      <c r="F121" s="45">
        <f>Ｎ!D121-Ｎ!H121-Ｎ!G121</f>
        <v>28779</v>
      </c>
      <c r="G121" s="79">
        <f>ROUND(SUM(Ｎ!G22:G27)/6,0)</f>
        <v>1395</v>
      </c>
      <c r="H121" s="80">
        <f>ROUND(SUM(Ｎ!H22:H27)/6,0)</f>
        <v>4918</v>
      </c>
      <c r="I121" s="48">
        <f>ROUND(SUM(Ｎ!I22:I27)/6,0)</f>
        <v>73500</v>
      </c>
      <c r="J121" s="45">
        <f>ROUND(SUM(Ｎ!J22:J27)/6,0)</f>
        <v>63525</v>
      </c>
      <c r="K121" s="45">
        <f>ROUND(SUM(Ｎ!K22:K27)/6,0)</f>
        <v>49667</v>
      </c>
      <c r="L121" s="79">
        <f>ROUND(SUM(Ｎ!L22:L27)/6,0)</f>
        <v>13858</v>
      </c>
      <c r="M121" s="45">
        <f>ROUND(SUM(Ｎ!M22:M27)/6,0)</f>
        <v>9975</v>
      </c>
      <c r="N121" s="45">
        <f>ROUND(SUM(Ｎ!N22:N27)/6,0)</f>
        <v>7208</v>
      </c>
      <c r="O121" s="80">
        <f>ROUND(SUM(Ｎ!O22:O27)/6,0)</f>
        <v>2767</v>
      </c>
      <c r="P121" s="48">
        <f>ROUND(SUM(Ｎ!P22:P27)/6,0)</f>
        <v>96281</v>
      </c>
      <c r="Q121" s="45">
        <f>ROUND(SUM(Ｎ!Q22:Q27)/6,0)</f>
        <v>285204</v>
      </c>
      <c r="R121" s="50">
        <f>Ｎ!D121/Ｎ!P121</f>
        <v>0.36447481850001556</v>
      </c>
      <c r="S121" s="51">
        <f>Ｎ!I121/Ｎ!Q121</f>
        <v>0.25771027054319012</v>
      </c>
      <c r="T121" s="52">
        <f>Ｎ!M121/Ｎ!I121</f>
        <v>0.1357142857142857</v>
      </c>
    </row>
    <row r="122" spans="3:20" x14ac:dyDescent="0.2">
      <c r="C122" s="91">
        <v>3</v>
      </c>
      <c r="D122" s="92">
        <f>ROUND(SUM(Ｎ!D23:D28)/6,0)</f>
        <v>35148</v>
      </c>
      <c r="E122" s="289">
        <f>Ｎ!F122+Ｎ!G122</f>
        <v>30222</v>
      </c>
      <c r="F122" s="289">
        <f>Ｎ!D122-Ｎ!H122-Ｎ!G122</f>
        <v>28823</v>
      </c>
      <c r="G122" s="290">
        <f>ROUND(SUM(Ｎ!G23:G28)/6,0)</f>
        <v>1399</v>
      </c>
      <c r="H122" s="291">
        <f>ROUND(SUM(Ｎ!H23:H28)/6,0)</f>
        <v>4926</v>
      </c>
      <c r="I122" s="292">
        <f>ROUND(SUM(Ｎ!I23:I28)/6,0)</f>
        <v>73554</v>
      </c>
      <c r="J122" s="289">
        <f>ROUND(SUM(Ｎ!J23:J28)/6,0)</f>
        <v>63559</v>
      </c>
      <c r="K122" s="289">
        <f>ROUND(SUM(Ｎ!K23:K28)/6,0)</f>
        <v>49643</v>
      </c>
      <c r="L122" s="290">
        <f>ROUND(SUM(Ｎ!L23:L28)/6,0)</f>
        <v>13916</v>
      </c>
      <c r="M122" s="289">
        <f>ROUND(SUM(Ｎ!M23:M28)/6,0)</f>
        <v>9995</v>
      </c>
      <c r="N122" s="289">
        <f>ROUND(SUM(Ｎ!N23:N28)/6,0)</f>
        <v>7223</v>
      </c>
      <c r="O122" s="291">
        <f>ROUND(SUM(Ｎ!O23:O28)/6,0)</f>
        <v>2772</v>
      </c>
      <c r="P122" s="292">
        <f>ROUND(SUM(Ｎ!P23:P28)/6,0)</f>
        <v>96370</v>
      </c>
      <c r="Q122" s="289">
        <f>ROUND(SUM(Ｎ!Q23:Q28)/6,0)</f>
        <v>285291</v>
      </c>
      <c r="R122" s="293">
        <f>Ｎ!D122/Ｎ!P122</f>
        <v>0.36471931098889698</v>
      </c>
      <c r="S122" s="294">
        <f>Ｎ!I122/Ｎ!Q122</f>
        <v>0.25782096175483982</v>
      </c>
      <c r="T122" s="295">
        <f>Ｎ!M122/Ｎ!I122</f>
        <v>0.13588655953449166</v>
      </c>
    </row>
    <row r="123" spans="3:20" x14ac:dyDescent="0.2">
      <c r="C123" s="296" t="s">
        <v>2778</v>
      </c>
      <c r="D123" s="297">
        <f>ROUND(SUM(Ｎ!D24:D29)/6,0)</f>
        <v>35219</v>
      </c>
      <c r="E123" s="298">
        <f>Ｎ!F123+Ｎ!G123</f>
        <v>30280</v>
      </c>
      <c r="F123" s="298">
        <f>Ｎ!D123-Ｎ!H123-Ｎ!G123</f>
        <v>28873</v>
      </c>
      <c r="G123" s="299">
        <f>ROUND(SUM(Ｎ!G24:G29)/6,0)</f>
        <v>1407</v>
      </c>
      <c r="H123" s="300">
        <f>ROUND(SUM(Ｎ!H24:H29)/6,0)</f>
        <v>4939</v>
      </c>
      <c r="I123" s="297">
        <f>ROUND(SUM(Ｎ!I24:I29)/6,0)</f>
        <v>73619</v>
      </c>
      <c r="J123" s="298">
        <f>ROUND(SUM(Ｎ!J24:J29)/6,0)</f>
        <v>63586</v>
      </c>
      <c r="K123" s="298">
        <f>ROUND(SUM(Ｎ!K24:K29)/6,0)</f>
        <v>49611</v>
      </c>
      <c r="L123" s="299">
        <f>ROUND(SUM(Ｎ!L24:L29)/6,0)</f>
        <v>13975</v>
      </c>
      <c r="M123" s="298">
        <f>ROUND(SUM(Ｎ!M24:M29)/6,0)</f>
        <v>10033</v>
      </c>
      <c r="N123" s="298">
        <f>ROUND(SUM(Ｎ!N24:N29)/6,0)</f>
        <v>7248</v>
      </c>
      <c r="O123" s="300">
        <f>ROUND(SUM(Ｎ!O24:O29)/6,0)</f>
        <v>2785</v>
      </c>
      <c r="P123" s="297">
        <f>ROUND(SUM(Ｎ!P24:P29)/6,0)</f>
        <v>96519</v>
      </c>
      <c r="Q123" s="298">
        <f>ROUND(SUM(Ｎ!Q24:Q29)/6,0)</f>
        <v>285442</v>
      </c>
      <c r="R123" s="301">
        <f>Ｎ!D123/Ｎ!P123</f>
        <v>0.36489188657155586</v>
      </c>
      <c r="S123" s="302">
        <f>Ｎ!I123/Ｎ!Q123</f>
        <v>0.25791229041276337</v>
      </c>
      <c r="T123" s="303">
        <f>Ｎ!M123/Ｎ!I123</f>
        <v>0.13628275309363072</v>
      </c>
    </row>
    <row r="124" spans="3:20" x14ac:dyDescent="0.2">
      <c r="C124" s="53">
        <v>5</v>
      </c>
      <c r="D124" s="48">
        <f>ROUND(SUM(Ｎ!D25:D30)/6,0)</f>
        <v>35286</v>
      </c>
      <c r="E124" s="45">
        <f>Ｎ!F124+Ｎ!G124</f>
        <v>30341</v>
      </c>
      <c r="F124" s="45">
        <f>Ｎ!D124-Ｎ!H124-Ｎ!G124</f>
        <v>28927</v>
      </c>
      <c r="G124" s="79">
        <f>ROUND(SUM(Ｎ!G25:G30)/6,0)</f>
        <v>1414</v>
      </c>
      <c r="H124" s="80">
        <f>ROUND(SUM(Ｎ!H25:H30)/6,0)</f>
        <v>4945</v>
      </c>
      <c r="I124" s="48">
        <f>ROUND(SUM(Ｎ!I25:I30)/6,0)</f>
        <v>73668</v>
      </c>
      <c r="J124" s="45">
        <f>ROUND(SUM(Ｎ!J25:J30)/6,0)</f>
        <v>63612</v>
      </c>
      <c r="K124" s="45">
        <f>ROUND(SUM(Ｎ!K25:K30)/6,0)</f>
        <v>49580</v>
      </c>
      <c r="L124" s="79">
        <f>ROUND(SUM(Ｎ!L25:L30)/6,0)</f>
        <v>14032</v>
      </c>
      <c r="M124" s="45">
        <f>ROUND(SUM(Ｎ!M25:M30)/6,0)</f>
        <v>10056</v>
      </c>
      <c r="N124" s="45">
        <f>ROUND(SUM(Ｎ!N25:N30)/6,0)</f>
        <v>7263</v>
      </c>
      <c r="O124" s="80">
        <f>ROUND(SUM(Ｎ!O25:O30)/6,0)</f>
        <v>2793</v>
      </c>
      <c r="P124" s="48">
        <f>ROUND(SUM(Ｎ!P25:P30)/6,0)</f>
        <v>96665</v>
      </c>
      <c r="Q124" s="45">
        <f>ROUND(SUM(Ｎ!Q25:Q30)/6,0)</f>
        <v>285589</v>
      </c>
      <c r="R124" s="50">
        <f>Ｎ!D124/Ｎ!P124</f>
        <v>0.36503387989448094</v>
      </c>
      <c r="S124" s="51">
        <f>Ｎ!I124/Ｎ!Q124</f>
        <v>0.25795111156242012</v>
      </c>
      <c r="T124" s="52">
        <f>Ｎ!M124/Ｎ!I124</f>
        <v>0.1365043166639518</v>
      </c>
    </row>
    <row r="125" spans="3:20" x14ac:dyDescent="0.2">
      <c r="C125" s="43">
        <v>6</v>
      </c>
      <c r="D125" s="48">
        <f>ROUND(SUM(Ｎ!D26:D31)/6,0)</f>
        <v>35348</v>
      </c>
      <c r="E125" s="45">
        <f>Ｎ!F125+Ｎ!G125</f>
        <v>30394</v>
      </c>
      <c r="F125" s="45">
        <f>Ｎ!D125-Ｎ!H125-Ｎ!G125</f>
        <v>28973</v>
      </c>
      <c r="G125" s="79">
        <f>ROUND(SUM(Ｎ!G26:G31)/6,0)</f>
        <v>1421</v>
      </c>
      <c r="H125" s="80">
        <f>ROUND(SUM(Ｎ!H26:H31)/6,0)</f>
        <v>4954</v>
      </c>
      <c r="I125" s="48">
        <f>ROUND(SUM(Ｎ!I26:I31)/6,0)</f>
        <v>73687</v>
      </c>
      <c r="J125" s="45">
        <f>ROUND(SUM(Ｎ!J26:J31)/6,0)</f>
        <v>63602</v>
      </c>
      <c r="K125" s="45">
        <f>ROUND(SUM(Ｎ!K26:K31)/6,0)</f>
        <v>49509</v>
      </c>
      <c r="L125" s="79">
        <f>ROUND(SUM(Ｎ!L26:L31)/6,0)</f>
        <v>14093</v>
      </c>
      <c r="M125" s="45">
        <f>ROUND(SUM(Ｎ!M26:M31)/6,0)</f>
        <v>10085</v>
      </c>
      <c r="N125" s="45">
        <f>ROUND(SUM(Ｎ!N26:N31)/6,0)</f>
        <v>7281</v>
      </c>
      <c r="O125" s="80">
        <f>ROUND(SUM(Ｎ!O26:O31)/6,0)</f>
        <v>2804</v>
      </c>
      <c r="P125" s="48">
        <f>ROUND(SUM(Ｎ!P26:P31)/6,0)</f>
        <v>96818</v>
      </c>
      <c r="Q125" s="45">
        <f>ROUND(SUM(Ｎ!Q26:Q31)/6,0)</f>
        <v>285732</v>
      </c>
      <c r="R125" s="50">
        <f>Ｎ!D125/Ｎ!P125</f>
        <v>0.36509739924394224</v>
      </c>
      <c r="S125" s="51">
        <f>Ｎ!I125/Ｎ!Q125</f>
        <v>0.25788851091232345</v>
      </c>
      <c r="T125" s="52">
        <f>Ｎ!M125/Ｎ!I125</f>
        <v>0.13686267591298329</v>
      </c>
    </row>
    <row r="126" spans="3:20" x14ac:dyDescent="0.2">
      <c r="C126" s="43">
        <v>7</v>
      </c>
      <c r="D126" s="48">
        <f>ROUND(SUM(Ｎ!D27:D32)/6,0)</f>
        <v>35409</v>
      </c>
      <c r="E126" s="55">
        <f>Ｎ!F126+Ｎ!G126</f>
        <v>30441</v>
      </c>
      <c r="F126" s="55">
        <f>Ｎ!D126-Ｎ!H126-Ｎ!G126</f>
        <v>29010</v>
      </c>
      <c r="G126" s="89">
        <f>ROUND(SUM(Ｎ!G27:G32)/6,0)</f>
        <v>1431</v>
      </c>
      <c r="H126" s="90">
        <f>ROUND(SUM(Ｎ!H27:H32)/6,0)</f>
        <v>4968</v>
      </c>
      <c r="I126" s="58">
        <f>ROUND(SUM(Ｎ!I27:I32)/6,0)</f>
        <v>73683</v>
      </c>
      <c r="J126" s="55">
        <f>ROUND(SUM(Ｎ!J27:J32)/6,0)</f>
        <v>63562</v>
      </c>
      <c r="K126" s="55">
        <f>ROUND(SUM(Ｎ!K27:K32)/6,0)</f>
        <v>49409</v>
      </c>
      <c r="L126" s="89">
        <f>ROUND(SUM(Ｎ!L27:L32)/6,0)</f>
        <v>14153</v>
      </c>
      <c r="M126" s="55">
        <f>ROUND(SUM(Ｎ!M27:M32)/6,0)</f>
        <v>10122</v>
      </c>
      <c r="N126" s="55">
        <f>ROUND(SUM(Ｎ!N27:N32)/6,0)</f>
        <v>7308</v>
      </c>
      <c r="O126" s="90">
        <f>ROUND(SUM(Ｎ!O27:O32)/6,0)</f>
        <v>2814</v>
      </c>
      <c r="P126" s="58">
        <f>ROUND(SUM(Ｎ!P27:P32)/6,0)</f>
        <v>96990</v>
      </c>
      <c r="Q126" s="55">
        <f>ROUND(SUM(Ｎ!Q27:Q32)/6,0)</f>
        <v>285906</v>
      </c>
      <c r="R126" s="60">
        <f>Ｎ!D126/Ｎ!P126</f>
        <v>0.36507887411073309</v>
      </c>
      <c r="S126" s="61">
        <f>Ｎ!I126/Ｎ!Q126</f>
        <v>0.25771757150951713</v>
      </c>
      <c r="T126" s="62">
        <f>Ｎ!M126/Ｎ!I126</f>
        <v>0.13737225682993365</v>
      </c>
    </row>
    <row r="127" spans="3:20" x14ac:dyDescent="0.2">
      <c r="C127" s="53">
        <v>8</v>
      </c>
      <c r="D127" s="48">
        <f>ROUND(SUM(Ｎ!D28:D33)/6,0)</f>
        <v>35472</v>
      </c>
      <c r="E127" s="55">
        <f>Ｎ!F127+Ｎ!G127</f>
        <v>30488</v>
      </c>
      <c r="F127" s="55">
        <f>Ｎ!D127-Ｎ!H127-Ｎ!G127</f>
        <v>29047</v>
      </c>
      <c r="G127" s="89">
        <f>ROUND(SUM(Ｎ!G28:G33)/6,0)</f>
        <v>1441</v>
      </c>
      <c r="H127" s="90">
        <f>ROUND(SUM(Ｎ!H28:H33)/6,0)</f>
        <v>4984</v>
      </c>
      <c r="I127" s="58">
        <f>ROUND(SUM(Ｎ!I28:I33)/6,0)</f>
        <v>73688</v>
      </c>
      <c r="J127" s="55">
        <f>ROUND(SUM(Ｎ!J28:J33)/6,0)</f>
        <v>63522</v>
      </c>
      <c r="K127" s="55">
        <f>ROUND(SUM(Ｎ!K28:K33)/6,0)</f>
        <v>49318</v>
      </c>
      <c r="L127" s="89">
        <f>ROUND(SUM(Ｎ!L28:L33)/6,0)</f>
        <v>14205</v>
      </c>
      <c r="M127" s="55">
        <f>ROUND(SUM(Ｎ!M28:M33)/6,0)</f>
        <v>10166</v>
      </c>
      <c r="N127" s="55">
        <f>ROUND(SUM(Ｎ!N28:N33)/6,0)</f>
        <v>7340</v>
      </c>
      <c r="O127" s="90">
        <f>ROUND(SUM(Ｎ!O28:O33)/6,0)</f>
        <v>2825</v>
      </c>
      <c r="P127" s="58">
        <f>ROUND(SUM(Ｎ!P28:P33)/6,0)</f>
        <v>97176</v>
      </c>
      <c r="Q127" s="55">
        <f>ROUND(SUM(Ｎ!Q28:Q33)/6,0)</f>
        <v>286085</v>
      </c>
      <c r="R127" s="60">
        <f>Ｎ!D127/Ｎ!P127</f>
        <v>0.36502840207458631</v>
      </c>
      <c r="S127" s="61">
        <f>Ｎ!I127/Ｎ!Q127</f>
        <v>0.25757379799709879</v>
      </c>
      <c r="T127" s="62">
        <f>Ｎ!M127/Ｎ!I127</f>
        <v>0.13796004776897189</v>
      </c>
    </row>
    <row r="128" spans="3:20" x14ac:dyDescent="0.2">
      <c r="C128" s="53">
        <v>9</v>
      </c>
      <c r="D128" s="58">
        <f>ROUND(SUM(Ｎ!D29:D34)/6,0)</f>
        <v>35537</v>
      </c>
      <c r="E128" s="55">
        <f>Ｎ!F128+Ｎ!G128</f>
        <v>30542</v>
      </c>
      <c r="F128" s="55">
        <f>Ｎ!D128-Ｎ!H128-Ｎ!G128</f>
        <v>29094</v>
      </c>
      <c r="G128" s="89">
        <f>ROUND(SUM(Ｎ!G29:G34)/6,0)</f>
        <v>1448</v>
      </c>
      <c r="H128" s="90">
        <f>ROUND(SUM(Ｎ!H29:H34)/6,0)</f>
        <v>4995</v>
      </c>
      <c r="I128" s="58">
        <f>ROUND(SUM(Ｎ!I29:I34)/6,0)</f>
        <v>73693</v>
      </c>
      <c r="J128" s="55">
        <f>ROUND(SUM(Ｎ!J29:J34)/6,0)</f>
        <v>63495</v>
      </c>
      <c r="K128" s="55">
        <f>ROUND(SUM(Ｎ!K29:K34)/6,0)</f>
        <v>49229</v>
      </c>
      <c r="L128" s="89">
        <f>ROUND(SUM(Ｎ!L29:L34)/6,0)</f>
        <v>14266</v>
      </c>
      <c r="M128" s="55">
        <f>ROUND(SUM(Ｎ!M29:M34)/6,0)</f>
        <v>10198</v>
      </c>
      <c r="N128" s="55">
        <f>ROUND(SUM(Ｎ!N29:N34)/6,0)</f>
        <v>7361</v>
      </c>
      <c r="O128" s="90">
        <f>ROUND(SUM(Ｎ!O29:O34)/6,0)</f>
        <v>2837</v>
      </c>
      <c r="P128" s="58">
        <f>ROUND(SUM(Ｎ!P29:P34)/6,0)</f>
        <v>97360</v>
      </c>
      <c r="Q128" s="55">
        <f>ROUND(SUM(Ｎ!Q29:Q34)/6,0)</f>
        <v>286307</v>
      </c>
      <c r="R128" s="60">
        <f>Ｎ!D128/Ｎ!P128</f>
        <v>0.36500616269515201</v>
      </c>
      <c r="S128" s="61">
        <f>Ｎ!I128/Ｎ!Q128</f>
        <v>0.25739154124768171</v>
      </c>
      <c r="T128" s="62">
        <f>Ｎ!M128/Ｎ!I128</f>
        <v>0.1383849212272536</v>
      </c>
    </row>
    <row r="129" spans="3:20" x14ac:dyDescent="0.2">
      <c r="C129" s="53">
        <v>10</v>
      </c>
      <c r="D129" s="48">
        <f>ROUND(SUM(Ｎ!D30:D35)/6,0)</f>
        <v>35597</v>
      </c>
      <c r="E129" s="45">
        <f>Ｎ!F129+Ｎ!G129</f>
        <v>30594</v>
      </c>
      <c r="F129" s="45">
        <f>Ｎ!D129-Ｎ!H129-Ｎ!G129</f>
        <v>29144</v>
      </c>
      <c r="G129" s="79">
        <f>ROUND(SUM(Ｎ!G30:G35)/6,0)</f>
        <v>1450</v>
      </c>
      <c r="H129" s="80">
        <f>ROUND(SUM(Ｎ!H30:H35)/6,0)</f>
        <v>5003</v>
      </c>
      <c r="I129" s="48">
        <f>ROUND(SUM(Ｎ!I30:I35)/6,0)</f>
        <v>73705</v>
      </c>
      <c r="J129" s="45">
        <f>ROUND(SUM(Ｎ!J30:J35)/6,0)</f>
        <v>63488</v>
      </c>
      <c r="K129" s="45">
        <f>ROUND(SUM(Ｎ!K30:K35)/6,0)</f>
        <v>49159</v>
      </c>
      <c r="L129" s="79">
        <f>ROUND(SUM(Ｎ!L30:L35)/6,0)</f>
        <v>14329</v>
      </c>
      <c r="M129" s="45">
        <f>ROUND(SUM(Ｎ!M30:M35)/6,0)</f>
        <v>10217</v>
      </c>
      <c r="N129" s="45">
        <f>ROUND(SUM(Ｎ!N30:N35)/6,0)</f>
        <v>7375</v>
      </c>
      <c r="O129" s="80">
        <f>ROUND(SUM(Ｎ!O30:O35)/6,0)</f>
        <v>2842</v>
      </c>
      <c r="P129" s="48">
        <f>ROUND(SUM(Ｎ!P30:P35)/6,0)</f>
        <v>97504</v>
      </c>
      <c r="Q129" s="45">
        <f>ROUND(SUM(Ｎ!Q30:Q35)/6,0)</f>
        <v>286494</v>
      </c>
      <c r="R129" s="50">
        <f>Ｎ!D129/Ｎ!P129</f>
        <v>0.36508245815556284</v>
      </c>
      <c r="S129" s="51">
        <f>Ｎ!I129/Ｎ!Q129</f>
        <v>0.25726542266155661</v>
      </c>
      <c r="T129" s="52">
        <f>Ｎ!M129/Ｎ!I129</f>
        <v>0.13862017502204735</v>
      </c>
    </row>
    <row r="130" spans="3:20" x14ac:dyDescent="0.2">
      <c r="C130" s="43">
        <v>11</v>
      </c>
      <c r="D130" s="48">
        <f>ROUND(SUM(Ｎ!D31:D36)/6,0)</f>
        <v>35661</v>
      </c>
      <c r="E130" s="45">
        <f>Ｎ!F130+Ｎ!G130</f>
        <v>30649</v>
      </c>
      <c r="F130" s="45">
        <f>Ｎ!D130-Ｎ!H130-Ｎ!G130</f>
        <v>29192</v>
      </c>
      <c r="G130" s="79">
        <f>ROUND(SUM(Ｎ!G31:G36)/6,0)</f>
        <v>1457</v>
      </c>
      <c r="H130" s="80">
        <f>ROUND(SUM(Ｎ!H31:H36)/6,0)</f>
        <v>5012</v>
      </c>
      <c r="I130" s="48">
        <f>ROUND(SUM(Ｎ!I31:I36)/6,0)</f>
        <v>73739</v>
      </c>
      <c r="J130" s="45">
        <f>ROUND(SUM(Ｎ!J31:J36)/6,0)</f>
        <v>63497</v>
      </c>
      <c r="K130" s="45">
        <f>ROUND(SUM(Ｎ!K31:K36)/6,0)</f>
        <v>49090</v>
      </c>
      <c r="L130" s="79">
        <f>ROUND(SUM(Ｎ!L31:L36)/6,0)</f>
        <v>14407</v>
      </c>
      <c r="M130" s="45">
        <f>ROUND(SUM(Ｎ!M31:M36)/6,0)</f>
        <v>10242</v>
      </c>
      <c r="N130" s="45">
        <f>ROUND(SUM(Ｎ!N31:N36)/6,0)</f>
        <v>7395</v>
      </c>
      <c r="O130" s="80">
        <f>ROUND(SUM(Ｎ!O31:O36)/6,0)</f>
        <v>2847</v>
      </c>
      <c r="P130" s="48">
        <f>ROUND(SUM(Ｎ!P31:P36)/6,0)</f>
        <v>97661</v>
      </c>
      <c r="Q130" s="45">
        <f>ROUND(SUM(Ｎ!Q31:Q36)/6,0)</f>
        <v>286707</v>
      </c>
      <c r="R130" s="50">
        <f>Ｎ!D130/Ｎ!P130</f>
        <v>0.36515087906124244</v>
      </c>
      <c r="S130" s="51">
        <f>Ｎ!I130/Ｎ!Q130</f>
        <v>0.25719288332688073</v>
      </c>
      <c r="T130" s="52">
        <f>Ｎ!M130/Ｎ!I130</f>
        <v>0.13889529285723973</v>
      </c>
    </row>
    <row r="131" spans="3:20" x14ac:dyDescent="0.2">
      <c r="C131" s="43">
        <v>12</v>
      </c>
      <c r="D131" s="48">
        <f>ROUND(SUM(Ｎ!D32:D37)/6,0)</f>
        <v>35722</v>
      </c>
      <c r="E131" s="55">
        <f>Ｎ!F131+Ｎ!G131</f>
        <v>30707</v>
      </c>
      <c r="F131" s="55">
        <f>Ｎ!D131-Ｎ!H131-Ｎ!G131</f>
        <v>29247</v>
      </c>
      <c r="G131" s="89">
        <f>ROUND(SUM(Ｎ!G32:G37)/6,0)</f>
        <v>1460</v>
      </c>
      <c r="H131" s="90">
        <f>ROUND(SUM(Ｎ!H32:H37)/6,0)</f>
        <v>5015</v>
      </c>
      <c r="I131" s="58">
        <f>ROUND(SUM(Ｎ!I32:I37)/6,0)</f>
        <v>73787</v>
      </c>
      <c r="J131" s="55">
        <f>ROUND(SUM(Ｎ!J32:J37)/6,0)</f>
        <v>63535</v>
      </c>
      <c r="K131" s="55">
        <f>ROUND(SUM(Ｎ!K32:K37)/6,0)</f>
        <v>49050</v>
      </c>
      <c r="L131" s="89">
        <f>ROUND(SUM(Ｎ!L32:L37)/6,0)</f>
        <v>14485</v>
      </c>
      <c r="M131" s="55">
        <f>ROUND(SUM(Ｎ!M32:M37)/6,0)</f>
        <v>10252</v>
      </c>
      <c r="N131" s="55">
        <f>ROUND(SUM(Ｎ!N32:N37)/6,0)</f>
        <v>7404</v>
      </c>
      <c r="O131" s="90">
        <f>ROUND(SUM(Ｎ!O32:O37)/6,0)</f>
        <v>2848</v>
      </c>
      <c r="P131" s="58">
        <f>ROUND(SUM(Ｎ!P32:P37)/6,0)</f>
        <v>97811</v>
      </c>
      <c r="Q131" s="55">
        <f>ROUND(SUM(Ｎ!Q32:Q37)/6,0)</f>
        <v>286926</v>
      </c>
      <c r="R131" s="60">
        <f>Ｎ!D131/Ｎ!P131</f>
        <v>0.36521454642115919</v>
      </c>
      <c r="S131" s="61">
        <f>Ｎ!I131/Ｎ!Q131</f>
        <v>0.25716386803566077</v>
      </c>
      <c r="T131" s="62">
        <f>Ｎ!M131/Ｎ!I131</f>
        <v>0.1389404637673303</v>
      </c>
    </row>
    <row r="132" spans="3:20" x14ac:dyDescent="0.2">
      <c r="C132" s="53">
        <v>1</v>
      </c>
      <c r="D132" s="48">
        <f>ROUND(SUM(Ｎ!D33:D38)/6,0)</f>
        <v>35783</v>
      </c>
      <c r="E132" s="45">
        <f>Ｎ!F132+Ｎ!G132</f>
        <v>30772</v>
      </c>
      <c r="F132" s="45">
        <f>Ｎ!D132-Ｎ!H132-Ｎ!G132</f>
        <v>29308</v>
      </c>
      <c r="G132" s="79">
        <f>ROUND(SUM(Ｎ!G33:G38)/6,0)</f>
        <v>1464</v>
      </c>
      <c r="H132" s="80">
        <f>ROUND(SUM(Ｎ!H33:H38)/6,0)</f>
        <v>5011</v>
      </c>
      <c r="I132" s="48">
        <f>ROUND(SUM(Ｎ!I33:I38)/6,0)</f>
        <v>73848</v>
      </c>
      <c r="J132" s="45">
        <f>ROUND(SUM(Ｎ!J33:J38)/6,0)</f>
        <v>63596</v>
      </c>
      <c r="K132" s="45">
        <f>ROUND(SUM(Ｎ!K33:K38)/6,0)</f>
        <v>49030</v>
      </c>
      <c r="L132" s="79">
        <f>ROUND(SUM(Ｎ!L33:L38)/6,0)</f>
        <v>14566</v>
      </c>
      <c r="M132" s="45">
        <f>ROUND(SUM(Ｎ!M33:M38)/6,0)</f>
        <v>10252</v>
      </c>
      <c r="N132" s="45">
        <f>ROUND(SUM(Ｎ!N33:N38)/6,0)</f>
        <v>7404</v>
      </c>
      <c r="O132" s="80">
        <f>ROUND(SUM(Ｎ!O33:O38)/6,0)</f>
        <v>2849</v>
      </c>
      <c r="P132" s="48">
        <f>ROUND(SUM(Ｎ!P33:P38)/6,0)</f>
        <v>97956</v>
      </c>
      <c r="Q132" s="45">
        <f>ROUND(SUM(Ｎ!Q33:Q38)/6,0)</f>
        <v>287134</v>
      </c>
      <c r="R132" s="50">
        <f>Ｎ!D132/Ｎ!P132</f>
        <v>0.36529666380824044</v>
      </c>
      <c r="S132" s="51">
        <f>Ｎ!I132/Ｎ!Q132</f>
        <v>0.25719002277682196</v>
      </c>
      <c r="T132" s="52">
        <f>Ｎ!M132/Ｎ!I132</f>
        <v>0.13882569602426606</v>
      </c>
    </row>
    <row r="133" spans="3:20" x14ac:dyDescent="0.2">
      <c r="C133" s="43">
        <v>2</v>
      </c>
      <c r="D133" s="48">
        <f>ROUND(SUM(Ｎ!D34:D39)/6,0)</f>
        <v>35848</v>
      </c>
      <c r="E133" s="45">
        <f>Ｎ!F133+Ｎ!G133</f>
        <v>30844</v>
      </c>
      <c r="F133" s="45">
        <f>Ｎ!D133-Ｎ!H133-Ｎ!G133</f>
        <v>29381</v>
      </c>
      <c r="G133" s="79">
        <f>ROUND(SUM(Ｎ!G34:G39)/6,0)</f>
        <v>1463</v>
      </c>
      <c r="H133" s="80">
        <f>ROUND(SUM(Ｎ!H34:H39)/6,0)</f>
        <v>5004</v>
      </c>
      <c r="I133" s="48">
        <f>ROUND(SUM(Ｎ!I34:I39)/6,0)</f>
        <v>73895</v>
      </c>
      <c r="J133" s="45">
        <f>ROUND(SUM(Ｎ!J34:J39)/6,0)</f>
        <v>63657</v>
      </c>
      <c r="K133" s="45">
        <f>ROUND(SUM(Ｎ!K34:K39)/6,0)</f>
        <v>48996</v>
      </c>
      <c r="L133" s="79">
        <f>ROUND(SUM(Ｎ!L34:L39)/6,0)</f>
        <v>14661</v>
      </c>
      <c r="M133" s="45">
        <f>ROUND(SUM(Ｎ!M34:M39)/6,0)</f>
        <v>10238</v>
      </c>
      <c r="N133" s="45">
        <f>ROUND(SUM(Ｎ!N34:N39)/6,0)</f>
        <v>7394</v>
      </c>
      <c r="O133" s="80">
        <f>ROUND(SUM(Ｎ!O34:O39)/6,0)</f>
        <v>2844</v>
      </c>
      <c r="P133" s="48">
        <f>ROUND(SUM(Ｎ!P34:P39)/6,0)</f>
        <v>98104</v>
      </c>
      <c r="Q133" s="45">
        <f>ROUND(SUM(Ｎ!Q34:Q39)/6,0)</f>
        <v>287350</v>
      </c>
      <c r="R133" s="50">
        <f>Ｎ!D133/Ｎ!P133</f>
        <v>0.36540813830220992</v>
      </c>
      <c r="S133" s="51">
        <f>Ｎ!I133/Ｎ!Q133</f>
        <v>0.25716025752566557</v>
      </c>
      <c r="T133" s="52">
        <f>Ｎ!M133/Ｎ!I133</f>
        <v>0.1385479396440896</v>
      </c>
    </row>
    <row r="134" spans="3:20" x14ac:dyDescent="0.2">
      <c r="C134" s="91">
        <v>3</v>
      </c>
      <c r="D134" s="92">
        <f>ROUND(SUM(Ｎ!D35:D40)/6,0)</f>
        <v>35908</v>
      </c>
      <c r="E134" s="289">
        <f>Ｎ!F134+Ｎ!G134</f>
        <v>30916</v>
      </c>
      <c r="F134" s="289">
        <f>Ｎ!D134-Ｎ!H134-Ｎ!G134</f>
        <v>29450</v>
      </c>
      <c r="G134" s="290">
        <f>ROUND(SUM(Ｎ!G35:G40)/6,0)</f>
        <v>1466</v>
      </c>
      <c r="H134" s="291">
        <f>ROUND(SUM(Ｎ!H35:H40)/6,0)</f>
        <v>4992</v>
      </c>
      <c r="I134" s="292">
        <f>ROUND(SUM(Ｎ!I35:I40)/6,0)</f>
        <v>73938</v>
      </c>
      <c r="J134" s="289">
        <f>ROUND(SUM(Ｎ!J35:J40)/6,0)</f>
        <v>63721</v>
      </c>
      <c r="K134" s="289">
        <f>ROUND(SUM(Ｎ!K35:K40)/6,0)</f>
        <v>48961</v>
      </c>
      <c r="L134" s="290">
        <f>ROUND(SUM(Ｎ!L35:L40)/6,0)</f>
        <v>14759</v>
      </c>
      <c r="M134" s="289">
        <f>ROUND(SUM(Ｎ!M35:M40)/6,0)</f>
        <v>10218</v>
      </c>
      <c r="N134" s="289">
        <f>ROUND(SUM(Ｎ!N35:N40)/6,0)</f>
        <v>7381</v>
      </c>
      <c r="O134" s="291">
        <f>ROUND(SUM(Ｎ!O35:O40)/6,0)</f>
        <v>2837</v>
      </c>
      <c r="P134" s="292">
        <f>ROUND(SUM(Ｎ!P35:P40)/6,0)</f>
        <v>98243</v>
      </c>
      <c r="Q134" s="289">
        <f>ROUND(SUM(Ｎ!Q35:Q40)/6,0)</f>
        <v>287504</v>
      </c>
      <c r="R134" s="293">
        <f>Ｎ!D134/Ｎ!P134</f>
        <v>0.36550186781755445</v>
      </c>
      <c r="S134" s="294">
        <f>Ｎ!I134/Ｎ!Q134</f>
        <v>0.2571720741276643</v>
      </c>
      <c r="T134" s="295">
        <f>Ｎ!M134/Ｎ!I134</f>
        <v>0.13819686764586545</v>
      </c>
    </row>
    <row r="135" spans="3:20" x14ac:dyDescent="0.2">
      <c r="C135" s="296" t="s">
        <v>2779</v>
      </c>
      <c r="D135" s="297">
        <f>ROUND(SUM(Ｎ!D36:D41)/6,0)</f>
        <v>35973</v>
      </c>
      <c r="E135" s="298">
        <f>Ｎ!F135+Ｎ!G135</f>
        <v>30987</v>
      </c>
      <c r="F135" s="298">
        <f>Ｎ!D135-Ｎ!H135-Ｎ!G135</f>
        <v>29517</v>
      </c>
      <c r="G135" s="299">
        <f>ROUND(SUM(Ｎ!G36:G41)/6,0)</f>
        <v>1470</v>
      </c>
      <c r="H135" s="300">
        <f>ROUND(SUM(Ｎ!H36:H41)/6,0)</f>
        <v>4986</v>
      </c>
      <c r="I135" s="297">
        <f>ROUND(SUM(Ｎ!I36:I41)/6,0)</f>
        <v>73989</v>
      </c>
      <c r="J135" s="298">
        <f>ROUND(SUM(Ｎ!J36:J41)/6,0)</f>
        <v>63775</v>
      </c>
      <c r="K135" s="298">
        <f>ROUND(SUM(Ｎ!K36:K41)/6,0)</f>
        <v>48914</v>
      </c>
      <c r="L135" s="299">
        <f>ROUND(SUM(Ｎ!L36:L41)/6,0)</f>
        <v>14862</v>
      </c>
      <c r="M135" s="298">
        <f>ROUND(SUM(Ｎ!M36:M41)/6,0)</f>
        <v>10214</v>
      </c>
      <c r="N135" s="298">
        <f>ROUND(SUM(Ｎ!N36:N41)/6,0)</f>
        <v>7377</v>
      </c>
      <c r="O135" s="300">
        <f>ROUND(SUM(Ｎ!O36:O41)/6,0)</f>
        <v>2837</v>
      </c>
      <c r="P135" s="297">
        <f>ROUND(SUM(Ｎ!P36:P41)/6,0)</f>
        <v>98422</v>
      </c>
      <c r="Q135" s="298">
        <f>ROUND(SUM(Ｎ!Q36:Q41)/6,0)</f>
        <v>287685</v>
      </c>
      <c r="R135" s="301">
        <f>Ｎ!D135/Ｎ!P135</f>
        <v>0.36549755136046819</v>
      </c>
      <c r="S135" s="302">
        <f>Ｎ!I135/Ｎ!Q135</f>
        <v>0.25718754888158923</v>
      </c>
      <c r="T135" s="303">
        <f>Ｎ!M135/Ｎ!I135</f>
        <v>0.13804754760842827</v>
      </c>
    </row>
    <row r="136" spans="3:20" x14ac:dyDescent="0.2">
      <c r="C136" s="53">
        <v>5</v>
      </c>
      <c r="D136" s="48">
        <f>ROUND(SUM(Ｎ!D37:D42)/6,0)</f>
        <v>36047</v>
      </c>
      <c r="E136" s="45">
        <f>Ｎ!F136+Ｎ!G136</f>
        <v>31070</v>
      </c>
      <c r="F136" s="45">
        <f>Ｎ!D136-Ｎ!H136-Ｎ!G136</f>
        <v>29598</v>
      </c>
      <c r="G136" s="79">
        <f>ROUND(SUM(Ｎ!G37:G42)/6,0)</f>
        <v>1472</v>
      </c>
      <c r="H136" s="80">
        <f>ROUND(SUM(Ｎ!H37:H42)/6,0)</f>
        <v>4977</v>
      </c>
      <c r="I136" s="48">
        <f>ROUND(SUM(Ｎ!I37:I42)/6,0)</f>
        <v>74041</v>
      </c>
      <c r="J136" s="45">
        <f>ROUND(SUM(Ｎ!J37:J42)/6,0)</f>
        <v>63836</v>
      </c>
      <c r="K136" s="45">
        <f>ROUND(SUM(Ｎ!K37:K42)/6,0)</f>
        <v>48878</v>
      </c>
      <c r="L136" s="79">
        <f>ROUND(SUM(Ｎ!L37:L42)/6,0)</f>
        <v>14959</v>
      </c>
      <c r="M136" s="45">
        <f>ROUND(SUM(Ｎ!M37:M42)/6,0)</f>
        <v>10205</v>
      </c>
      <c r="N136" s="45">
        <f>ROUND(SUM(Ｎ!N37:N42)/6,0)</f>
        <v>7367</v>
      </c>
      <c r="O136" s="80">
        <f>ROUND(SUM(Ｎ!O37:O42)/6,0)</f>
        <v>2838</v>
      </c>
      <c r="P136" s="48">
        <f>ROUND(SUM(Ｎ!P37:P42)/6,0)</f>
        <v>98593</v>
      </c>
      <c r="Q136" s="45">
        <f>ROUND(SUM(Ｎ!Q37:Q42)/6,0)</f>
        <v>287838</v>
      </c>
      <c r="R136" s="50">
        <f>Ｎ!D136/Ｎ!P136</f>
        <v>0.36561419167689391</v>
      </c>
      <c r="S136" s="51">
        <f>Ｎ!I136/Ｎ!Q136</f>
        <v>0.2572314982733343</v>
      </c>
      <c r="T136" s="52">
        <f>Ｎ!M136/Ｎ!I136</f>
        <v>0.13782904066665766</v>
      </c>
    </row>
    <row r="137" spans="3:20" x14ac:dyDescent="0.2">
      <c r="C137" s="43">
        <v>6</v>
      </c>
      <c r="D137" s="48">
        <f>ROUND(SUM(Ｎ!D38:D43)/6,0)</f>
        <v>36132</v>
      </c>
      <c r="E137" s="45">
        <f>Ｎ!F137+Ｎ!G137</f>
        <v>31149</v>
      </c>
      <c r="F137" s="45">
        <f>Ｎ!D137-Ｎ!H137-Ｎ!G137</f>
        <v>29675</v>
      </c>
      <c r="G137" s="79">
        <f>ROUND(SUM(Ｎ!G38:G43)/6,0)</f>
        <v>1474</v>
      </c>
      <c r="H137" s="80">
        <f>ROUND(SUM(Ｎ!H38:H43)/6,0)</f>
        <v>4983</v>
      </c>
      <c r="I137" s="48">
        <f>ROUND(SUM(Ｎ!I38:I43)/6,0)</f>
        <v>74095</v>
      </c>
      <c r="J137" s="45">
        <f>ROUND(SUM(Ｎ!J38:J43)/6,0)</f>
        <v>63877</v>
      </c>
      <c r="K137" s="45">
        <f>ROUND(SUM(Ｎ!K38:K43)/6,0)</f>
        <v>48821</v>
      </c>
      <c r="L137" s="79">
        <f>ROUND(SUM(Ｎ!L38:L43)/6,0)</f>
        <v>15057</v>
      </c>
      <c r="M137" s="45">
        <f>ROUND(SUM(Ｎ!M38:M43)/6,0)</f>
        <v>10218</v>
      </c>
      <c r="N137" s="45">
        <f>ROUND(SUM(Ｎ!N38:N43)/6,0)</f>
        <v>7376</v>
      </c>
      <c r="O137" s="80">
        <f>ROUND(SUM(Ｎ!O38:O43)/6,0)</f>
        <v>2843</v>
      </c>
      <c r="P137" s="48">
        <f>ROUND(SUM(Ｎ!P38:P43)/6,0)</f>
        <v>98770</v>
      </c>
      <c r="Q137" s="45">
        <f>ROUND(SUM(Ｎ!Q38:Q43)/6,0)</f>
        <v>287987</v>
      </c>
      <c r="R137" s="50">
        <f>Ｎ!D137/Ｎ!P137</f>
        <v>0.36581958084438593</v>
      </c>
      <c r="S137" s="51">
        <f>Ｎ!I137/Ｎ!Q137</f>
        <v>0.25728591915607302</v>
      </c>
      <c r="T137" s="52">
        <f>Ｎ!M137/Ｎ!I137</f>
        <v>0.13790404210810447</v>
      </c>
    </row>
    <row r="138" spans="3:20" x14ac:dyDescent="0.2">
      <c r="C138" s="43">
        <v>7</v>
      </c>
      <c r="D138" s="48">
        <f>ROUND(SUM(Ｎ!D39:D44)/6,0)</f>
        <v>36219</v>
      </c>
      <c r="E138" s="55">
        <f>Ｎ!F138+Ｎ!G138</f>
        <v>31227</v>
      </c>
      <c r="F138" s="55">
        <f>Ｎ!D138-Ｎ!H138-Ｎ!G138</f>
        <v>29749</v>
      </c>
      <c r="G138" s="89">
        <f>ROUND(SUM(Ｎ!G39:G44)/6,0)</f>
        <v>1478</v>
      </c>
      <c r="H138" s="90">
        <f>ROUND(SUM(Ｎ!H39:H44)/6,0)</f>
        <v>4992</v>
      </c>
      <c r="I138" s="58">
        <f>ROUND(SUM(Ｎ!I39:I44)/6,0)</f>
        <v>74147</v>
      </c>
      <c r="J138" s="55">
        <f>ROUND(SUM(Ｎ!J39:J44)/6,0)</f>
        <v>63909</v>
      </c>
      <c r="K138" s="55">
        <f>ROUND(SUM(Ｎ!K39:K44)/6,0)</f>
        <v>48754</v>
      </c>
      <c r="L138" s="89">
        <f>ROUND(SUM(Ｎ!L39:L44)/6,0)</f>
        <v>15155</v>
      </c>
      <c r="M138" s="55">
        <f>ROUND(SUM(Ｎ!M39:M44)/6,0)</f>
        <v>10238</v>
      </c>
      <c r="N138" s="55">
        <f>ROUND(SUM(Ｎ!N39:N44)/6,0)</f>
        <v>7391</v>
      </c>
      <c r="O138" s="90">
        <f>ROUND(SUM(Ｎ!O39:O44)/6,0)</f>
        <v>2847</v>
      </c>
      <c r="P138" s="58">
        <f>ROUND(SUM(Ｎ!P39:P44)/6,0)</f>
        <v>98938</v>
      </c>
      <c r="Q138" s="55">
        <f>ROUND(SUM(Ｎ!Q39:Q44)/6,0)</f>
        <v>288102</v>
      </c>
      <c r="R138" s="60">
        <f>Ｎ!D138/Ｎ!P138</f>
        <v>0.3660777456588975</v>
      </c>
      <c r="S138" s="61">
        <f>Ｎ!I138/Ｎ!Q138</f>
        <v>0.25736371146330117</v>
      </c>
      <c r="T138" s="62">
        <f>Ｎ!M138/Ｎ!I138</f>
        <v>0.13807706313134718</v>
      </c>
    </row>
    <row r="139" spans="3:20" x14ac:dyDescent="0.2">
      <c r="C139" s="53">
        <v>8</v>
      </c>
      <c r="D139" s="48">
        <f>ROUND(SUM(Ｎ!D40:D45)/6,0)</f>
        <v>36309</v>
      </c>
      <c r="E139" s="55">
        <f>Ｎ!F139+Ｎ!G139</f>
        <v>31301</v>
      </c>
      <c r="F139" s="55">
        <f>Ｎ!D139-Ｎ!H139-Ｎ!G139</f>
        <v>29816</v>
      </c>
      <c r="G139" s="89">
        <f>ROUND(SUM(Ｎ!G40:G45)/6,0)</f>
        <v>1485</v>
      </c>
      <c r="H139" s="90">
        <f>ROUND(SUM(Ｎ!H40:H45)/6,0)</f>
        <v>5008</v>
      </c>
      <c r="I139" s="58">
        <f>ROUND(SUM(Ｎ!I40:I45)/6,0)</f>
        <v>74217</v>
      </c>
      <c r="J139" s="55">
        <f>ROUND(SUM(Ｎ!J40:J45)/6,0)</f>
        <v>63940</v>
      </c>
      <c r="K139" s="55">
        <f>ROUND(SUM(Ｎ!K40:K45)/6,0)</f>
        <v>48702</v>
      </c>
      <c r="L139" s="89">
        <f>ROUND(SUM(Ｎ!L40:L45)/6,0)</f>
        <v>15239</v>
      </c>
      <c r="M139" s="55">
        <f>ROUND(SUM(Ｎ!M40:M45)/6,0)</f>
        <v>10276</v>
      </c>
      <c r="N139" s="55">
        <f>ROUND(SUM(Ｎ!N40:N45)/6,0)</f>
        <v>7418</v>
      </c>
      <c r="O139" s="90">
        <f>ROUND(SUM(Ｎ!O40:O45)/6,0)</f>
        <v>2859</v>
      </c>
      <c r="P139" s="58">
        <f>ROUND(SUM(Ｎ!P40:P45)/6,0)</f>
        <v>99090</v>
      </c>
      <c r="Q139" s="55">
        <f>ROUND(SUM(Ｎ!Q40:Q45)/6,0)</f>
        <v>288192</v>
      </c>
      <c r="R139" s="60">
        <f>Ｎ!D139/Ｎ!P139</f>
        <v>0.3664244626097487</v>
      </c>
      <c r="S139" s="61">
        <f>Ｎ!I139/Ｎ!Q139</f>
        <v>0.2575262325116589</v>
      </c>
      <c r="T139" s="62">
        <f>Ｎ!M139/Ｎ!I139</f>
        <v>0.13845884366115579</v>
      </c>
    </row>
    <row r="140" spans="3:20" x14ac:dyDescent="0.2">
      <c r="C140" s="53">
        <v>9</v>
      </c>
      <c r="D140" s="58">
        <f>ROUND(SUM(Ｎ!D41:D46)/6,0)</f>
        <v>36410</v>
      </c>
      <c r="E140" s="55">
        <f>Ｎ!F140+Ｎ!G140</f>
        <v>31384</v>
      </c>
      <c r="F140" s="55">
        <f>Ｎ!D140-Ｎ!H140-Ｎ!G140</f>
        <v>29894</v>
      </c>
      <c r="G140" s="89">
        <f>ROUND(SUM(Ｎ!G41:G46)/6,0)</f>
        <v>1490</v>
      </c>
      <c r="H140" s="90">
        <f>ROUND(SUM(Ｎ!H41:H46)/6,0)</f>
        <v>5026</v>
      </c>
      <c r="I140" s="58">
        <f>ROUND(SUM(Ｎ!I41:I46)/6,0)</f>
        <v>74318</v>
      </c>
      <c r="J140" s="55">
        <f>ROUND(SUM(Ｎ!J41:J46)/6,0)</f>
        <v>64004</v>
      </c>
      <c r="K140" s="55">
        <f>ROUND(SUM(Ｎ!K41:K46)/6,0)</f>
        <v>48677</v>
      </c>
      <c r="L140" s="89">
        <f>ROUND(SUM(Ｎ!L41:L46)/6,0)</f>
        <v>15326</v>
      </c>
      <c r="M140" s="55">
        <f>ROUND(SUM(Ｎ!M41:M46)/6,0)</f>
        <v>10314</v>
      </c>
      <c r="N140" s="55">
        <f>ROUND(SUM(Ｎ!N41:N46)/6,0)</f>
        <v>7446</v>
      </c>
      <c r="O140" s="90">
        <f>ROUND(SUM(Ｎ!O41:O46)/6,0)</f>
        <v>2868</v>
      </c>
      <c r="P140" s="58">
        <f>ROUND(SUM(Ｎ!P41:P46)/6,0)</f>
        <v>99262</v>
      </c>
      <c r="Q140" s="55">
        <f>ROUND(SUM(Ｎ!Q41:Q46)/6,0)</f>
        <v>288371</v>
      </c>
      <c r="R140" s="60">
        <f>Ｎ!D140/Ｎ!P140</f>
        <v>0.36680703592512742</v>
      </c>
      <c r="S140" s="61">
        <f>Ｎ!I140/Ｎ!Q140</f>
        <v>0.25771662199042206</v>
      </c>
      <c r="T140" s="62">
        <f>Ｎ!M140/Ｎ!I140</f>
        <v>0.1387819909039533</v>
      </c>
    </row>
    <row r="141" spans="3:20" x14ac:dyDescent="0.2">
      <c r="C141" s="53">
        <v>10</v>
      </c>
      <c r="D141" s="48">
        <f>ROUND(SUM(Ｎ!D42:D47)/6,0)</f>
        <v>36506</v>
      </c>
      <c r="E141" s="45">
        <f>Ｎ!F141+Ｎ!G141</f>
        <v>31468</v>
      </c>
      <c r="F141" s="45">
        <f>Ｎ!D141-Ｎ!H141-Ｎ!G141</f>
        <v>29974</v>
      </c>
      <c r="G141" s="79">
        <f>ROUND(SUM(Ｎ!G42:G47)/6,0)</f>
        <v>1494</v>
      </c>
      <c r="H141" s="80">
        <f>ROUND(SUM(Ｎ!H42:H47)/6,0)</f>
        <v>5038</v>
      </c>
      <c r="I141" s="48">
        <f>ROUND(SUM(Ｎ!I42:I47)/6,0)</f>
        <v>74423</v>
      </c>
      <c r="J141" s="45">
        <f>ROUND(SUM(Ｎ!J42:J47)/6,0)</f>
        <v>64085</v>
      </c>
      <c r="K141" s="45">
        <f>ROUND(SUM(Ｎ!K42:K47)/6,0)</f>
        <v>48674</v>
      </c>
      <c r="L141" s="79">
        <f>ROUND(SUM(Ｎ!L42:L47)/6,0)</f>
        <v>15411</v>
      </c>
      <c r="M141" s="45">
        <f>ROUND(SUM(Ｎ!M42:M47)/6,0)</f>
        <v>10337</v>
      </c>
      <c r="N141" s="45">
        <f>ROUND(SUM(Ｎ!N42:N47)/6,0)</f>
        <v>7466</v>
      </c>
      <c r="O141" s="80">
        <f>ROUND(SUM(Ｎ!O42:O47)/6,0)</f>
        <v>2871</v>
      </c>
      <c r="P141" s="48">
        <f>ROUND(SUM(Ｎ!P42:P47)/6,0)</f>
        <v>99390</v>
      </c>
      <c r="Q141" s="45">
        <f>ROUND(SUM(Ｎ!Q42:Q47)/6,0)</f>
        <v>288514</v>
      </c>
      <c r="R141" s="50">
        <f>Ｎ!D141/Ｎ!P141</f>
        <v>0.36730053325284234</v>
      </c>
      <c r="S141" s="51">
        <f>Ｎ!I141/Ｎ!Q141</f>
        <v>0.25795282031374561</v>
      </c>
      <c r="T141" s="52">
        <f>Ｎ!M141/Ｎ!I141</f>
        <v>0.13889523400024187</v>
      </c>
    </row>
    <row r="142" spans="3:20" x14ac:dyDescent="0.2">
      <c r="C142" s="43">
        <v>11</v>
      </c>
      <c r="D142" s="48">
        <f>ROUND(SUM(Ｎ!D43:D48)/6,0)</f>
        <v>36601</v>
      </c>
      <c r="E142" s="45">
        <f>Ｎ!F142+Ｎ!G142</f>
        <v>31548</v>
      </c>
      <c r="F142" s="45">
        <f>Ｎ!D142-Ｎ!H142-Ｎ!G142</f>
        <v>30050</v>
      </c>
      <c r="G142" s="79">
        <f>ROUND(SUM(Ｎ!G43:G48)/6,0)</f>
        <v>1498</v>
      </c>
      <c r="H142" s="80">
        <f>ROUND(SUM(Ｎ!H43:H48)/6,0)</f>
        <v>5053</v>
      </c>
      <c r="I142" s="48">
        <f>ROUND(SUM(Ｎ!I43:I48)/6,0)</f>
        <v>74536</v>
      </c>
      <c r="J142" s="45">
        <f>ROUND(SUM(Ｎ!J43:J48)/6,0)</f>
        <v>64174</v>
      </c>
      <c r="K142" s="45">
        <f>ROUND(SUM(Ｎ!K43:K48)/6,0)</f>
        <v>48671</v>
      </c>
      <c r="L142" s="79">
        <f>ROUND(SUM(Ｎ!L43:L48)/6,0)</f>
        <v>15503</v>
      </c>
      <c r="M142" s="45">
        <f>ROUND(SUM(Ｎ!M43:M48)/6,0)</f>
        <v>10362</v>
      </c>
      <c r="N142" s="45">
        <f>ROUND(SUM(Ｎ!N43:N48)/6,0)</f>
        <v>7489</v>
      </c>
      <c r="O142" s="80">
        <f>ROUND(SUM(Ｎ!O43:O48)/6,0)</f>
        <v>2873</v>
      </c>
      <c r="P142" s="48">
        <f>ROUND(SUM(Ｎ!P43:P48)/6,0)</f>
        <v>99514</v>
      </c>
      <c r="Q142" s="45">
        <f>ROUND(SUM(Ｎ!Q43:Q48)/6,0)</f>
        <v>288654</v>
      </c>
      <c r="R142" s="50">
        <f>Ｎ!D142/Ｎ!P142</f>
        <v>0.36779749582973248</v>
      </c>
      <c r="S142" s="51">
        <f>Ｎ!I142/Ｎ!Q142</f>
        <v>0.25821918282788392</v>
      </c>
      <c r="T142" s="52">
        <f>Ｎ!M142/Ｎ!I142</f>
        <v>0.13902007083825266</v>
      </c>
    </row>
    <row r="143" spans="3:20" x14ac:dyDescent="0.2">
      <c r="C143" s="43">
        <v>12</v>
      </c>
      <c r="D143" s="48">
        <f>ROUND(SUM(Ｎ!D44:D49)/6,0)</f>
        <v>36683</v>
      </c>
      <c r="E143" s="55">
        <f>Ｎ!F143+Ｎ!G143</f>
        <v>31626</v>
      </c>
      <c r="F143" s="55">
        <f>Ｎ!D143-Ｎ!H143-Ｎ!G143</f>
        <v>30125</v>
      </c>
      <c r="G143" s="89">
        <f>ROUND(SUM(Ｎ!G44:G49)/6,0)</f>
        <v>1501</v>
      </c>
      <c r="H143" s="90">
        <f>ROUND(SUM(Ｎ!H44:H49)/6,0)</f>
        <v>5057</v>
      </c>
      <c r="I143" s="58">
        <f>ROUND(SUM(Ｎ!I44:I49)/6,0)</f>
        <v>74651</v>
      </c>
      <c r="J143" s="55">
        <f>ROUND(SUM(Ｎ!J44:J49)/6,0)</f>
        <v>64281</v>
      </c>
      <c r="K143" s="55">
        <f>ROUND(SUM(Ｎ!K44:K49)/6,0)</f>
        <v>48685</v>
      </c>
      <c r="L143" s="89">
        <f>ROUND(SUM(Ｎ!L44:L49)/6,0)</f>
        <v>15596</v>
      </c>
      <c r="M143" s="55">
        <f>ROUND(SUM(Ｎ!M44:M49)/6,0)</f>
        <v>10370</v>
      </c>
      <c r="N143" s="55">
        <f>ROUND(SUM(Ｎ!N44:N49)/6,0)</f>
        <v>7496</v>
      </c>
      <c r="O143" s="90">
        <f>ROUND(SUM(Ｎ!O44:O49)/6,0)</f>
        <v>2874</v>
      </c>
      <c r="P143" s="58">
        <f>ROUND(SUM(Ｎ!P44:P49)/6,0)</f>
        <v>99614</v>
      </c>
      <c r="Q143" s="55">
        <f>ROUND(SUM(Ｎ!Q44:Q49)/6,0)</f>
        <v>288756</v>
      </c>
      <c r="R143" s="60">
        <f>Ｎ!D143/Ｎ!P143</f>
        <v>0.36825145059931336</v>
      </c>
      <c r="S143" s="61">
        <f>Ｎ!I143/Ｎ!Q143</f>
        <v>0.25852622975799638</v>
      </c>
      <c r="T143" s="62">
        <f>Ｎ!M143/Ｎ!I143</f>
        <v>0.13891307551137963</v>
      </c>
    </row>
    <row r="144" spans="3:20" x14ac:dyDescent="0.2">
      <c r="C144" s="53">
        <v>1</v>
      </c>
      <c r="D144" s="48">
        <f>ROUND(SUM(Ｎ!D45:D50)/6,0)</f>
        <v>36768</v>
      </c>
      <c r="E144" s="45">
        <f>Ｎ!F144+Ｎ!G144</f>
        <v>31706</v>
      </c>
      <c r="F144" s="45">
        <f>Ｎ!D144-Ｎ!H144-Ｎ!G144</f>
        <v>30204</v>
      </c>
      <c r="G144" s="79">
        <f>ROUND(SUM(Ｎ!G45:G50)/6,0)</f>
        <v>1502</v>
      </c>
      <c r="H144" s="80">
        <f>ROUND(SUM(Ｎ!H45:H50)/6,0)</f>
        <v>5062</v>
      </c>
      <c r="I144" s="48">
        <f>ROUND(SUM(Ｎ!I45:I50)/6,0)</f>
        <v>74787</v>
      </c>
      <c r="J144" s="45">
        <f>ROUND(SUM(Ｎ!J45:J50)/6,0)</f>
        <v>64407</v>
      </c>
      <c r="K144" s="45">
        <f>ROUND(SUM(Ｎ!K45:K50)/6,0)</f>
        <v>48717</v>
      </c>
      <c r="L144" s="79">
        <f>ROUND(SUM(Ｎ!L45:L50)/6,0)</f>
        <v>15690</v>
      </c>
      <c r="M144" s="45">
        <f>ROUND(SUM(Ｎ!M45:M50)/6,0)</f>
        <v>10380</v>
      </c>
      <c r="N144" s="45">
        <f>ROUND(SUM(Ｎ!N45:N50)/6,0)</f>
        <v>7504</v>
      </c>
      <c r="O144" s="80">
        <f>ROUND(SUM(Ｎ!O45:O50)/6,0)</f>
        <v>2876</v>
      </c>
      <c r="P144" s="48">
        <f>ROUND(SUM(Ｎ!P45:P50)/6,0)</f>
        <v>99717</v>
      </c>
      <c r="Q144" s="45">
        <f>ROUND(SUM(Ｎ!Q45:Q50)/6,0)</f>
        <v>288881</v>
      </c>
      <c r="R144" s="50">
        <f>Ｎ!D144/Ｎ!P144</f>
        <v>0.36872348746953881</v>
      </c>
      <c r="S144" s="51">
        <f>Ｎ!I144/Ｎ!Q144</f>
        <v>0.25888514647900002</v>
      </c>
      <c r="T144" s="52">
        <f>Ｎ!M144/Ｎ!I144</f>
        <v>0.13879417545830158</v>
      </c>
    </row>
    <row r="145" spans="3:20" x14ac:dyDescent="0.2">
      <c r="C145" s="43">
        <v>2</v>
      </c>
      <c r="D145" s="48">
        <f>ROUND(SUM(Ｎ!D46:D51)/6,0)</f>
        <v>36848</v>
      </c>
      <c r="E145" s="45">
        <f>Ｎ!F145+Ｎ!G145</f>
        <v>31789</v>
      </c>
      <c r="F145" s="45">
        <f>Ｎ!D145-Ｎ!H145-Ｎ!G145</f>
        <v>30286</v>
      </c>
      <c r="G145" s="79">
        <f>ROUND(SUM(Ｎ!G46:G51)/6,0)</f>
        <v>1503</v>
      </c>
      <c r="H145" s="80">
        <f>ROUND(SUM(Ｎ!H46:H51)/6,0)</f>
        <v>5059</v>
      </c>
      <c r="I145" s="48">
        <f>ROUND(SUM(Ｎ!I46:I51)/6,0)</f>
        <v>74919</v>
      </c>
      <c r="J145" s="45">
        <f>ROUND(SUM(Ｎ!J46:J51)/6,0)</f>
        <v>64545</v>
      </c>
      <c r="K145" s="45">
        <f>ROUND(SUM(Ｎ!K46:K51)/6,0)</f>
        <v>48751</v>
      </c>
      <c r="L145" s="79">
        <f>ROUND(SUM(Ｎ!L46:L51)/6,0)</f>
        <v>15795</v>
      </c>
      <c r="M145" s="45">
        <f>ROUND(SUM(Ｎ!M46:M51)/6,0)</f>
        <v>10374</v>
      </c>
      <c r="N145" s="45">
        <f>ROUND(SUM(Ｎ!N46:N51)/6,0)</f>
        <v>7501</v>
      </c>
      <c r="O145" s="80">
        <f>ROUND(SUM(Ｎ!O46:O51)/6,0)</f>
        <v>2873</v>
      </c>
      <c r="P145" s="48">
        <f>ROUND(SUM(Ｎ!P46:P51)/6,0)</f>
        <v>99820</v>
      </c>
      <c r="Q145" s="45">
        <f>ROUND(SUM(Ｎ!Q46:Q51)/6,0)</f>
        <v>289011</v>
      </c>
      <c r="R145" s="50">
        <f>Ｎ!D145/Ｎ!P145</f>
        <v>0.36914446002805051</v>
      </c>
      <c r="S145" s="51">
        <f>Ｎ!I145/Ｎ!Q145</f>
        <v>0.25922542740587728</v>
      </c>
      <c r="T145" s="52">
        <f>Ｎ!M145/Ｎ!I145</f>
        <v>0.13846954711087975</v>
      </c>
    </row>
    <row r="146" spans="3:20" x14ac:dyDescent="0.2">
      <c r="C146" s="91">
        <v>3</v>
      </c>
      <c r="D146" s="92">
        <f>ROUND(SUM(Ｎ!D47:D52)/6,0)</f>
        <v>36927</v>
      </c>
      <c r="E146" s="289">
        <f>Ｎ!F146+Ｎ!G146</f>
        <v>31871</v>
      </c>
      <c r="F146" s="289">
        <f>Ｎ!D146-Ｎ!H146-Ｎ!G146</f>
        <v>30368</v>
      </c>
      <c r="G146" s="290">
        <f>ROUND(SUM(Ｎ!G47:G52)/6,0)</f>
        <v>1503</v>
      </c>
      <c r="H146" s="291">
        <f>ROUND(SUM(Ｎ!H47:H52)/6,0)</f>
        <v>5056</v>
      </c>
      <c r="I146" s="292">
        <f>ROUND(SUM(Ｎ!I47:I52)/6,0)</f>
        <v>75042</v>
      </c>
      <c r="J146" s="289">
        <f>ROUND(SUM(Ｎ!J47:J52)/6,0)</f>
        <v>64678</v>
      </c>
      <c r="K146" s="289">
        <f>ROUND(SUM(Ｎ!K47:K52)/6,0)</f>
        <v>48777</v>
      </c>
      <c r="L146" s="290">
        <f>ROUND(SUM(Ｎ!L47:L52)/6,0)</f>
        <v>15901</v>
      </c>
      <c r="M146" s="289">
        <f>ROUND(SUM(Ｎ!M47:M52)/6,0)</f>
        <v>10364</v>
      </c>
      <c r="N146" s="289">
        <f>ROUND(SUM(Ｎ!N47:N52)/6,0)</f>
        <v>7497</v>
      </c>
      <c r="O146" s="291">
        <f>ROUND(SUM(Ｎ!O47:O52)/6,0)</f>
        <v>2867</v>
      </c>
      <c r="P146" s="292">
        <f>ROUND(SUM(Ｎ!P47:P52)/6,0)</f>
        <v>99891</v>
      </c>
      <c r="Q146" s="289">
        <f>ROUND(SUM(Ｎ!Q47:Q52)/6,0)</f>
        <v>289021</v>
      </c>
      <c r="R146" s="293">
        <f>Ｎ!D146/Ｎ!P146</f>
        <v>0.36967294350842417</v>
      </c>
      <c r="S146" s="294">
        <f>Ｎ!I146/Ｎ!Q146</f>
        <v>0.25964203293186311</v>
      </c>
      <c r="T146" s="295">
        <f>Ｎ!M146/Ｎ!I146</f>
        <v>0.13810932544441779</v>
      </c>
    </row>
    <row r="147" spans="3:20" x14ac:dyDescent="0.2">
      <c r="C147" s="296" t="s">
        <v>2780</v>
      </c>
      <c r="D147" s="297">
        <f>ROUND(SUM(Ｎ!D48:D53)/6,0)</f>
        <v>37036</v>
      </c>
      <c r="E147" s="298">
        <f>Ｎ!F147+Ｎ!G147</f>
        <v>31966</v>
      </c>
      <c r="F147" s="298">
        <f>Ｎ!D147-Ｎ!H147-Ｎ!G147</f>
        <v>30461</v>
      </c>
      <c r="G147" s="299">
        <f>ROUND(SUM(Ｎ!G48:G53)/6,0)</f>
        <v>1505</v>
      </c>
      <c r="H147" s="300">
        <f>ROUND(SUM(Ｎ!H48:H53)/6,0)</f>
        <v>5070</v>
      </c>
      <c r="I147" s="297">
        <f>ROUND(SUM(Ｎ!I48:I53)/6,0)</f>
        <v>75190</v>
      </c>
      <c r="J147" s="298">
        <f>ROUND(SUM(Ｎ!J48:J53)/6,0)</f>
        <v>64800</v>
      </c>
      <c r="K147" s="298">
        <f>ROUND(SUM(Ｎ!K48:K53)/6,0)</f>
        <v>48785</v>
      </c>
      <c r="L147" s="299">
        <f>ROUND(SUM(Ｎ!L48:L53)/6,0)</f>
        <v>16015</v>
      </c>
      <c r="M147" s="298">
        <f>ROUND(SUM(Ｎ!M48:M53)/6,0)</f>
        <v>10390</v>
      </c>
      <c r="N147" s="298">
        <f>ROUND(SUM(Ｎ!N48:N53)/6,0)</f>
        <v>7514</v>
      </c>
      <c r="O147" s="300">
        <f>ROUND(SUM(Ｎ!O48:O53)/6,0)</f>
        <v>2877</v>
      </c>
      <c r="P147" s="297">
        <f>ROUND(SUM(Ｎ!P48:P53)/6,0)</f>
        <v>100020</v>
      </c>
      <c r="Q147" s="298">
        <f>ROUND(SUM(Ｎ!Q48:Q53)/6,0)</f>
        <v>289071</v>
      </c>
      <c r="R147" s="301">
        <f>Ｎ!D147/Ｎ!P147</f>
        <v>0.37028594281143773</v>
      </c>
      <c r="S147" s="302">
        <f>Ｎ!I147/Ｎ!Q147</f>
        <v>0.26010910814298216</v>
      </c>
      <c r="T147" s="303">
        <f>Ｎ!M147/Ｎ!I147</f>
        <v>0.13818326905173561</v>
      </c>
    </row>
    <row r="148" spans="3:20" x14ac:dyDescent="0.2">
      <c r="C148" s="53">
        <v>5</v>
      </c>
      <c r="D148" s="48">
        <f>ROUND(SUM(Ｎ!D49:D54)/6,0)</f>
        <v>37144</v>
      </c>
      <c r="E148" s="45">
        <f>Ｎ!F148+Ｎ!G148</f>
        <v>32064</v>
      </c>
      <c r="F148" s="45">
        <f>Ｎ!D148-Ｎ!H148-Ｎ!G148</f>
        <v>30556</v>
      </c>
      <c r="G148" s="79">
        <f>ROUND(SUM(Ｎ!G49:G54)/6,0)</f>
        <v>1508</v>
      </c>
      <c r="H148" s="80">
        <f>ROUND(SUM(Ｎ!H49:H54)/6,0)</f>
        <v>5080</v>
      </c>
      <c r="I148" s="48">
        <f>ROUND(SUM(Ｎ!I49:I54)/6,0)</f>
        <v>75322</v>
      </c>
      <c r="J148" s="45">
        <f>ROUND(SUM(Ｎ!J49:J54)/6,0)</f>
        <v>64909</v>
      </c>
      <c r="K148" s="45">
        <f>ROUND(SUM(Ｎ!K49:K54)/6,0)</f>
        <v>48788</v>
      </c>
      <c r="L148" s="79">
        <f>ROUND(SUM(Ｎ!L49:L54)/6,0)</f>
        <v>16121</v>
      </c>
      <c r="M148" s="45">
        <f>ROUND(SUM(Ｎ!M49:M54)/6,0)</f>
        <v>10413</v>
      </c>
      <c r="N148" s="45">
        <f>ROUND(SUM(Ｎ!N49:N54)/6,0)</f>
        <v>7526</v>
      </c>
      <c r="O148" s="80">
        <f>ROUND(SUM(Ｎ!O49:O54)/6,0)</f>
        <v>2887</v>
      </c>
      <c r="P148" s="48">
        <f>ROUND(SUM(Ｎ!P49:P54)/6,0)</f>
        <v>100174</v>
      </c>
      <c r="Q148" s="45">
        <f>ROUND(SUM(Ｎ!Q49:Q54)/6,0)</f>
        <v>289146</v>
      </c>
      <c r="R148" s="50">
        <f>Ｎ!D148/Ｎ!P148</f>
        <v>0.37079481701838801</v>
      </c>
      <c r="S148" s="51">
        <f>Ｎ!I148/Ｎ!Q148</f>
        <v>0.2604981566405899</v>
      </c>
      <c r="T148" s="52">
        <f>Ｎ!M148/Ｎ!I148</f>
        <v>0.13824646185709355</v>
      </c>
    </row>
    <row r="149" spans="3:20" x14ac:dyDescent="0.2">
      <c r="C149" s="43">
        <v>6</v>
      </c>
      <c r="D149" s="48">
        <f>ROUND(SUM(Ｎ!D50:D55)/6,0)</f>
        <v>37266</v>
      </c>
      <c r="E149" s="45">
        <f>Ｎ!F149+Ｎ!G149</f>
        <v>32169</v>
      </c>
      <c r="F149" s="45">
        <f>Ｎ!D149-Ｎ!H149-Ｎ!G149</f>
        <v>30656</v>
      </c>
      <c r="G149" s="79">
        <f>ROUND(SUM(Ｎ!G50:G55)/6,0)</f>
        <v>1513</v>
      </c>
      <c r="H149" s="80">
        <f>ROUND(SUM(Ｎ!H50:H55)/6,0)</f>
        <v>5097</v>
      </c>
      <c r="I149" s="48">
        <f>ROUND(SUM(Ｎ!I50:I55)/6,0)</f>
        <v>75458</v>
      </c>
      <c r="J149" s="45">
        <f>ROUND(SUM(Ｎ!J50:J55)/6,0)</f>
        <v>65013</v>
      </c>
      <c r="K149" s="45">
        <f>ROUND(SUM(Ｎ!K50:K55)/6,0)</f>
        <v>48786</v>
      </c>
      <c r="L149" s="79">
        <f>ROUND(SUM(Ｎ!L50:L55)/6,0)</f>
        <v>16227</v>
      </c>
      <c r="M149" s="45">
        <f>ROUND(SUM(Ｎ!M50:M55)/6,0)</f>
        <v>10445</v>
      </c>
      <c r="N149" s="45">
        <f>ROUND(SUM(Ｎ!N50:N55)/6,0)</f>
        <v>7549</v>
      </c>
      <c r="O149" s="80">
        <f>ROUND(SUM(Ｎ!O50:O55)/6,0)</f>
        <v>2896</v>
      </c>
      <c r="P149" s="48">
        <f>ROUND(SUM(Ｎ!P50:P55)/6,0)</f>
        <v>100363</v>
      </c>
      <c r="Q149" s="45">
        <f>ROUND(SUM(Ｎ!Q50:Q55)/6,0)</f>
        <v>289267</v>
      </c>
      <c r="R149" s="50">
        <f>Ｎ!D149/Ｎ!P149</f>
        <v>0.37131213694289728</v>
      </c>
      <c r="S149" s="51">
        <f>Ｎ!I149/Ｎ!Q149</f>
        <v>0.26085934448105036</v>
      </c>
      <c r="T149" s="52">
        <f>Ｎ!M149/Ｎ!I149</f>
        <v>0.13842137347928649</v>
      </c>
    </row>
    <row r="150" spans="3:20" x14ac:dyDescent="0.2">
      <c r="C150" s="43">
        <v>7</v>
      </c>
      <c r="D150" s="48">
        <f>ROUND(SUM(Ｎ!D51:D56)/6,0)</f>
        <v>37392</v>
      </c>
      <c r="E150" s="55">
        <f>Ｎ!F150+Ｎ!G150</f>
        <v>32275</v>
      </c>
      <c r="F150" s="55">
        <f>Ｎ!D150-Ｎ!H150-Ｎ!G150</f>
        <v>30755</v>
      </c>
      <c r="G150" s="89">
        <f>ROUND(SUM(Ｎ!G51:G56)/6,0)</f>
        <v>1520</v>
      </c>
      <c r="H150" s="90">
        <f>ROUND(SUM(Ｎ!H51:H56)/6,0)</f>
        <v>5117</v>
      </c>
      <c r="I150" s="58">
        <f>ROUND(SUM(Ｎ!I51:I56)/6,0)</f>
        <v>75582</v>
      </c>
      <c r="J150" s="55">
        <f>ROUND(SUM(Ｎ!J51:J56)/6,0)</f>
        <v>65097</v>
      </c>
      <c r="K150" s="55">
        <f>ROUND(SUM(Ｎ!K51:K56)/6,0)</f>
        <v>48765</v>
      </c>
      <c r="L150" s="89">
        <f>ROUND(SUM(Ｎ!L51:L56)/6,0)</f>
        <v>16332</v>
      </c>
      <c r="M150" s="55">
        <f>ROUND(SUM(Ｎ!M51:M56)/6,0)</f>
        <v>10485</v>
      </c>
      <c r="N150" s="55">
        <f>ROUND(SUM(Ｎ!N51:N56)/6,0)</f>
        <v>7577</v>
      </c>
      <c r="O150" s="90">
        <f>ROUND(SUM(Ｎ!O51:O56)/6,0)</f>
        <v>2908</v>
      </c>
      <c r="P150" s="58">
        <f>ROUND(SUM(Ｎ!P51:P56)/6,0)</f>
        <v>100564</v>
      </c>
      <c r="Q150" s="55">
        <f>ROUND(SUM(Ｎ!Q51:Q56)/6,0)</f>
        <v>289401</v>
      </c>
      <c r="R150" s="60">
        <f>Ｎ!D150/Ｎ!P150</f>
        <v>0.37182291873831591</v>
      </c>
      <c r="S150" s="61">
        <f>Ｎ!I150/Ｎ!Q150</f>
        <v>0.26116703121274631</v>
      </c>
      <c r="T150" s="62">
        <f>Ｎ!M150/Ｎ!I150</f>
        <v>0.13872350559657062</v>
      </c>
    </row>
    <row r="151" spans="3:20" x14ac:dyDescent="0.2">
      <c r="C151" s="53">
        <v>8</v>
      </c>
      <c r="D151" s="48">
        <f>ROUND(SUM(Ｎ!D52:D57)/6,0)</f>
        <v>37537</v>
      </c>
      <c r="E151" s="55">
        <f>Ｎ!F151+Ｎ!G151</f>
        <v>32395</v>
      </c>
      <c r="F151" s="55">
        <f>Ｎ!D151-Ｎ!H151-Ｎ!G151</f>
        <v>30868</v>
      </c>
      <c r="G151" s="89">
        <f>ROUND(SUM(Ｎ!G52:G57)/6,0)</f>
        <v>1527</v>
      </c>
      <c r="H151" s="90">
        <f>ROUND(SUM(Ｎ!H52:H57)/6,0)</f>
        <v>5142</v>
      </c>
      <c r="I151" s="58">
        <f>ROUND(SUM(Ｎ!I52:I57)/6,0)</f>
        <v>75736</v>
      </c>
      <c r="J151" s="55">
        <f>ROUND(SUM(Ｎ!J52:J57)/6,0)</f>
        <v>65204</v>
      </c>
      <c r="K151" s="55">
        <f>ROUND(SUM(Ｎ!K52:K57)/6,0)</f>
        <v>48771</v>
      </c>
      <c r="L151" s="89">
        <f>ROUND(SUM(Ｎ!L52:L57)/6,0)</f>
        <v>16433</v>
      </c>
      <c r="M151" s="55">
        <f>ROUND(SUM(Ｎ!M52:M57)/6,0)</f>
        <v>10531</v>
      </c>
      <c r="N151" s="55">
        <f>ROUND(SUM(Ｎ!N52:N57)/6,0)</f>
        <v>7611</v>
      </c>
      <c r="O151" s="90">
        <f>ROUND(SUM(Ｎ!O52:O57)/6,0)</f>
        <v>2921</v>
      </c>
      <c r="P151" s="58">
        <f>ROUND(SUM(Ｎ!P52:P57)/6,0)</f>
        <v>100770</v>
      </c>
      <c r="Q151" s="55">
        <f>ROUND(SUM(Ｎ!Q52:Q57)/6,0)</f>
        <v>289529</v>
      </c>
      <c r="R151" s="60">
        <f>Ｎ!D151/Ｎ!P151</f>
        <v>0.37250173662796465</v>
      </c>
      <c r="S151" s="61">
        <f>Ｎ!I151/Ｎ!Q151</f>
        <v>0.26158346832268958</v>
      </c>
      <c r="T151" s="62">
        <f>Ｎ!M151/Ｎ!I151</f>
        <v>0.13904880109855286</v>
      </c>
    </row>
    <row r="152" spans="3:20" x14ac:dyDescent="0.2">
      <c r="C152" s="53">
        <v>9</v>
      </c>
      <c r="D152" s="58">
        <f>ROUND(SUM(Ｎ!D53:D58)/6,0)</f>
        <v>37676</v>
      </c>
      <c r="E152" s="55">
        <f>Ｎ!F152+Ｎ!G152</f>
        <v>32498</v>
      </c>
      <c r="F152" s="55">
        <f>Ｎ!D152-Ｎ!H152-Ｎ!G152</f>
        <v>30968</v>
      </c>
      <c r="G152" s="89">
        <f>ROUND(SUM(Ｎ!G53:G58)/6,0)</f>
        <v>1530</v>
      </c>
      <c r="H152" s="90">
        <f>ROUND(SUM(Ｎ!H53:H58)/6,0)</f>
        <v>5178</v>
      </c>
      <c r="I152" s="58">
        <f>ROUND(SUM(Ｎ!I53:I58)/6,0)</f>
        <v>75880</v>
      </c>
      <c r="J152" s="55">
        <f>ROUND(SUM(Ｎ!J53:J58)/6,0)</f>
        <v>65281</v>
      </c>
      <c r="K152" s="55">
        <f>ROUND(SUM(Ｎ!K53:K58)/6,0)</f>
        <v>48747</v>
      </c>
      <c r="L152" s="89">
        <f>ROUND(SUM(Ｎ!L53:L58)/6,0)</f>
        <v>16534</v>
      </c>
      <c r="M152" s="55">
        <f>ROUND(SUM(Ｎ!M53:M58)/6,0)</f>
        <v>10599</v>
      </c>
      <c r="N152" s="55">
        <f>ROUND(SUM(Ｎ!N53:N58)/6,0)</f>
        <v>7656</v>
      </c>
      <c r="O152" s="90">
        <f>ROUND(SUM(Ｎ!O53:O58)/6,0)</f>
        <v>2944</v>
      </c>
      <c r="P152" s="58">
        <f>ROUND(SUM(Ｎ!P53:P58)/6,0)</f>
        <v>100988</v>
      </c>
      <c r="Q152" s="55">
        <f>ROUND(SUM(Ｎ!Q53:Q58)/6,0)</f>
        <v>289754</v>
      </c>
      <c r="R152" s="60">
        <f>Ｎ!D152/Ｎ!P152</f>
        <v>0.37307402859745714</v>
      </c>
      <c r="S152" s="61">
        <f>Ｎ!I152/Ｎ!Q152</f>
        <v>0.2618773166203055</v>
      </c>
      <c r="T152" s="62">
        <f>Ｎ!M152/Ｎ!I152</f>
        <v>0.13968107538218238</v>
      </c>
    </row>
    <row r="153" spans="3:20" x14ac:dyDescent="0.2">
      <c r="C153" s="53">
        <v>10</v>
      </c>
      <c r="D153" s="48">
        <f>ROUND(SUM(Ｎ!D54:D59)/6,0)</f>
        <v>37787</v>
      </c>
      <c r="E153" s="45">
        <f>Ｎ!F153+Ｎ!G153</f>
        <v>32592</v>
      </c>
      <c r="F153" s="45">
        <f>Ｎ!D153-Ｎ!H153-Ｎ!G153</f>
        <v>31062</v>
      </c>
      <c r="G153" s="79">
        <f>ROUND(SUM(Ｎ!G54:G59)/6,0)</f>
        <v>1530</v>
      </c>
      <c r="H153" s="80">
        <f>ROUND(SUM(Ｎ!H54:H59)/6,0)</f>
        <v>5195</v>
      </c>
      <c r="I153" s="48">
        <f>ROUND(SUM(Ｎ!I54:I59)/6,0)</f>
        <v>75996</v>
      </c>
      <c r="J153" s="45">
        <f>ROUND(SUM(Ｎ!J54:J59)/6,0)</f>
        <v>65370</v>
      </c>
      <c r="K153" s="45">
        <f>ROUND(SUM(Ｎ!K54:K59)/6,0)</f>
        <v>48740</v>
      </c>
      <c r="L153" s="79">
        <f>ROUND(SUM(Ｎ!L54:L59)/6,0)</f>
        <v>16630</v>
      </c>
      <c r="M153" s="45">
        <f>ROUND(SUM(Ｎ!M54:M59)/6,0)</f>
        <v>10626</v>
      </c>
      <c r="N153" s="45">
        <f>ROUND(SUM(Ｎ!N54:N59)/6,0)</f>
        <v>7673</v>
      </c>
      <c r="O153" s="80">
        <f>ROUND(SUM(Ｎ!O54:O59)/6,0)</f>
        <v>2953</v>
      </c>
      <c r="P153" s="48">
        <f>ROUND(SUM(Ｎ!P54:P59)/6,0)</f>
        <v>101145</v>
      </c>
      <c r="Q153" s="45">
        <f>ROUND(SUM(Ｎ!Q54:Q59)/6,0)</f>
        <v>289922</v>
      </c>
      <c r="R153" s="50">
        <f>Ｎ!D153/Ｎ!P153</f>
        <v>0.37359236739334617</v>
      </c>
      <c r="S153" s="51">
        <f>Ｎ!I153/Ｎ!Q153</f>
        <v>0.26212567518160057</v>
      </c>
      <c r="T153" s="52">
        <f>Ｎ!M153/Ｎ!I153</f>
        <v>0.13982314858676773</v>
      </c>
    </row>
    <row r="154" spans="3:20" x14ac:dyDescent="0.2">
      <c r="C154" s="43">
        <v>11</v>
      </c>
      <c r="D154" s="48">
        <f>ROUND(SUM(Ｎ!D55:D60)/6,0)</f>
        <v>37891</v>
      </c>
      <c r="E154" s="45">
        <f>Ｎ!F154+Ｎ!G154</f>
        <v>32672</v>
      </c>
      <c r="F154" s="45">
        <f>Ｎ!D154-Ｎ!H154-Ｎ!G154</f>
        <v>31139</v>
      </c>
      <c r="G154" s="79">
        <f>ROUND(SUM(Ｎ!G55:G60)/6,0)</f>
        <v>1533</v>
      </c>
      <c r="H154" s="80">
        <f>ROUND(SUM(Ｎ!H55:H60)/6,0)</f>
        <v>5219</v>
      </c>
      <c r="I154" s="48">
        <f>ROUND(SUM(Ｎ!I55:I60)/6,0)</f>
        <v>76125</v>
      </c>
      <c r="J154" s="45">
        <f>ROUND(SUM(Ｎ!J55:J60)/6,0)</f>
        <v>65454</v>
      </c>
      <c r="K154" s="45">
        <f>ROUND(SUM(Ｎ!K55:K60)/6,0)</f>
        <v>48727</v>
      </c>
      <c r="L154" s="79">
        <f>ROUND(SUM(Ｎ!L55:L60)/6,0)</f>
        <v>16728</v>
      </c>
      <c r="M154" s="45">
        <f>ROUND(SUM(Ｎ!M55:M60)/6,0)</f>
        <v>10670</v>
      </c>
      <c r="N154" s="45">
        <f>ROUND(SUM(Ｎ!N55:N60)/6,0)</f>
        <v>7705</v>
      </c>
      <c r="O154" s="80">
        <f>ROUND(SUM(Ｎ!O55:O60)/6,0)</f>
        <v>2965</v>
      </c>
      <c r="P154" s="48">
        <f>ROUND(SUM(Ｎ!P55:P60)/6,0)</f>
        <v>101278</v>
      </c>
      <c r="Q154" s="45">
        <f>ROUND(SUM(Ｎ!Q55:Q60)/6,0)</f>
        <v>290075</v>
      </c>
      <c r="R154" s="50">
        <f>Ｎ!D154/Ｎ!P154</f>
        <v>0.37412863603151719</v>
      </c>
      <c r="S154" s="51">
        <f>Ｎ!I154/Ｎ!Q154</f>
        <v>0.26243212962164958</v>
      </c>
      <c r="T154" s="52">
        <f>Ｎ!M154/Ｎ!I154</f>
        <v>0.14016420361247947</v>
      </c>
    </row>
    <row r="155" spans="3:20" x14ac:dyDescent="0.2">
      <c r="C155" s="43">
        <v>12</v>
      </c>
      <c r="D155" s="48">
        <f>ROUND(SUM(Ｎ!D56:D61)/6,0)</f>
        <v>37992</v>
      </c>
      <c r="E155" s="55">
        <f>Ｎ!F155+Ｎ!G155</f>
        <v>32754</v>
      </c>
      <c r="F155" s="55">
        <f>Ｎ!D155-Ｎ!H155-Ｎ!G155</f>
        <v>31221</v>
      </c>
      <c r="G155" s="89">
        <f>ROUND(SUM(Ｎ!G56:G61)/6,0)</f>
        <v>1533</v>
      </c>
      <c r="H155" s="90">
        <f>ROUND(SUM(Ｎ!H56:H61)/6,0)</f>
        <v>5238</v>
      </c>
      <c r="I155" s="58">
        <f>ROUND(SUM(Ｎ!I56:I61)/6,0)</f>
        <v>76258</v>
      </c>
      <c r="J155" s="55">
        <f>ROUND(SUM(Ｎ!J56:J61)/6,0)</f>
        <v>65554</v>
      </c>
      <c r="K155" s="55">
        <f>ROUND(SUM(Ｎ!K56:K61)/6,0)</f>
        <v>48730</v>
      </c>
      <c r="L155" s="89">
        <f>ROUND(SUM(Ｎ!L56:L61)/6,0)</f>
        <v>16823</v>
      </c>
      <c r="M155" s="55">
        <f>ROUND(SUM(Ｎ!M56:M61)/6,0)</f>
        <v>10705</v>
      </c>
      <c r="N155" s="55">
        <f>ROUND(SUM(Ｎ!N56:N61)/6,0)</f>
        <v>7725</v>
      </c>
      <c r="O155" s="90">
        <f>ROUND(SUM(Ｎ!O56:O61)/6,0)</f>
        <v>2980</v>
      </c>
      <c r="P155" s="58">
        <f>ROUND(SUM(Ｎ!P56:P61)/6,0)</f>
        <v>101394</v>
      </c>
      <c r="Q155" s="55">
        <f>ROUND(SUM(Ｎ!Q56:Q61)/6,0)</f>
        <v>290218</v>
      </c>
      <c r="R155" s="60">
        <f>Ｎ!D155/Ｎ!P155</f>
        <v>0.37469672761701878</v>
      </c>
      <c r="S155" s="61">
        <f>Ｎ!I155/Ｎ!Q155</f>
        <v>0.26276109683065835</v>
      </c>
      <c r="T155" s="62">
        <f>Ｎ!M155/Ｎ!I155</f>
        <v>0.14037871436439456</v>
      </c>
    </row>
    <row r="156" spans="3:20" x14ac:dyDescent="0.2">
      <c r="C156" s="53">
        <v>1</v>
      </c>
      <c r="D156" s="48">
        <f>ROUND(SUM(Ｎ!D57:D62)/6,0)</f>
        <v>38081</v>
      </c>
      <c r="E156" s="45">
        <f>Ｎ!F156+Ｎ!G156</f>
        <v>32835</v>
      </c>
      <c r="F156" s="45">
        <f>Ｎ!D156-Ｎ!H156-Ｎ!G156</f>
        <v>31303</v>
      </c>
      <c r="G156" s="79">
        <f>ROUND(SUM(Ｎ!G57:G62)/6,0)</f>
        <v>1532</v>
      </c>
      <c r="H156" s="80">
        <f>ROUND(SUM(Ｎ!H57:H62)/6,0)</f>
        <v>5246</v>
      </c>
      <c r="I156" s="48">
        <f>ROUND(SUM(Ｎ!I57:I62)/6,0)</f>
        <v>76379</v>
      </c>
      <c r="J156" s="45">
        <f>ROUND(SUM(Ｎ!J57:J62)/6,0)</f>
        <v>65658</v>
      </c>
      <c r="K156" s="45">
        <f>ROUND(SUM(Ｎ!K57:K62)/6,0)</f>
        <v>48750</v>
      </c>
      <c r="L156" s="79">
        <f>ROUND(SUM(Ｎ!L57:L62)/6,0)</f>
        <v>16908</v>
      </c>
      <c r="M156" s="45">
        <f>ROUND(SUM(Ｎ!M57:M62)/6,0)</f>
        <v>10721</v>
      </c>
      <c r="N156" s="45">
        <f>ROUND(SUM(Ｎ!N57:N62)/6,0)</f>
        <v>7733</v>
      </c>
      <c r="O156" s="80">
        <f>ROUND(SUM(Ｎ!O57:O62)/6,0)</f>
        <v>2988</v>
      </c>
      <c r="P156" s="48">
        <f>ROUND(SUM(Ｎ!P57:P62)/6,0)</f>
        <v>101492</v>
      </c>
      <c r="Q156" s="45">
        <f>ROUND(SUM(Ｎ!Q57:Q62)/6,0)</f>
        <v>290321</v>
      </c>
      <c r="R156" s="50">
        <f>Ｎ!D156/Ｎ!P156</f>
        <v>0.37521183935679658</v>
      </c>
      <c r="S156" s="51">
        <f>Ｎ!I156/Ｎ!Q156</f>
        <v>0.26308465457200825</v>
      </c>
      <c r="T156" s="52">
        <f>Ｎ!M156/Ｎ!I156</f>
        <v>0.14036580735542492</v>
      </c>
    </row>
    <row r="157" spans="3:20" x14ac:dyDescent="0.2">
      <c r="C157" s="43">
        <v>2</v>
      </c>
      <c r="D157" s="48">
        <f>ROUND(SUM(Ｎ!D58:D63)/6,0)</f>
        <v>38149</v>
      </c>
      <c r="E157" s="45">
        <f>Ｎ!F157+Ｎ!G157</f>
        <v>32896</v>
      </c>
      <c r="F157" s="45">
        <f>Ｎ!D157-Ｎ!H157-Ｎ!G157</f>
        <v>31363</v>
      </c>
      <c r="G157" s="79">
        <f>ROUND(SUM(Ｎ!G58:G63)/6,0)</f>
        <v>1533</v>
      </c>
      <c r="H157" s="80">
        <f>ROUND(SUM(Ｎ!H58:H63)/6,0)</f>
        <v>5253</v>
      </c>
      <c r="I157" s="48">
        <f>ROUND(SUM(Ｎ!I58:I63)/6,0)</f>
        <v>76469</v>
      </c>
      <c r="J157" s="45">
        <f>ROUND(SUM(Ｎ!J58:J63)/6,0)</f>
        <v>65733</v>
      </c>
      <c r="K157" s="45">
        <f>ROUND(SUM(Ｎ!K58:K63)/6,0)</f>
        <v>48737</v>
      </c>
      <c r="L157" s="79">
        <f>ROUND(SUM(Ｎ!L58:L63)/6,0)</f>
        <v>16996</v>
      </c>
      <c r="M157" s="45">
        <f>ROUND(SUM(Ｎ!M58:M63)/6,0)</f>
        <v>10736</v>
      </c>
      <c r="N157" s="45">
        <f>ROUND(SUM(Ｎ!N58:N63)/6,0)</f>
        <v>7740</v>
      </c>
      <c r="O157" s="80">
        <f>ROUND(SUM(Ｎ!O58:O63)/6,0)</f>
        <v>2997</v>
      </c>
      <c r="P157" s="48">
        <f>ROUND(SUM(Ｎ!P58:P63)/6,0)</f>
        <v>101587</v>
      </c>
      <c r="Q157" s="45">
        <f>ROUND(SUM(Ｎ!Q58:Q63)/6,0)</f>
        <v>290421</v>
      </c>
      <c r="R157" s="50">
        <f>Ｎ!D157/Ｎ!P157</f>
        <v>0.37553033360567789</v>
      </c>
      <c r="S157" s="51">
        <f>Ｎ!I157/Ｎ!Q157</f>
        <v>0.2633039621790435</v>
      </c>
      <c r="T157" s="52">
        <f>Ｎ!M157/Ｎ!I157</f>
        <v>0.14039676208659718</v>
      </c>
    </row>
    <row r="158" spans="3:20" x14ac:dyDescent="0.2">
      <c r="C158" s="91">
        <v>3</v>
      </c>
      <c r="D158" s="92">
        <f>ROUND(SUM(Ｎ!D59:D64)/6,0)</f>
        <v>38220</v>
      </c>
      <c r="E158" s="289">
        <f>Ｎ!F158+Ｎ!G158</f>
        <v>32964</v>
      </c>
      <c r="F158" s="289">
        <f>Ｎ!D158-Ｎ!H158-Ｎ!G158</f>
        <v>31427</v>
      </c>
      <c r="G158" s="290">
        <f>ROUND(SUM(Ｎ!G59:G64)/6,0)</f>
        <v>1537</v>
      </c>
      <c r="H158" s="291">
        <f>ROUND(SUM(Ｎ!H59:H64)/6,0)</f>
        <v>5256</v>
      </c>
      <c r="I158" s="292">
        <f>ROUND(SUM(Ｎ!I59:I64)/6,0)</f>
        <v>76557</v>
      </c>
      <c r="J158" s="289">
        <f>ROUND(SUM(Ｎ!J59:J64)/6,0)</f>
        <v>65807</v>
      </c>
      <c r="K158" s="289">
        <f>ROUND(SUM(Ｎ!K59:K64)/6,0)</f>
        <v>48725</v>
      </c>
      <c r="L158" s="290">
        <f>ROUND(SUM(Ｎ!L59:L64)/6,0)</f>
        <v>17081</v>
      </c>
      <c r="M158" s="289">
        <f>ROUND(SUM(Ｎ!M59:M64)/6,0)</f>
        <v>10750</v>
      </c>
      <c r="N158" s="289">
        <f>ROUND(SUM(Ｎ!N59:N64)/6,0)</f>
        <v>7746</v>
      </c>
      <c r="O158" s="291">
        <f>ROUND(SUM(Ｎ!O59:O64)/6,0)</f>
        <v>3004</v>
      </c>
      <c r="P158" s="292">
        <f>ROUND(SUM(Ｎ!P59:P64)/6,0)</f>
        <v>101668</v>
      </c>
      <c r="Q158" s="289">
        <f>ROUND(SUM(Ｎ!Q59:Q64)/6,0)</f>
        <v>290429</v>
      </c>
      <c r="R158" s="293">
        <f>Ｎ!D158/Ｎ!P158</f>
        <v>0.37592949600660974</v>
      </c>
      <c r="S158" s="294">
        <f>Ｎ!I158/Ｎ!Q158</f>
        <v>0.26359970939541161</v>
      </c>
      <c r="T158" s="295">
        <f>Ｎ!M158/Ｎ!I158</f>
        <v>0.14041825045391015</v>
      </c>
    </row>
    <row r="159" spans="3:20" x14ac:dyDescent="0.2">
      <c r="C159" s="296" t="s">
        <v>2781</v>
      </c>
      <c r="D159" s="297">
        <f>ROUND(SUM(Ｎ!D60:D65)/6,0)</f>
        <v>38317</v>
      </c>
      <c r="E159" s="298">
        <f>Ｎ!F159+Ｎ!G159</f>
        <v>33045</v>
      </c>
      <c r="F159" s="298">
        <f>Ｎ!D159-Ｎ!H159-Ｎ!G159</f>
        <v>31496</v>
      </c>
      <c r="G159" s="299">
        <f>ROUND(SUM(Ｎ!G60:G65)/6,0)</f>
        <v>1549</v>
      </c>
      <c r="H159" s="300">
        <f>ROUND(SUM(Ｎ!H60:H65)/6,0)</f>
        <v>5272</v>
      </c>
      <c r="I159" s="297">
        <f>ROUND(SUM(Ｎ!I60:I65)/6,0)</f>
        <v>76679</v>
      </c>
      <c r="J159" s="298">
        <f>ROUND(SUM(Ｎ!J60:J65)/6,0)</f>
        <v>65882</v>
      </c>
      <c r="K159" s="298">
        <f>ROUND(SUM(Ｎ!K60:K65)/6,0)</f>
        <v>48712</v>
      </c>
      <c r="L159" s="299">
        <f>ROUND(SUM(Ｎ!L60:L65)/6,0)</f>
        <v>17170</v>
      </c>
      <c r="M159" s="298">
        <f>ROUND(SUM(Ｎ!M60:M65)/6,0)</f>
        <v>10797</v>
      </c>
      <c r="N159" s="298">
        <f>ROUND(SUM(Ｎ!N60:N65)/6,0)</f>
        <v>7779</v>
      </c>
      <c r="O159" s="300">
        <f>ROUND(SUM(Ｎ!O60:O65)/6,0)</f>
        <v>3018</v>
      </c>
      <c r="P159" s="297">
        <f>ROUND(SUM(Ｎ!P60:P65)/6,0)</f>
        <v>101801</v>
      </c>
      <c r="Q159" s="298">
        <f>ROUND(SUM(Ｎ!Q60:Q65)/6,0)</f>
        <v>290477</v>
      </c>
      <c r="R159" s="301">
        <f>Ｎ!D159/Ｎ!P159</f>
        <v>0.3763911945855149</v>
      </c>
      <c r="S159" s="302">
        <f>Ｎ!I159/Ｎ!Q159</f>
        <v>0.26397614957466514</v>
      </c>
      <c r="T159" s="303">
        <f>Ｎ!M159/Ｎ!I159</f>
        <v>0.14080778309576286</v>
      </c>
    </row>
    <row r="160" spans="3:20" x14ac:dyDescent="0.2">
      <c r="C160" s="53">
        <v>5</v>
      </c>
      <c r="D160" s="48">
        <f>ROUND(SUM(Ｎ!D61:D66)/6,0)</f>
        <v>38419</v>
      </c>
      <c r="E160" s="45">
        <f>Ｎ!F160+Ｎ!G160</f>
        <v>33137</v>
      </c>
      <c r="F160" s="45">
        <f>Ｎ!D160-Ｎ!H160-Ｎ!G160</f>
        <v>31580</v>
      </c>
      <c r="G160" s="79">
        <f>ROUND(SUM(Ｎ!G61:G66)/6,0)</f>
        <v>1557</v>
      </c>
      <c r="H160" s="80">
        <f>ROUND(SUM(Ｎ!H61:H66)/6,0)</f>
        <v>5282</v>
      </c>
      <c r="I160" s="48">
        <f>ROUND(SUM(Ｎ!I61:I66)/6,0)</f>
        <v>76798</v>
      </c>
      <c r="J160" s="45">
        <f>ROUND(SUM(Ｎ!J61:J66)/6,0)</f>
        <v>65973</v>
      </c>
      <c r="K160" s="45">
        <f>ROUND(SUM(Ｎ!K61:K66)/6,0)</f>
        <v>48717</v>
      </c>
      <c r="L160" s="79">
        <f>ROUND(SUM(Ｎ!L61:L66)/6,0)</f>
        <v>17256</v>
      </c>
      <c r="M160" s="45">
        <f>ROUND(SUM(Ｎ!M61:M66)/6,0)</f>
        <v>10825</v>
      </c>
      <c r="N160" s="45">
        <f>ROUND(SUM(Ｎ!N61:N66)/6,0)</f>
        <v>7798</v>
      </c>
      <c r="O160" s="80">
        <f>ROUND(SUM(Ｎ!O61:O66)/6,0)</f>
        <v>3027</v>
      </c>
      <c r="P160" s="48">
        <f>ROUND(SUM(Ｎ!P61:P66)/6,0)</f>
        <v>101929</v>
      </c>
      <c r="Q160" s="45">
        <f>ROUND(SUM(Ｎ!Q61:Q66)/6,0)</f>
        <v>290517</v>
      </c>
      <c r="R160" s="50">
        <f>Ｎ!D160/Ｎ!P160</f>
        <v>0.37691922809014117</v>
      </c>
      <c r="S160" s="51">
        <f>Ｎ!I160/Ｎ!Q160</f>
        <v>0.26434941845055537</v>
      </c>
      <c r="T160" s="52">
        <f>Ｎ!M160/Ｎ!I160</f>
        <v>0.14095419151540406</v>
      </c>
    </row>
    <row r="161" spans="3:20" x14ac:dyDescent="0.2">
      <c r="C161" s="43">
        <v>6</v>
      </c>
      <c r="D161" s="48">
        <f>ROUND(SUM(Ｎ!D62:D67)/6,0)</f>
        <v>38529</v>
      </c>
      <c r="E161" s="45">
        <f>Ｎ!F161+Ｎ!G161</f>
        <v>33227</v>
      </c>
      <c r="F161" s="45">
        <f>Ｎ!D161-Ｎ!H161-Ｎ!G161</f>
        <v>31660</v>
      </c>
      <c r="G161" s="79">
        <f>ROUND(SUM(Ｎ!G62:G67)/6,0)</f>
        <v>1567</v>
      </c>
      <c r="H161" s="80">
        <f>ROUND(SUM(Ｎ!H62:H67)/6,0)</f>
        <v>5302</v>
      </c>
      <c r="I161" s="48">
        <f>ROUND(SUM(Ｎ!I62:I67)/6,0)</f>
        <v>76919</v>
      </c>
      <c r="J161" s="45">
        <f>ROUND(SUM(Ｎ!J62:J67)/6,0)</f>
        <v>66048</v>
      </c>
      <c r="K161" s="45">
        <f>ROUND(SUM(Ｎ!K62:K67)/6,0)</f>
        <v>48702</v>
      </c>
      <c r="L161" s="79">
        <f>ROUND(SUM(Ｎ!L62:L67)/6,0)</f>
        <v>17345</v>
      </c>
      <c r="M161" s="45">
        <f>ROUND(SUM(Ｎ!M62:M67)/6,0)</f>
        <v>10872</v>
      </c>
      <c r="N161" s="45">
        <f>ROUND(SUM(Ｎ!N62:N67)/6,0)</f>
        <v>7833</v>
      </c>
      <c r="O161" s="80">
        <f>ROUND(SUM(Ｎ!O62:O67)/6,0)</f>
        <v>3038</v>
      </c>
      <c r="P161" s="48">
        <f>ROUND(SUM(Ｎ!P62:P67)/6,0)</f>
        <v>102057</v>
      </c>
      <c r="Q161" s="45">
        <f>ROUND(SUM(Ｎ!Q62:Q67)/6,0)</f>
        <v>290532</v>
      </c>
      <c r="R161" s="50">
        <f>Ｎ!D161/Ｎ!P161</f>
        <v>0.37752432464211177</v>
      </c>
      <c r="S161" s="51">
        <f>Ｎ!I161/Ｎ!Q161</f>
        <v>0.26475224760095273</v>
      </c>
      <c r="T161" s="52">
        <f>Ｎ!M161/Ｎ!I161</f>
        <v>0.14134349120503387</v>
      </c>
    </row>
    <row r="162" spans="3:20" x14ac:dyDescent="0.2">
      <c r="C162" s="43">
        <v>7</v>
      </c>
      <c r="D162" s="48">
        <f>ROUND(SUM(Ｎ!D63:D68)/6,0)</f>
        <v>38644</v>
      </c>
      <c r="E162" s="55">
        <f>Ｎ!F162+Ｎ!G162</f>
        <v>33314</v>
      </c>
      <c r="F162" s="55">
        <f>Ｎ!D162-Ｎ!H162-Ｎ!G162</f>
        <v>31732</v>
      </c>
      <c r="G162" s="89">
        <f>ROUND(SUM(Ｎ!G63:G68)/6,0)</f>
        <v>1582</v>
      </c>
      <c r="H162" s="90">
        <f>ROUND(SUM(Ｎ!H63:H68)/6,0)</f>
        <v>5330</v>
      </c>
      <c r="I162" s="58">
        <f>ROUND(SUM(Ｎ!I63:I68)/6,0)</f>
        <v>77058</v>
      </c>
      <c r="J162" s="55">
        <f>ROUND(SUM(Ｎ!J63:J68)/6,0)</f>
        <v>66120</v>
      </c>
      <c r="K162" s="55">
        <f>ROUND(SUM(Ｎ!K63:K68)/6,0)</f>
        <v>48678</v>
      </c>
      <c r="L162" s="89">
        <f>ROUND(SUM(Ｎ!L63:L68)/6,0)</f>
        <v>17443</v>
      </c>
      <c r="M162" s="55">
        <f>ROUND(SUM(Ｎ!M63:M68)/6,0)</f>
        <v>10938</v>
      </c>
      <c r="N162" s="55">
        <f>ROUND(SUM(Ｎ!N63:N68)/6,0)</f>
        <v>7881</v>
      </c>
      <c r="O162" s="90">
        <f>ROUND(SUM(Ｎ!O63:O68)/6,0)</f>
        <v>3057</v>
      </c>
      <c r="P162" s="58">
        <f>ROUND(SUM(Ｎ!P63:P68)/6,0)</f>
        <v>102178</v>
      </c>
      <c r="Q162" s="55">
        <f>ROUND(SUM(Ｎ!Q63:Q68)/6,0)</f>
        <v>290568</v>
      </c>
      <c r="R162" s="60">
        <f>Ｎ!D162/Ｎ!P162</f>
        <v>0.37820274423065631</v>
      </c>
      <c r="S162" s="61">
        <f>Ｎ!I162/Ｎ!Q162</f>
        <v>0.26519781944329729</v>
      </c>
      <c r="T162" s="62">
        <f>Ｎ!M162/Ｎ!I162</f>
        <v>0.14194502842015105</v>
      </c>
    </row>
    <row r="163" spans="3:20" x14ac:dyDescent="0.2">
      <c r="C163" s="53">
        <v>8</v>
      </c>
      <c r="D163" s="48">
        <f>ROUND(SUM(Ｎ!D64:D69)/6,0)</f>
        <v>38778</v>
      </c>
      <c r="E163" s="55">
        <f>Ｎ!F163+Ｎ!G163</f>
        <v>33417</v>
      </c>
      <c r="F163" s="55">
        <f>Ｎ!D163-Ｎ!H163-Ｎ!G163</f>
        <v>31822</v>
      </c>
      <c r="G163" s="89">
        <f>ROUND(SUM(Ｎ!G64:G69)/6,0)</f>
        <v>1595</v>
      </c>
      <c r="H163" s="90">
        <f>ROUND(SUM(Ｎ!H64:H69)/6,0)</f>
        <v>5361</v>
      </c>
      <c r="I163" s="58">
        <f>ROUND(SUM(Ｎ!I64:I69)/6,0)</f>
        <v>77215</v>
      </c>
      <c r="J163" s="55">
        <f>ROUND(SUM(Ｎ!J64:J69)/6,0)</f>
        <v>66207</v>
      </c>
      <c r="K163" s="55">
        <f>ROUND(SUM(Ｎ!K64:K69)/6,0)</f>
        <v>48664</v>
      </c>
      <c r="L163" s="89">
        <f>ROUND(SUM(Ｎ!L64:L69)/6,0)</f>
        <v>17543</v>
      </c>
      <c r="M163" s="55">
        <f>ROUND(SUM(Ｎ!M64:M69)/6,0)</f>
        <v>11008</v>
      </c>
      <c r="N163" s="55">
        <f>ROUND(SUM(Ｎ!N64:N69)/6,0)</f>
        <v>7932</v>
      </c>
      <c r="O163" s="90">
        <f>ROUND(SUM(Ｎ!O64:O69)/6,0)</f>
        <v>3076</v>
      </c>
      <c r="P163" s="58">
        <f>ROUND(SUM(Ｎ!P64:P69)/6,0)</f>
        <v>102287</v>
      </c>
      <c r="Q163" s="55">
        <f>ROUND(SUM(Ｎ!Q64:Q69)/6,0)</f>
        <v>290602</v>
      </c>
      <c r="R163" s="60">
        <f>Ｎ!D163/Ｎ!P163</f>
        <v>0.37910975979352213</v>
      </c>
      <c r="S163" s="61">
        <f>Ｎ!I163/Ｎ!Q163</f>
        <v>0.26570704950413282</v>
      </c>
      <c r="T163" s="62">
        <f>Ｎ!M163/Ｎ!I163</f>
        <v>0.14256297351550865</v>
      </c>
    </row>
    <row r="164" spans="3:20" x14ac:dyDescent="0.2">
      <c r="C164" s="53">
        <v>9</v>
      </c>
      <c r="D164" s="58">
        <f>ROUND(SUM(Ｎ!D65:D70)/6,0)</f>
        <v>38918</v>
      </c>
      <c r="E164" s="55">
        <f>Ｎ!F164+Ｎ!G164</f>
        <v>33523</v>
      </c>
      <c r="F164" s="55">
        <f>Ｎ!D164-Ｎ!H164-Ｎ!G164</f>
        <v>31915</v>
      </c>
      <c r="G164" s="89">
        <f>ROUND(SUM(Ｎ!G65:G70)/6,0)</f>
        <v>1608</v>
      </c>
      <c r="H164" s="90">
        <f>ROUND(SUM(Ｎ!H65:H70)/6,0)</f>
        <v>5395</v>
      </c>
      <c r="I164" s="58">
        <f>ROUND(SUM(Ｎ!I65:I70)/6,0)</f>
        <v>77400</v>
      </c>
      <c r="J164" s="55">
        <f>ROUND(SUM(Ｎ!J65:J70)/6,0)</f>
        <v>66316</v>
      </c>
      <c r="K164" s="55">
        <f>ROUND(SUM(Ｎ!K65:K70)/6,0)</f>
        <v>48669</v>
      </c>
      <c r="L164" s="89">
        <f>ROUND(SUM(Ｎ!L65:L70)/6,0)</f>
        <v>17647</v>
      </c>
      <c r="M164" s="55">
        <f>ROUND(SUM(Ｎ!M65:M70)/6,0)</f>
        <v>11084</v>
      </c>
      <c r="N164" s="55">
        <f>ROUND(SUM(Ｎ!N65:N70)/6,0)</f>
        <v>7986</v>
      </c>
      <c r="O164" s="90">
        <f>ROUND(SUM(Ｎ!O65:O70)/6,0)</f>
        <v>3098</v>
      </c>
      <c r="P164" s="58">
        <f>ROUND(SUM(Ｎ!P65:P70)/6,0)</f>
        <v>102429</v>
      </c>
      <c r="Q164" s="55">
        <f>ROUND(SUM(Ｎ!Q65:Q70)/6,0)</f>
        <v>290759</v>
      </c>
      <c r="R164" s="60">
        <f>Ｎ!D164/Ｎ!P164</f>
        <v>0.37995099044215991</v>
      </c>
      <c r="S164" s="61">
        <f>Ｎ!I164/Ｎ!Q164</f>
        <v>0.26619984248123019</v>
      </c>
      <c r="T164" s="62">
        <f>Ｎ!M164/Ｎ!I164</f>
        <v>0.14320413436692506</v>
      </c>
    </row>
    <row r="165" spans="3:20" x14ac:dyDescent="0.2">
      <c r="C165" s="53">
        <v>10</v>
      </c>
      <c r="D165" s="48">
        <f>ROUND(SUM(Ｎ!D66:D71)/6,0)</f>
        <v>39026</v>
      </c>
      <c r="E165" s="45">
        <f>Ｎ!F165+Ｎ!G165</f>
        <v>33610</v>
      </c>
      <c r="F165" s="45">
        <f>Ｎ!D165-Ｎ!H165-Ｎ!G165</f>
        <v>31995</v>
      </c>
      <c r="G165" s="79">
        <f>ROUND(SUM(Ｎ!G66:G71)/6,0)</f>
        <v>1615</v>
      </c>
      <c r="H165" s="80">
        <f>ROUND(SUM(Ｎ!H66:H71)/6,0)</f>
        <v>5416</v>
      </c>
      <c r="I165" s="48">
        <f>ROUND(SUM(Ｎ!I66:I71)/6,0)</f>
        <v>77554</v>
      </c>
      <c r="J165" s="45">
        <f>ROUND(SUM(Ｎ!J66:J71)/6,0)</f>
        <v>66426</v>
      </c>
      <c r="K165" s="45">
        <f>ROUND(SUM(Ｎ!K66:K71)/6,0)</f>
        <v>48684</v>
      </c>
      <c r="L165" s="79">
        <f>ROUND(SUM(Ｎ!L66:L71)/6,0)</f>
        <v>17742</v>
      </c>
      <c r="M165" s="45">
        <f>ROUND(SUM(Ｎ!M66:M71)/6,0)</f>
        <v>11128</v>
      </c>
      <c r="N165" s="45">
        <f>ROUND(SUM(Ｎ!N66:N71)/6,0)</f>
        <v>8016</v>
      </c>
      <c r="O165" s="80">
        <f>ROUND(SUM(Ｎ!O66:O71)/6,0)</f>
        <v>3112</v>
      </c>
      <c r="P165" s="48">
        <f>ROUND(SUM(Ｎ!P66:P71)/6,0)</f>
        <v>102513</v>
      </c>
      <c r="Q165" s="45">
        <f>ROUND(SUM(Ｎ!Q66:Q71)/6,0)</f>
        <v>290868</v>
      </c>
      <c r="R165" s="50">
        <f>Ｎ!D165/Ｎ!P165</f>
        <v>0.38069318037712291</v>
      </c>
      <c r="S165" s="51">
        <f>Ｎ!I165/Ｎ!Q165</f>
        <v>0.26662953642201959</v>
      </c>
      <c r="T165" s="52">
        <f>Ｎ!M165/Ｎ!I165</f>
        <v>0.14348711865280966</v>
      </c>
    </row>
    <row r="166" spans="3:20" x14ac:dyDescent="0.2">
      <c r="C166" s="43">
        <v>11</v>
      </c>
      <c r="D166" s="48">
        <f>ROUND(SUM(Ｎ!D67:D72)/6,0)</f>
        <v>39137</v>
      </c>
      <c r="E166" s="45">
        <f>Ｎ!F166+Ｎ!G166</f>
        <v>33703</v>
      </c>
      <c r="F166" s="45">
        <f>Ｎ!D166-Ｎ!H166-Ｎ!G166</f>
        <v>32077</v>
      </c>
      <c r="G166" s="79">
        <f>ROUND(SUM(Ｎ!G67:G72)/6,0)</f>
        <v>1626</v>
      </c>
      <c r="H166" s="80">
        <f>ROUND(SUM(Ｎ!H67:H72)/6,0)</f>
        <v>5434</v>
      </c>
      <c r="I166" s="48">
        <f>ROUND(SUM(Ｎ!I67:I72)/6,0)</f>
        <v>77722</v>
      </c>
      <c r="J166" s="45">
        <f>ROUND(SUM(Ｎ!J67:J72)/6,0)</f>
        <v>66547</v>
      </c>
      <c r="K166" s="45">
        <f>ROUND(SUM(Ｎ!K67:K72)/6,0)</f>
        <v>48709</v>
      </c>
      <c r="L166" s="79">
        <f>ROUND(SUM(Ｎ!L67:L72)/6,0)</f>
        <v>17838</v>
      </c>
      <c r="M166" s="45">
        <f>ROUND(SUM(Ｎ!M67:M72)/6,0)</f>
        <v>11175</v>
      </c>
      <c r="N166" s="45">
        <f>ROUND(SUM(Ｎ!N67:N72)/6,0)</f>
        <v>8049</v>
      </c>
      <c r="O166" s="80">
        <f>ROUND(SUM(Ｎ!O67:O72)/6,0)</f>
        <v>3126</v>
      </c>
      <c r="P166" s="48">
        <f>ROUND(SUM(Ｎ!P67:P72)/6,0)</f>
        <v>102608</v>
      </c>
      <c r="Q166" s="45">
        <f>ROUND(SUM(Ｎ!Q67:Q72)/6,0)</f>
        <v>290990</v>
      </c>
      <c r="R166" s="50">
        <f>Ｎ!D166/Ｎ!P166</f>
        <v>0.38142250116949944</v>
      </c>
      <c r="S166" s="51">
        <f>Ｎ!I166/Ｎ!Q166</f>
        <v>0.26709508917832225</v>
      </c>
      <c r="T166" s="52">
        <f>Ｎ!M166/Ｎ!I166</f>
        <v>0.14378168343583542</v>
      </c>
    </row>
    <row r="167" spans="3:20" x14ac:dyDescent="0.2">
      <c r="C167" s="43">
        <v>12</v>
      </c>
      <c r="D167" s="48">
        <f>ROUND(SUM(Ｎ!D68:D73)/6,0)</f>
        <v>39242</v>
      </c>
      <c r="E167" s="55">
        <f>Ｎ!F167+Ｎ!G167</f>
        <v>33797</v>
      </c>
      <c r="F167" s="55">
        <f>Ｎ!D167-Ｎ!H167-Ｎ!G167</f>
        <v>32159</v>
      </c>
      <c r="G167" s="89">
        <f>ROUND(SUM(Ｎ!G68:G73)/6,0)</f>
        <v>1638</v>
      </c>
      <c r="H167" s="90">
        <f>ROUND(SUM(Ｎ!H68:H73)/6,0)</f>
        <v>5445</v>
      </c>
      <c r="I167" s="58">
        <f>ROUND(SUM(Ｎ!I68:I73)/6,0)</f>
        <v>77885</v>
      </c>
      <c r="J167" s="55">
        <f>ROUND(SUM(Ｎ!J68:J73)/6,0)</f>
        <v>66673</v>
      </c>
      <c r="K167" s="55">
        <f>ROUND(SUM(Ｎ!K68:K73)/6,0)</f>
        <v>48741</v>
      </c>
      <c r="L167" s="89">
        <f>ROUND(SUM(Ｎ!L68:L73)/6,0)</f>
        <v>17931</v>
      </c>
      <c r="M167" s="55">
        <f>ROUND(SUM(Ｎ!M68:M73)/6,0)</f>
        <v>11213</v>
      </c>
      <c r="N167" s="55">
        <f>ROUND(SUM(Ｎ!N68:N73)/6,0)</f>
        <v>8074</v>
      </c>
      <c r="O167" s="90">
        <f>ROUND(SUM(Ｎ!O68:O73)/6,0)</f>
        <v>3139</v>
      </c>
      <c r="P167" s="58">
        <f>ROUND(SUM(Ｎ!P68:P73)/6,0)</f>
        <v>102697</v>
      </c>
      <c r="Q167" s="55">
        <f>ROUND(SUM(Ｎ!Q68:Q73)/6,0)</f>
        <v>291133</v>
      </c>
      <c r="R167" s="60">
        <f>Ｎ!D167/Ｎ!P167</f>
        <v>0.38211437529820735</v>
      </c>
      <c r="S167" s="61">
        <f>Ｎ!I167/Ｎ!Q167</f>
        <v>0.26752377779228048</v>
      </c>
      <c r="T167" s="62">
        <f>Ｎ!M167/Ｎ!I167</f>
        <v>0.14396867175964564</v>
      </c>
    </row>
    <row r="168" spans="3:20" x14ac:dyDescent="0.2">
      <c r="C168" s="53">
        <v>1</v>
      </c>
      <c r="D168" s="48">
        <f>ROUND(SUM(Ｎ!D69:D74)/6,0)</f>
        <v>39351</v>
      </c>
      <c r="E168" s="45">
        <f>Ｎ!F168+Ｎ!G168</f>
        <v>33900</v>
      </c>
      <c r="F168" s="45">
        <f>Ｎ!D168-Ｎ!H168-Ｎ!G168</f>
        <v>32255</v>
      </c>
      <c r="G168" s="79">
        <f>ROUND(SUM(Ｎ!G69:G74)/6,0)</f>
        <v>1645</v>
      </c>
      <c r="H168" s="80">
        <f>ROUND(SUM(Ｎ!H69:H74)/6,0)</f>
        <v>5451</v>
      </c>
      <c r="I168" s="48">
        <f>ROUND(SUM(Ｎ!I69:I74)/6,0)</f>
        <v>78070</v>
      </c>
      <c r="J168" s="45">
        <f>ROUND(SUM(Ｎ!J69:J74)/6,0)</f>
        <v>66838</v>
      </c>
      <c r="K168" s="45">
        <f>ROUND(SUM(Ｎ!K69:K74)/6,0)</f>
        <v>48817</v>
      </c>
      <c r="L168" s="79">
        <f>ROUND(SUM(Ｎ!L69:L74)/6,0)</f>
        <v>18021</v>
      </c>
      <c r="M168" s="45">
        <f>ROUND(SUM(Ｎ!M69:M74)/6,0)</f>
        <v>11232</v>
      </c>
      <c r="N168" s="45">
        <f>ROUND(SUM(Ｎ!N69:N74)/6,0)</f>
        <v>8086</v>
      </c>
      <c r="O168" s="80">
        <f>ROUND(SUM(Ｎ!O69:O74)/6,0)</f>
        <v>3146</v>
      </c>
      <c r="P168" s="48">
        <f>ROUND(SUM(Ｎ!P69:P74)/6,0)</f>
        <v>102795</v>
      </c>
      <c r="Q168" s="45">
        <f>ROUND(SUM(Ｎ!Q69:Q74)/6,0)</f>
        <v>291279</v>
      </c>
      <c r="R168" s="50">
        <f>Ｎ!D168/Ｎ!P168</f>
        <v>0.38281044797898728</v>
      </c>
      <c r="S168" s="51">
        <f>Ｎ!I168/Ｎ!Q168</f>
        <v>0.26802481469656242</v>
      </c>
      <c r="T168" s="52">
        <f>Ｎ!M168/Ｎ!I168</f>
        <v>0.14387088510311258</v>
      </c>
    </row>
    <row r="169" spans="3:20" x14ac:dyDescent="0.2">
      <c r="C169" s="43">
        <v>2</v>
      </c>
      <c r="D169" s="48">
        <f>ROUND(SUM(Ｎ!D70:D75)/6,0)</f>
        <v>39454</v>
      </c>
      <c r="E169" s="45">
        <f>Ｎ!F169+Ｎ!G169</f>
        <v>33998</v>
      </c>
      <c r="F169" s="45">
        <f>Ｎ!D169-Ｎ!H169-Ｎ!G169</f>
        <v>32344</v>
      </c>
      <c r="G169" s="79">
        <f>ROUND(SUM(Ｎ!G70:G75)/6,0)</f>
        <v>1654</v>
      </c>
      <c r="H169" s="80">
        <f>ROUND(SUM(Ｎ!H70:H75)/6,0)</f>
        <v>5456</v>
      </c>
      <c r="I169" s="48">
        <f>ROUND(SUM(Ｎ!I70:I75)/6,0)</f>
        <v>78257</v>
      </c>
      <c r="J169" s="45">
        <f>ROUND(SUM(Ｎ!J70:J75)/6,0)</f>
        <v>67003</v>
      </c>
      <c r="K169" s="45">
        <f>ROUND(SUM(Ｎ!K70:K75)/6,0)</f>
        <v>48890</v>
      </c>
      <c r="L169" s="79">
        <f>ROUND(SUM(Ｎ!L70:L75)/6,0)</f>
        <v>18113</v>
      </c>
      <c r="M169" s="45">
        <f>ROUND(SUM(Ｎ!M70:M75)/6,0)</f>
        <v>11254</v>
      </c>
      <c r="N169" s="45">
        <f>ROUND(SUM(Ｎ!N70:N75)/6,0)</f>
        <v>8100</v>
      </c>
      <c r="O169" s="80">
        <f>ROUND(SUM(Ｎ!O70:O75)/6,0)</f>
        <v>3154</v>
      </c>
      <c r="P169" s="48">
        <f>ROUND(SUM(Ｎ!P70:P75)/6,0)</f>
        <v>102911</v>
      </c>
      <c r="Q169" s="45">
        <f>ROUND(SUM(Ｎ!Q70:Q75)/6,0)</f>
        <v>291439</v>
      </c>
      <c r="R169" s="50">
        <f>Ｎ!D169/Ｎ!P169</f>
        <v>0.38337981362536561</v>
      </c>
      <c r="S169" s="51">
        <f>Ｎ!I169/Ｎ!Q169</f>
        <v>0.26851931278929725</v>
      </c>
      <c r="T169" s="52">
        <f>Ｎ!M169/Ｎ!I169</f>
        <v>0.14380822162873608</v>
      </c>
    </row>
    <row r="170" spans="3:20" x14ac:dyDescent="0.2">
      <c r="C170" s="91">
        <v>3</v>
      </c>
      <c r="D170" s="92">
        <f>ROUND(SUM(Ｎ!D71:D76)/6,0)</f>
        <v>39555</v>
      </c>
      <c r="E170" s="289">
        <f>Ｎ!F170+Ｎ!G170</f>
        <v>34094</v>
      </c>
      <c r="F170" s="289">
        <f>Ｎ!D170-Ｎ!H170-Ｎ!G170</f>
        <v>32429</v>
      </c>
      <c r="G170" s="290">
        <f>ROUND(SUM(Ｎ!G71:G76)/6,0)</f>
        <v>1665</v>
      </c>
      <c r="H170" s="291">
        <f>ROUND(SUM(Ｎ!H71:H76)/6,0)</f>
        <v>5461</v>
      </c>
      <c r="I170" s="292">
        <f>ROUND(SUM(Ｎ!I71:I76)/6,0)</f>
        <v>78430</v>
      </c>
      <c r="J170" s="289">
        <f>ROUND(SUM(Ｎ!J71:J76)/6,0)</f>
        <v>67151</v>
      </c>
      <c r="K170" s="289">
        <f>ROUND(SUM(Ｎ!K71:K76)/6,0)</f>
        <v>48952</v>
      </c>
      <c r="L170" s="290">
        <f>ROUND(SUM(Ｎ!L71:L76)/6,0)</f>
        <v>18199</v>
      </c>
      <c r="M170" s="289">
        <f>ROUND(SUM(Ｎ!M71:M76)/6,0)</f>
        <v>11278</v>
      </c>
      <c r="N170" s="289">
        <f>ROUND(SUM(Ｎ!N71:N76)/6,0)</f>
        <v>8118</v>
      </c>
      <c r="O170" s="291">
        <f>ROUND(SUM(Ｎ!O71:O76)/6,0)</f>
        <v>3161</v>
      </c>
      <c r="P170" s="292">
        <f>ROUND(SUM(Ｎ!P71:P76)/6,0)</f>
        <v>103020</v>
      </c>
      <c r="Q170" s="289">
        <f>ROUND(SUM(Ｎ!Q71:Q76)/6,0)</f>
        <v>291492</v>
      </c>
      <c r="R170" s="293">
        <f>Ｎ!D170/Ｎ!P170</f>
        <v>0.38395457192778104</v>
      </c>
      <c r="S170" s="294">
        <f>Ｎ!I170/Ｎ!Q170</f>
        <v>0.26906398803397691</v>
      </c>
      <c r="T170" s="295">
        <f>Ｎ!M170/Ｎ!I170</f>
        <v>0.14379701644778783</v>
      </c>
    </row>
    <row r="171" spans="3:20" x14ac:dyDescent="0.2">
      <c r="C171" s="296" t="s">
        <v>2782</v>
      </c>
      <c r="D171" s="297">
        <f>ROUND(SUM(Ｎ!D72:D77)/6,0)</f>
        <v>39692</v>
      </c>
      <c r="E171" s="298">
        <f>Ｎ!F171+Ｎ!G171</f>
        <v>34211</v>
      </c>
      <c r="F171" s="298">
        <f>Ｎ!D171-Ｎ!H171-Ｎ!G171</f>
        <v>32528</v>
      </c>
      <c r="G171" s="299">
        <f>ROUND(SUM(Ｎ!G72:G77)/6,0)</f>
        <v>1683</v>
      </c>
      <c r="H171" s="300">
        <f>ROUND(SUM(Ｎ!H72:H77)/6,0)</f>
        <v>5481</v>
      </c>
      <c r="I171" s="297">
        <f>ROUND(SUM(Ｎ!I72:I77)/6,0)</f>
        <v>78668</v>
      </c>
      <c r="J171" s="298">
        <f>ROUND(SUM(Ｎ!J72:J77)/6,0)</f>
        <v>67324</v>
      </c>
      <c r="K171" s="298">
        <f>ROUND(SUM(Ｎ!K72:K77)/6,0)</f>
        <v>49026</v>
      </c>
      <c r="L171" s="299">
        <f>ROUND(SUM(Ｎ!L72:L77)/6,0)</f>
        <v>18299</v>
      </c>
      <c r="M171" s="298">
        <f>ROUND(SUM(Ｎ!M72:M77)/6,0)</f>
        <v>11344</v>
      </c>
      <c r="N171" s="298">
        <f>ROUND(SUM(Ｎ!N72:N77)/6,0)</f>
        <v>8162</v>
      </c>
      <c r="O171" s="300">
        <f>ROUND(SUM(Ｎ!O72:O77)/6,0)</f>
        <v>3182</v>
      </c>
      <c r="P171" s="297">
        <f>ROUND(SUM(Ｎ!P72:P77)/6,0)</f>
        <v>103196</v>
      </c>
      <c r="Q171" s="298">
        <f>ROUND(SUM(Ｎ!Q72:Q77)/6,0)</f>
        <v>291608</v>
      </c>
      <c r="R171" s="301">
        <f>Ｎ!D171/Ｎ!P171</f>
        <v>0.38462731113609055</v>
      </c>
      <c r="S171" s="302">
        <f>Ｎ!I171/Ｎ!Q171</f>
        <v>0.26977312007901016</v>
      </c>
      <c r="T171" s="303">
        <f>Ｎ!M171/Ｎ!I171</f>
        <v>0.14420094574668227</v>
      </c>
    </row>
    <row r="172" spans="3:20" x14ac:dyDescent="0.2">
      <c r="C172" s="53">
        <v>5</v>
      </c>
      <c r="D172" s="48">
        <f>ROUND(SUM(Ｎ!D73:D78)/6,0)</f>
        <v>39837</v>
      </c>
      <c r="E172" s="45">
        <f>Ｎ!F172+Ｎ!G172</f>
        <v>34337</v>
      </c>
      <c r="F172" s="45">
        <f>Ｎ!D172-Ｎ!H172-Ｎ!G172</f>
        <v>32636</v>
      </c>
      <c r="G172" s="79">
        <f>ROUND(SUM(Ｎ!G73:G78)/6,0)</f>
        <v>1701</v>
      </c>
      <c r="H172" s="80">
        <f>ROUND(SUM(Ｎ!H73:H78)/6,0)</f>
        <v>5500</v>
      </c>
      <c r="I172" s="48">
        <f>ROUND(SUM(Ｎ!I73:I78)/6,0)</f>
        <v>78915</v>
      </c>
      <c r="J172" s="45">
        <f>ROUND(SUM(Ｎ!J73:J78)/6,0)</f>
        <v>67513</v>
      </c>
      <c r="K172" s="45">
        <f>ROUND(SUM(Ｎ!K73:K78)/6,0)</f>
        <v>49110</v>
      </c>
      <c r="L172" s="79">
        <f>ROUND(SUM(Ｎ!L73:L78)/6,0)</f>
        <v>18403</v>
      </c>
      <c r="M172" s="45">
        <f>ROUND(SUM(Ｎ!M73:M78)/6,0)</f>
        <v>11403</v>
      </c>
      <c r="N172" s="45">
        <f>ROUND(SUM(Ｎ!N73:N78)/6,0)</f>
        <v>8201</v>
      </c>
      <c r="O172" s="80">
        <f>ROUND(SUM(Ｎ!O73:O78)/6,0)</f>
        <v>3201</v>
      </c>
      <c r="P172" s="48">
        <f>ROUND(SUM(Ｎ!P73:P78)/6,0)</f>
        <v>103370</v>
      </c>
      <c r="Q172" s="45">
        <f>ROUND(SUM(Ｎ!Q73:Q78)/6,0)</f>
        <v>291729</v>
      </c>
      <c r="R172" s="50">
        <f>Ｎ!D172/Ｎ!P172</f>
        <v>0.38538260617200348</v>
      </c>
      <c r="S172" s="51">
        <f>Ｎ!I172/Ｎ!Q172</f>
        <v>0.27050790288246968</v>
      </c>
      <c r="T172" s="52">
        <f>Ｎ!M172/Ｎ!I172</f>
        <v>0.14449724386998669</v>
      </c>
    </row>
    <row r="173" spans="3:20" x14ac:dyDescent="0.2">
      <c r="C173" s="43">
        <v>6</v>
      </c>
      <c r="D173" s="48">
        <f>ROUND(SUM(Ｎ!D74:D79)/6,0)</f>
        <v>39994</v>
      </c>
      <c r="E173" s="45">
        <f>Ｎ!F173+Ｎ!G173</f>
        <v>34476</v>
      </c>
      <c r="F173" s="45">
        <f>Ｎ!D173-Ｎ!H173-Ｎ!G173</f>
        <v>32761</v>
      </c>
      <c r="G173" s="79">
        <f>ROUND(SUM(Ｎ!G74:G79)/6,0)</f>
        <v>1715</v>
      </c>
      <c r="H173" s="80">
        <f>ROUND(SUM(Ｎ!H74:H79)/6,0)</f>
        <v>5518</v>
      </c>
      <c r="I173" s="48">
        <f>ROUND(SUM(Ｎ!I74:I79)/6,0)</f>
        <v>79187</v>
      </c>
      <c r="J173" s="45">
        <f>ROUND(SUM(Ｎ!J74:J79)/6,0)</f>
        <v>67726</v>
      </c>
      <c r="K173" s="45">
        <f>ROUND(SUM(Ｎ!K74:K79)/6,0)</f>
        <v>49211</v>
      </c>
      <c r="L173" s="79">
        <f>ROUND(SUM(Ｎ!L74:L79)/6,0)</f>
        <v>18515</v>
      </c>
      <c r="M173" s="45">
        <f>ROUND(SUM(Ｎ!M74:M79)/6,0)</f>
        <v>11461</v>
      </c>
      <c r="N173" s="45">
        <f>ROUND(SUM(Ｎ!N74:N79)/6,0)</f>
        <v>8236</v>
      </c>
      <c r="O173" s="80">
        <f>ROUND(SUM(Ｎ!O74:O79)/6,0)</f>
        <v>3225</v>
      </c>
      <c r="P173" s="48">
        <f>ROUND(SUM(Ｎ!P74:P79)/6,0)</f>
        <v>103544</v>
      </c>
      <c r="Q173" s="45">
        <f>ROUND(SUM(Ｎ!Q74:Q79)/6,0)</f>
        <v>291841</v>
      </c>
      <c r="R173" s="50">
        <f>Ｎ!D173/Ｎ!P173</f>
        <v>0.38625125550490613</v>
      </c>
      <c r="S173" s="51">
        <f>Ｎ!I173/Ｎ!Q173</f>
        <v>0.27133610424854632</v>
      </c>
      <c r="T173" s="52">
        <f>Ｎ!M173/Ｎ!I173</f>
        <v>0.14473335269678103</v>
      </c>
    </row>
    <row r="174" spans="3:20" x14ac:dyDescent="0.2">
      <c r="C174" s="43">
        <v>7</v>
      </c>
      <c r="D174" s="48">
        <f>ROUND(SUM(Ｎ!D75:D80)/6,0)</f>
        <v>40163</v>
      </c>
      <c r="E174" s="55">
        <f>Ｎ!F174+Ｎ!G174</f>
        <v>34615</v>
      </c>
      <c r="F174" s="55">
        <f>Ｎ!D174-Ｎ!H174-Ｎ!G174</f>
        <v>32881</v>
      </c>
      <c r="G174" s="89">
        <f>ROUND(SUM(Ｎ!G75:G80)/6,0)</f>
        <v>1734</v>
      </c>
      <c r="H174" s="90">
        <f>ROUND(SUM(Ｎ!H75:H80)/6,0)</f>
        <v>5548</v>
      </c>
      <c r="I174" s="58">
        <f>ROUND(SUM(Ｎ!I75:I80)/6,0)</f>
        <v>79471</v>
      </c>
      <c r="J174" s="55">
        <f>ROUND(SUM(Ｎ!J75:J80)/6,0)</f>
        <v>67927</v>
      </c>
      <c r="K174" s="55">
        <f>ROUND(SUM(Ｎ!K75:K80)/6,0)</f>
        <v>49292</v>
      </c>
      <c r="L174" s="89">
        <f>ROUND(SUM(Ｎ!L75:L80)/6,0)</f>
        <v>18635</v>
      </c>
      <c r="M174" s="55">
        <f>ROUND(SUM(Ｎ!M75:M80)/6,0)</f>
        <v>11544</v>
      </c>
      <c r="N174" s="55">
        <f>ROUND(SUM(Ｎ!N75:N80)/6,0)</f>
        <v>8296</v>
      </c>
      <c r="O174" s="90">
        <f>ROUND(SUM(Ｎ!O75:O80)/6,0)</f>
        <v>3248</v>
      </c>
      <c r="P174" s="58">
        <f>ROUND(SUM(Ｎ!P75:P80)/6,0)</f>
        <v>103716</v>
      </c>
      <c r="Q174" s="55">
        <f>ROUND(SUM(Ｎ!Q75:Q80)/6,0)</f>
        <v>291937</v>
      </c>
      <c r="R174" s="60">
        <f>Ｎ!D174/Ｎ!P174</f>
        <v>0.3872401558100968</v>
      </c>
      <c r="S174" s="61">
        <f>Ｎ!I174/Ｎ!Q174</f>
        <v>0.2722196912347527</v>
      </c>
      <c r="T174" s="62">
        <f>Ｎ!M174/Ｎ!I174</f>
        <v>0.1452605352896025</v>
      </c>
    </row>
    <row r="175" spans="3:20" x14ac:dyDescent="0.2">
      <c r="C175" s="53">
        <v>8</v>
      </c>
      <c r="D175" s="48">
        <f>ROUND(SUM(Ｎ!D76:D81)/6,0)</f>
        <v>40338</v>
      </c>
      <c r="E175" s="55">
        <f>Ｎ!F175+Ｎ!G175</f>
        <v>34759</v>
      </c>
      <c r="F175" s="55">
        <f>Ｎ!D175-Ｎ!H175-Ｎ!G175</f>
        <v>33005</v>
      </c>
      <c r="G175" s="89">
        <f>ROUND(SUM(Ｎ!G76:G81)/6,0)</f>
        <v>1754</v>
      </c>
      <c r="H175" s="90">
        <f>ROUND(SUM(Ｎ!H76:H81)/6,0)</f>
        <v>5579</v>
      </c>
      <c r="I175" s="58">
        <f>ROUND(SUM(Ｎ!I76:I81)/6,0)</f>
        <v>79777</v>
      </c>
      <c r="J175" s="55">
        <f>ROUND(SUM(Ｎ!J76:J81)/6,0)</f>
        <v>68147</v>
      </c>
      <c r="K175" s="55">
        <f>ROUND(SUM(Ｎ!K76:K81)/6,0)</f>
        <v>49403</v>
      </c>
      <c r="L175" s="89">
        <f>ROUND(SUM(Ｎ!L76:L81)/6,0)</f>
        <v>18744</v>
      </c>
      <c r="M175" s="55">
        <f>ROUND(SUM(Ｎ!M76:M81)/6,0)</f>
        <v>11631</v>
      </c>
      <c r="N175" s="55">
        <f>ROUND(SUM(Ｎ!N76:N81)/6,0)</f>
        <v>8357</v>
      </c>
      <c r="O175" s="90">
        <f>ROUND(SUM(Ｎ!O76:O81)/6,0)</f>
        <v>3274</v>
      </c>
      <c r="P175" s="58">
        <f>ROUND(SUM(Ｎ!P76:P81)/6,0)</f>
        <v>103871</v>
      </c>
      <c r="Q175" s="55">
        <f>ROUND(SUM(Ｎ!Q76:Q81)/6,0)</f>
        <v>292017</v>
      </c>
      <c r="R175" s="60">
        <f>Ｎ!D175/Ｎ!P175</f>
        <v>0.38834708436425952</v>
      </c>
      <c r="S175" s="61">
        <f>Ｎ!I175/Ｎ!Q175</f>
        <v>0.27319299903772726</v>
      </c>
      <c r="T175" s="62">
        <f>Ｎ!M175/Ｎ!I175</f>
        <v>0.14579390049763716</v>
      </c>
    </row>
    <row r="176" spans="3:20" x14ac:dyDescent="0.2">
      <c r="C176" s="53">
        <v>9</v>
      </c>
      <c r="D176" s="58">
        <f>ROUND(SUM(Ｎ!D77:D82)/6,0)</f>
        <v>40522</v>
      </c>
      <c r="E176" s="55">
        <f>Ｎ!F176+Ｎ!G176</f>
        <v>34914</v>
      </c>
      <c r="F176" s="55">
        <f>Ｎ!D176-Ｎ!H176-Ｎ!G176</f>
        <v>33141</v>
      </c>
      <c r="G176" s="89">
        <f>ROUND(SUM(Ｎ!G77:G82)/6,0)</f>
        <v>1773</v>
      </c>
      <c r="H176" s="90">
        <f>ROUND(SUM(Ｎ!H77:H82)/6,0)</f>
        <v>5608</v>
      </c>
      <c r="I176" s="58">
        <f>ROUND(SUM(Ｎ!I77:I82)/6,0)</f>
        <v>80114</v>
      </c>
      <c r="J176" s="55">
        <f>ROUND(SUM(Ｎ!J77:J82)/6,0)</f>
        <v>68404</v>
      </c>
      <c r="K176" s="55">
        <f>ROUND(SUM(Ｎ!K77:K82)/6,0)</f>
        <v>49542</v>
      </c>
      <c r="L176" s="89">
        <f>ROUND(SUM(Ｎ!L77:L82)/6,0)</f>
        <v>18862</v>
      </c>
      <c r="M176" s="55">
        <f>ROUND(SUM(Ｎ!M77:M82)/6,0)</f>
        <v>11710</v>
      </c>
      <c r="N176" s="55">
        <f>ROUND(SUM(Ｎ!N77:N82)/6,0)</f>
        <v>8413</v>
      </c>
      <c r="O176" s="90">
        <f>ROUND(SUM(Ｎ!O77:O82)/6,0)</f>
        <v>3297</v>
      </c>
      <c r="P176" s="58">
        <f>ROUND(SUM(Ｎ!P77:P82)/6,0)</f>
        <v>104028</v>
      </c>
      <c r="Q176" s="55">
        <f>ROUND(SUM(Ｎ!Q77:Q82)/6,0)</f>
        <v>292186</v>
      </c>
      <c r="R176" s="60">
        <f>Ｎ!D176/Ｎ!P176</f>
        <v>0.38952974199254048</v>
      </c>
      <c r="S176" s="61">
        <f>Ｎ!I176/Ｎ!Q176</f>
        <v>0.27418835946965286</v>
      </c>
      <c r="T176" s="62">
        <f>Ｎ!M176/Ｎ!I176</f>
        <v>0.14616671243478044</v>
      </c>
    </row>
    <row r="177" spans="3:20" x14ac:dyDescent="0.2">
      <c r="C177" s="53">
        <v>10</v>
      </c>
      <c r="D177" s="48">
        <f>ROUND(SUM(Ｎ!D78:D83)/6,0)</f>
        <v>40675</v>
      </c>
      <c r="E177" s="45">
        <f>Ｎ!F177+Ｎ!G177</f>
        <v>35050</v>
      </c>
      <c r="F177" s="45">
        <f>Ｎ!D177-Ｎ!H177-Ｎ!G177</f>
        <v>33267</v>
      </c>
      <c r="G177" s="79">
        <f>ROUND(SUM(Ｎ!G78:G83)/6,0)</f>
        <v>1783</v>
      </c>
      <c r="H177" s="80">
        <f>ROUND(SUM(Ｎ!H78:H83)/6,0)</f>
        <v>5625</v>
      </c>
      <c r="I177" s="48">
        <f>ROUND(SUM(Ｎ!I78:I83)/6,0)</f>
        <v>80387</v>
      </c>
      <c r="J177" s="45">
        <f>ROUND(SUM(Ｎ!J78:J83)/6,0)</f>
        <v>68639</v>
      </c>
      <c r="K177" s="45">
        <f>ROUND(SUM(Ｎ!K78:K83)/6,0)</f>
        <v>49670</v>
      </c>
      <c r="L177" s="79">
        <f>ROUND(SUM(Ｎ!L78:L83)/6,0)</f>
        <v>18969</v>
      </c>
      <c r="M177" s="45">
        <f>ROUND(SUM(Ｎ!M78:M83)/6,0)</f>
        <v>11749</v>
      </c>
      <c r="N177" s="45">
        <f>ROUND(SUM(Ｎ!N78:N83)/6,0)</f>
        <v>8444</v>
      </c>
      <c r="O177" s="80">
        <f>ROUND(SUM(Ｎ!O78:O83)/6,0)</f>
        <v>3305</v>
      </c>
      <c r="P177" s="48">
        <f>ROUND(SUM(Ｎ!P78:P83)/6,0)</f>
        <v>104113</v>
      </c>
      <c r="Q177" s="45">
        <f>ROUND(SUM(Ｎ!Q78:Q83)/6,0)</f>
        <v>292282</v>
      </c>
      <c r="R177" s="50">
        <f>Ｎ!D177/Ｎ!P177</f>
        <v>0.39068127899493821</v>
      </c>
      <c r="S177" s="51">
        <f>Ｎ!I177/Ｎ!Q177</f>
        <v>0.27503233178916253</v>
      </c>
      <c r="T177" s="52">
        <f>Ｎ!M177/Ｎ!I177</f>
        <v>0.14615547289984698</v>
      </c>
    </row>
    <row r="178" spans="3:20" x14ac:dyDescent="0.2">
      <c r="C178" s="43">
        <v>11</v>
      </c>
      <c r="D178" s="48">
        <f>ROUND(SUM(Ｎ!D79:D84)/6,0)</f>
        <v>40817</v>
      </c>
      <c r="E178" s="45">
        <f>Ｎ!F178+Ｎ!G178</f>
        <v>35179</v>
      </c>
      <c r="F178" s="45">
        <f>Ｎ!D178-Ｎ!H178-Ｎ!G178</f>
        <v>33386</v>
      </c>
      <c r="G178" s="79">
        <f>ROUND(SUM(Ｎ!G79:G84)/6,0)</f>
        <v>1793</v>
      </c>
      <c r="H178" s="80">
        <f>ROUND(SUM(Ｎ!H79:H84)/6,0)</f>
        <v>5638</v>
      </c>
      <c r="I178" s="48">
        <f>ROUND(SUM(Ｎ!I79:I84)/6,0)</f>
        <v>80637</v>
      </c>
      <c r="J178" s="45">
        <f>ROUND(SUM(Ｎ!J79:J84)/6,0)</f>
        <v>68850</v>
      </c>
      <c r="K178" s="45">
        <f>ROUND(SUM(Ｎ!K79:K84)/6,0)</f>
        <v>49779</v>
      </c>
      <c r="L178" s="79">
        <f>ROUND(SUM(Ｎ!L79:L84)/6,0)</f>
        <v>19072</v>
      </c>
      <c r="M178" s="45">
        <f>ROUND(SUM(Ｎ!M79:M84)/6,0)</f>
        <v>11786</v>
      </c>
      <c r="N178" s="45">
        <f>ROUND(SUM(Ｎ!N79:N84)/6,0)</f>
        <v>8471</v>
      </c>
      <c r="O178" s="80">
        <f>ROUND(SUM(Ｎ!O79:O84)/6,0)</f>
        <v>3315</v>
      </c>
      <c r="P178" s="48">
        <f>ROUND(SUM(Ｎ!P79:P84)/6,0)</f>
        <v>104186</v>
      </c>
      <c r="Q178" s="45">
        <f>ROUND(SUM(Ｎ!Q79:Q84)/6,0)</f>
        <v>292341</v>
      </c>
      <c r="R178" s="50">
        <f>Ｎ!D178/Ｎ!P178</f>
        <v>0.391770487397539</v>
      </c>
      <c r="S178" s="51">
        <f>Ｎ!I178/Ｎ!Q178</f>
        <v>0.27583199072316233</v>
      </c>
      <c r="T178" s="52">
        <f>Ｎ!M178/Ｎ!I178</f>
        <v>0.14616119151258108</v>
      </c>
    </row>
    <row r="179" spans="3:20" x14ac:dyDescent="0.2">
      <c r="C179" s="43">
        <v>12</v>
      </c>
      <c r="D179" s="48">
        <f>ROUND(SUM(Ｎ!D80:D85)/6,0)</f>
        <v>40950</v>
      </c>
      <c r="E179" s="55">
        <f>Ｎ!F179+Ｎ!G179</f>
        <v>35299</v>
      </c>
      <c r="F179" s="55">
        <f>Ｎ!D179-Ｎ!H179-Ｎ!G179</f>
        <v>33492</v>
      </c>
      <c r="G179" s="89">
        <f>ROUND(SUM(Ｎ!G80:G85)/6,0)</f>
        <v>1807</v>
      </c>
      <c r="H179" s="90">
        <f>ROUND(SUM(Ｎ!H80:H85)/6,0)</f>
        <v>5651</v>
      </c>
      <c r="I179" s="58">
        <f>ROUND(SUM(Ｎ!I80:I85)/6,0)</f>
        <v>80874</v>
      </c>
      <c r="J179" s="55">
        <f>ROUND(SUM(Ｎ!J80:J85)/6,0)</f>
        <v>69048</v>
      </c>
      <c r="K179" s="55">
        <f>ROUND(SUM(Ｎ!K80:K85)/6,0)</f>
        <v>49872</v>
      </c>
      <c r="L179" s="89">
        <f>ROUND(SUM(Ｎ!L80:L85)/6,0)</f>
        <v>19176</v>
      </c>
      <c r="M179" s="55">
        <f>ROUND(SUM(Ｎ!M80:M85)/6,0)</f>
        <v>11827</v>
      </c>
      <c r="N179" s="55">
        <f>ROUND(SUM(Ｎ!N80:N85)/6,0)</f>
        <v>8505</v>
      </c>
      <c r="O179" s="90">
        <f>ROUND(SUM(Ｎ!O80:O85)/6,0)</f>
        <v>3322</v>
      </c>
      <c r="P179" s="58">
        <f>ROUND(SUM(Ｎ!P80:P85)/6,0)</f>
        <v>104256</v>
      </c>
      <c r="Q179" s="55">
        <f>ROUND(SUM(Ｎ!Q80:Q85)/6,0)</f>
        <v>292392</v>
      </c>
      <c r="R179" s="60">
        <f>Ｎ!D179/Ｎ!P179</f>
        <v>0.39278314917127072</v>
      </c>
      <c r="S179" s="61">
        <f>Ｎ!I179/Ｎ!Q179</f>
        <v>0.27659443486825908</v>
      </c>
      <c r="T179" s="62">
        <f>Ｎ!M179/Ｎ!I179</f>
        <v>0.14623982985879269</v>
      </c>
    </row>
    <row r="180" spans="3:20" x14ac:dyDescent="0.2">
      <c r="C180" s="53">
        <v>1</v>
      </c>
      <c r="D180" s="48">
        <f>ROUND(SUM(Ｎ!D81:D86)/6,0)</f>
        <v>41077</v>
      </c>
      <c r="E180" s="45">
        <f>Ｎ!F180+Ｎ!G180</f>
        <v>35428</v>
      </c>
      <c r="F180" s="45">
        <f>Ｎ!D180-Ｎ!H180-Ｎ!G180</f>
        <v>33609</v>
      </c>
      <c r="G180" s="79">
        <f>ROUND(SUM(Ｎ!G81:G86)/6,0)</f>
        <v>1819</v>
      </c>
      <c r="H180" s="80">
        <f>ROUND(SUM(Ｎ!H81:H86)/6,0)</f>
        <v>5649</v>
      </c>
      <c r="I180" s="48">
        <f>ROUND(SUM(Ｎ!I81:I86)/6,0)</f>
        <v>81083</v>
      </c>
      <c r="J180" s="45">
        <f>ROUND(SUM(Ｎ!J81:J86)/6,0)</f>
        <v>69243</v>
      </c>
      <c r="K180" s="45">
        <f>ROUND(SUM(Ｎ!K81:K86)/6,0)</f>
        <v>49972</v>
      </c>
      <c r="L180" s="79">
        <f>ROUND(SUM(Ｎ!L81:L86)/6,0)</f>
        <v>19271</v>
      </c>
      <c r="M180" s="45">
        <f>ROUND(SUM(Ｎ!M81:M86)/6,0)</f>
        <v>11841</v>
      </c>
      <c r="N180" s="45">
        <f>ROUND(SUM(Ｎ!N81:N86)/6,0)</f>
        <v>8512</v>
      </c>
      <c r="O180" s="80">
        <f>ROUND(SUM(Ｎ!O81:O86)/6,0)</f>
        <v>3329</v>
      </c>
      <c r="P180" s="48">
        <f>ROUND(SUM(Ｎ!P81:P86)/6,0)</f>
        <v>104336</v>
      </c>
      <c r="Q180" s="45">
        <f>ROUND(SUM(Ｎ!Q81:Q86)/6,0)</f>
        <v>292444</v>
      </c>
      <c r="R180" s="50">
        <f>Ｎ!D180/Ｎ!P180</f>
        <v>0.39369920257629198</v>
      </c>
      <c r="S180" s="51">
        <f>Ｎ!I180/Ｎ!Q180</f>
        <v>0.27725991984790249</v>
      </c>
      <c r="T180" s="52">
        <f>Ｎ!M180/Ｎ!I180</f>
        <v>0.1460355438254628</v>
      </c>
    </row>
    <row r="181" spans="3:20" x14ac:dyDescent="0.2">
      <c r="C181" s="43">
        <v>2</v>
      </c>
      <c r="D181" s="48">
        <f>ROUND(SUM(Ｎ!D82:D87)/6,0)</f>
        <v>41210</v>
      </c>
      <c r="E181" s="45">
        <f>Ｎ!F181+Ｎ!G181</f>
        <v>35565</v>
      </c>
      <c r="F181" s="45">
        <f>Ｎ!D181-Ｎ!H181-Ｎ!G181</f>
        <v>33736</v>
      </c>
      <c r="G181" s="79">
        <f>ROUND(SUM(Ｎ!G82:G87)/6,0)</f>
        <v>1829</v>
      </c>
      <c r="H181" s="80">
        <f>ROUND(SUM(Ｎ!H82:H87)/6,0)</f>
        <v>5645</v>
      </c>
      <c r="I181" s="48">
        <f>ROUND(SUM(Ｎ!I82:I87)/6,0)</f>
        <v>81285</v>
      </c>
      <c r="J181" s="45">
        <f>ROUND(SUM(Ｎ!J82:J87)/6,0)</f>
        <v>69437</v>
      </c>
      <c r="K181" s="45">
        <f>ROUND(SUM(Ｎ!K82:K87)/6,0)</f>
        <v>50058</v>
      </c>
      <c r="L181" s="79">
        <f>ROUND(SUM(Ｎ!L82:L87)/6,0)</f>
        <v>19379</v>
      </c>
      <c r="M181" s="45">
        <f>ROUND(SUM(Ｎ!M82:M87)/6,0)</f>
        <v>11848</v>
      </c>
      <c r="N181" s="45">
        <f>ROUND(SUM(Ｎ!N82:N87)/6,0)</f>
        <v>8516</v>
      </c>
      <c r="O181" s="80">
        <f>ROUND(SUM(Ｎ!O82:O87)/6,0)</f>
        <v>3332</v>
      </c>
      <c r="P181" s="48">
        <f>ROUND(SUM(Ｎ!P82:P87)/6,0)</f>
        <v>104424</v>
      </c>
      <c r="Q181" s="45">
        <f>ROUND(SUM(Ｎ!Q82:Q87)/6,0)</f>
        <v>292483</v>
      </c>
      <c r="R181" s="50">
        <f>Ｎ!D181/Ｎ!P181</f>
        <v>0.39464107867923082</v>
      </c>
      <c r="S181" s="51">
        <f>Ｎ!I181/Ｎ!Q181</f>
        <v>0.27791358814016542</v>
      </c>
      <c r="T181" s="52">
        <f>Ｎ!M181/Ｎ!I181</f>
        <v>0.14575875007688996</v>
      </c>
    </row>
    <row r="182" spans="3:20" x14ac:dyDescent="0.2">
      <c r="C182" s="91">
        <v>3</v>
      </c>
      <c r="D182" s="92">
        <f>ROUND(SUM(Ｎ!D83:D88)/6,0)</f>
        <v>41334</v>
      </c>
      <c r="E182" s="289">
        <f>Ｎ!F182+Ｎ!G182</f>
        <v>35689</v>
      </c>
      <c r="F182" s="289">
        <f>Ｎ!D182-Ｎ!H182-Ｎ!G182</f>
        <v>33852</v>
      </c>
      <c r="G182" s="290">
        <f>ROUND(SUM(Ｎ!G83:G88)/6,0)</f>
        <v>1837</v>
      </c>
      <c r="H182" s="291">
        <f>ROUND(SUM(Ｎ!H83:H88)/6,0)</f>
        <v>5645</v>
      </c>
      <c r="I182" s="292">
        <f>ROUND(SUM(Ｎ!I83:I88)/6,0)</f>
        <v>81459</v>
      </c>
      <c r="J182" s="289">
        <f>ROUND(SUM(Ｎ!J83:J88)/6,0)</f>
        <v>69596</v>
      </c>
      <c r="K182" s="289">
        <f>ROUND(SUM(Ｎ!K83:K88)/6,0)</f>
        <v>50107</v>
      </c>
      <c r="L182" s="290">
        <f>ROUND(SUM(Ｎ!L83:L88)/6,0)</f>
        <v>19489</v>
      </c>
      <c r="M182" s="289">
        <f>ROUND(SUM(Ｎ!M83:M88)/6,0)</f>
        <v>11862</v>
      </c>
      <c r="N182" s="289">
        <f>ROUND(SUM(Ｎ!N83:N88)/6,0)</f>
        <v>8524</v>
      </c>
      <c r="O182" s="291">
        <f>ROUND(SUM(Ｎ!O83:O88)/6,0)</f>
        <v>3338</v>
      </c>
      <c r="P182" s="292">
        <f>ROUND(SUM(Ｎ!P83:P88)/6,0)</f>
        <v>104500</v>
      </c>
      <c r="Q182" s="289">
        <f>ROUND(SUM(Ｎ!Q83:Q88)/6,0)</f>
        <v>292412</v>
      </c>
      <c r="R182" s="293">
        <f>Ｎ!D182/Ｎ!P182</f>
        <v>0.3955406698564593</v>
      </c>
      <c r="S182" s="294">
        <f>Ｎ!I182/Ｎ!Q182</f>
        <v>0.27857611862714254</v>
      </c>
      <c r="T182" s="295">
        <f>Ｎ!M182/Ｎ!I182</f>
        <v>0.14561926858910618</v>
      </c>
    </row>
    <row r="183" spans="3:20" x14ac:dyDescent="0.2">
      <c r="C183" s="296" t="s">
        <v>2783</v>
      </c>
      <c r="D183" s="297">
        <f>ROUND(SUM(Ｎ!D84:D89)/6,0)</f>
        <v>41507</v>
      </c>
      <c r="E183" s="298">
        <f>Ｎ!F183+Ｎ!G183</f>
        <v>35840</v>
      </c>
      <c r="F183" s="298">
        <f>Ｎ!D183-Ｎ!H183-Ｎ!G183</f>
        <v>33986</v>
      </c>
      <c r="G183" s="299">
        <f>ROUND(SUM(Ｎ!G84:G89)/6,0)</f>
        <v>1854</v>
      </c>
      <c r="H183" s="300">
        <f>ROUND(SUM(Ｎ!H84:H89)/6,0)</f>
        <v>5667</v>
      </c>
      <c r="I183" s="297">
        <f>ROUND(SUM(Ｎ!I84:I89)/6,0)</f>
        <v>81731</v>
      </c>
      <c r="J183" s="298">
        <f>ROUND(SUM(Ｎ!J84:J89)/6,0)</f>
        <v>69799</v>
      </c>
      <c r="K183" s="298">
        <f>ROUND(SUM(Ｎ!K84:K89)/6,0)</f>
        <v>50185</v>
      </c>
      <c r="L183" s="299">
        <f>ROUND(SUM(Ｎ!L84:L89)/6,0)</f>
        <v>19614</v>
      </c>
      <c r="M183" s="298">
        <f>ROUND(SUM(Ｎ!M84:M89)/6,0)</f>
        <v>11932</v>
      </c>
      <c r="N183" s="298">
        <f>ROUND(SUM(Ｎ!N84:N89)/6,0)</f>
        <v>8567</v>
      </c>
      <c r="O183" s="300">
        <f>ROUND(SUM(Ｎ!O84:O89)/6,0)</f>
        <v>3365</v>
      </c>
      <c r="P183" s="297">
        <f>ROUND(SUM(Ｎ!P84:P89)/6,0)</f>
        <v>104639</v>
      </c>
      <c r="Q183" s="298">
        <f>ROUND(SUM(Ｎ!Q84:Q89)/6,0)</f>
        <v>292412</v>
      </c>
      <c r="R183" s="301">
        <f>Ｎ!D183/Ｎ!P183</f>
        <v>0.39666854614436298</v>
      </c>
      <c r="S183" s="302">
        <f>Ｎ!I183/Ｎ!Q183</f>
        <v>0.27950631301040996</v>
      </c>
      <c r="T183" s="303">
        <f>Ｎ!M183/Ｎ!I183</f>
        <v>0.14599111720155142</v>
      </c>
    </row>
    <row r="184" spans="3:20" x14ac:dyDescent="0.2">
      <c r="C184" s="53">
        <v>5</v>
      </c>
      <c r="D184" s="48">
        <f>ROUND(SUM(Ｎ!D85:D90)/6,0)</f>
        <v>41689</v>
      </c>
      <c r="E184" s="45">
        <f>Ｎ!F184+Ｎ!G184</f>
        <v>35996</v>
      </c>
      <c r="F184" s="45">
        <f>Ｎ!D184-Ｎ!H184-Ｎ!G184</f>
        <v>34124</v>
      </c>
      <c r="G184" s="79">
        <f>ROUND(SUM(Ｎ!G85:G90)/6,0)</f>
        <v>1872</v>
      </c>
      <c r="H184" s="80">
        <f>ROUND(SUM(Ｎ!H85:H90)/6,0)</f>
        <v>5693</v>
      </c>
      <c r="I184" s="48">
        <f>ROUND(SUM(Ｎ!I85:I90)/6,0)</f>
        <v>82013</v>
      </c>
      <c r="J184" s="45">
        <f>ROUND(SUM(Ｎ!J85:J90)/6,0)</f>
        <v>70002</v>
      </c>
      <c r="K184" s="45">
        <f>ROUND(SUM(Ｎ!K85:K90)/6,0)</f>
        <v>50264</v>
      </c>
      <c r="L184" s="79">
        <f>ROUND(SUM(Ｎ!L85:L90)/6,0)</f>
        <v>19738</v>
      </c>
      <c r="M184" s="45">
        <f>ROUND(SUM(Ｎ!M85:M90)/6,0)</f>
        <v>12011</v>
      </c>
      <c r="N184" s="45">
        <f>ROUND(SUM(Ｎ!N85:N90)/6,0)</f>
        <v>8617</v>
      </c>
      <c r="O184" s="80">
        <f>ROUND(SUM(Ｎ!O85:O90)/6,0)</f>
        <v>3394</v>
      </c>
      <c r="P184" s="48">
        <f>ROUND(SUM(Ｎ!P85:P90)/6,0)</f>
        <v>104779</v>
      </c>
      <c r="Q184" s="45">
        <f>ROUND(SUM(Ｎ!Q85:Q90)/6,0)</f>
        <v>292418</v>
      </c>
      <c r="R184" s="50">
        <f>Ｎ!D184/Ｎ!P184</f>
        <v>0.39787552849330493</v>
      </c>
      <c r="S184" s="51">
        <f>Ｎ!I184/Ｎ!Q184</f>
        <v>0.28046495085801831</v>
      </c>
      <c r="T184" s="52">
        <f>Ｎ!M184/Ｎ!I184</f>
        <v>0.14645239169399973</v>
      </c>
    </row>
    <row r="185" spans="3:20" x14ac:dyDescent="0.2">
      <c r="C185" s="43">
        <v>6</v>
      </c>
      <c r="D185" s="48">
        <f>ROUND(SUM(Ｎ!D86:D91)/6,0)</f>
        <v>41877</v>
      </c>
      <c r="E185" s="45">
        <f>Ｎ!F185+Ｎ!G185</f>
        <v>36160</v>
      </c>
      <c r="F185" s="45">
        <f>Ｎ!D185-Ｎ!H185-Ｎ!G185</f>
        <v>34272</v>
      </c>
      <c r="G185" s="79">
        <f>ROUND(SUM(Ｎ!G86:G91)/6,0)</f>
        <v>1888</v>
      </c>
      <c r="H185" s="80">
        <f>ROUND(SUM(Ｎ!H86:H91)/6,0)</f>
        <v>5717</v>
      </c>
      <c r="I185" s="48">
        <f>ROUND(SUM(Ｎ!I86:I91)/6,0)</f>
        <v>82293</v>
      </c>
      <c r="J185" s="45">
        <f>ROUND(SUM(Ｎ!J86:J91)/6,0)</f>
        <v>70208</v>
      </c>
      <c r="K185" s="45">
        <f>ROUND(SUM(Ｎ!K86:K91)/6,0)</f>
        <v>50354</v>
      </c>
      <c r="L185" s="79">
        <f>ROUND(SUM(Ｎ!L86:L91)/6,0)</f>
        <v>19854</v>
      </c>
      <c r="M185" s="45">
        <f>ROUND(SUM(Ｎ!M86:M91)/6,0)</f>
        <v>12085</v>
      </c>
      <c r="N185" s="45">
        <f>ROUND(SUM(Ｎ!N86:N91)/6,0)</f>
        <v>8661</v>
      </c>
      <c r="O185" s="80">
        <f>ROUND(SUM(Ｎ!O86:O91)/6,0)</f>
        <v>3424</v>
      </c>
      <c r="P185" s="48">
        <f>ROUND(SUM(Ｎ!P86:P91)/6,0)</f>
        <v>104934</v>
      </c>
      <c r="Q185" s="45">
        <f>ROUND(SUM(Ｎ!Q86:Q91)/6,0)</f>
        <v>292442</v>
      </c>
      <c r="R185" s="50">
        <f>Ｎ!D185/Ｎ!P185</f>
        <v>0.39907942135056323</v>
      </c>
      <c r="S185" s="51">
        <f>Ｎ!I185/Ｎ!Q185</f>
        <v>0.28139938859671321</v>
      </c>
      <c r="T185" s="52">
        <f>Ｎ!M185/Ｎ!I185</f>
        <v>0.14685331680701882</v>
      </c>
    </row>
    <row r="186" spans="3:20" x14ac:dyDescent="0.2">
      <c r="C186" s="43">
        <v>7</v>
      </c>
      <c r="D186" s="48">
        <f>ROUND(SUM(Ｎ!D87:D92)/6,0)</f>
        <v>42062</v>
      </c>
      <c r="E186" s="55">
        <f>Ｎ!F186+Ｎ!G186</f>
        <v>36314</v>
      </c>
      <c r="F186" s="55">
        <f>Ｎ!D186-Ｎ!H186-Ｎ!G186</f>
        <v>34410</v>
      </c>
      <c r="G186" s="89">
        <f>ROUND(SUM(Ｎ!G87:G92)/6,0)</f>
        <v>1904</v>
      </c>
      <c r="H186" s="90">
        <f>ROUND(SUM(Ｎ!H87:H92)/6,0)</f>
        <v>5748</v>
      </c>
      <c r="I186" s="58">
        <f>ROUND(SUM(Ｎ!I87:I92)/6,0)</f>
        <v>82581</v>
      </c>
      <c r="J186" s="55">
        <f>ROUND(SUM(Ｎ!J87:J92)/6,0)</f>
        <v>70407</v>
      </c>
      <c r="K186" s="55">
        <f>ROUND(SUM(Ｎ!K87:K92)/6,0)</f>
        <v>50423</v>
      </c>
      <c r="L186" s="89">
        <f>ROUND(SUM(Ｎ!L87:L92)/6,0)</f>
        <v>19984</v>
      </c>
      <c r="M186" s="55">
        <f>ROUND(SUM(Ｎ!M87:M92)/6,0)</f>
        <v>12174</v>
      </c>
      <c r="N186" s="55">
        <f>ROUND(SUM(Ｎ!N87:N92)/6,0)</f>
        <v>8716</v>
      </c>
      <c r="O186" s="90">
        <f>ROUND(SUM(Ｎ!O87:O92)/6,0)</f>
        <v>3457</v>
      </c>
      <c r="P186" s="58">
        <f>ROUND(SUM(Ｎ!P87:P92)/6,0)</f>
        <v>105083</v>
      </c>
      <c r="Q186" s="55">
        <f>ROUND(SUM(Ｎ!Q87:Q92)/6,0)</f>
        <v>292479</v>
      </c>
      <c r="R186" s="60">
        <f>Ｎ!D186/Ｎ!P186</f>
        <v>0.40027406906921198</v>
      </c>
      <c r="S186" s="61">
        <f>Ｎ!I186/Ｎ!Q186</f>
        <v>0.28234847630086263</v>
      </c>
      <c r="T186" s="62">
        <f>Ｎ!M186/Ｎ!I186</f>
        <v>0.14741889780942347</v>
      </c>
    </row>
    <row r="187" spans="3:20" x14ac:dyDescent="0.2">
      <c r="C187" s="53">
        <v>8</v>
      </c>
      <c r="D187" s="48">
        <f>ROUND(SUM(Ｎ!D88:D93)/6,0)</f>
        <v>42239</v>
      </c>
      <c r="E187" s="55">
        <f>Ｎ!F187+Ｎ!G187</f>
        <v>36452</v>
      </c>
      <c r="F187" s="55">
        <f>Ｎ!D187-Ｎ!H187-Ｎ!G187</f>
        <v>34531</v>
      </c>
      <c r="G187" s="89">
        <f>ROUND(SUM(Ｎ!G88:G93)/6,0)</f>
        <v>1921</v>
      </c>
      <c r="H187" s="90">
        <f>ROUND(SUM(Ｎ!H88:H93)/6,0)</f>
        <v>5787</v>
      </c>
      <c r="I187" s="58">
        <f>ROUND(SUM(Ｎ!I88:I93)/6,0)</f>
        <v>82853</v>
      </c>
      <c r="J187" s="55">
        <f>ROUND(SUM(Ｎ!J88:J93)/6,0)</f>
        <v>70577</v>
      </c>
      <c r="K187" s="55">
        <f>ROUND(SUM(Ｎ!K88:K93)/6,0)</f>
        <v>50471</v>
      </c>
      <c r="L187" s="89">
        <f>ROUND(SUM(Ｎ!L88:L93)/6,0)</f>
        <v>20106</v>
      </c>
      <c r="M187" s="55">
        <f>ROUND(SUM(Ｎ!M88:M93)/6,0)</f>
        <v>12276</v>
      </c>
      <c r="N187" s="55">
        <f>ROUND(SUM(Ｎ!N88:N93)/6,0)</f>
        <v>8782</v>
      </c>
      <c r="O187" s="90">
        <f>ROUND(SUM(Ｎ!O88:O93)/6,0)</f>
        <v>3494</v>
      </c>
      <c r="P187" s="58">
        <f>ROUND(SUM(Ｎ!P88:P93)/6,0)</f>
        <v>105238</v>
      </c>
      <c r="Q187" s="55">
        <f>ROUND(SUM(Ｎ!Q88:Q93)/6,0)</f>
        <v>292542</v>
      </c>
      <c r="R187" s="60">
        <f>Ｎ!D187/Ｎ!P187</f>
        <v>0.40136642657595167</v>
      </c>
      <c r="S187" s="61">
        <f>Ｎ!I187/Ｎ!Q187</f>
        <v>0.28321745253672975</v>
      </c>
      <c r="T187" s="62">
        <f>Ｎ!M187/Ｎ!I187</f>
        <v>0.14816602899110473</v>
      </c>
    </row>
    <row r="188" spans="3:20" x14ac:dyDescent="0.2">
      <c r="C188" s="53">
        <v>9</v>
      </c>
      <c r="D188" s="58">
        <f>ROUND(SUM(Ｎ!D89:D94)/6,0)</f>
        <v>42425</v>
      </c>
      <c r="E188" s="55">
        <f>Ｎ!F188+Ｎ!G188</f>
        <v>36605</v>
      </c>
      <c r="F188" s="55">
        <f>Ｎ!D188-Ｎ!H188-Ｎ!G188</f>
        <v>34664</v>
      </c>
      <c r="G188" s="89">
        <f>ROUND(SUM(Ｎ!G89:G94)/6,0)</f>
        <v>1941</v>
      </c>
      <c r="H188" s="90">
        <f>ROUND(SUM(Ｎ!H89:H94)/6,0)</f>
        <v>5820</v>
      </c>
      <c r="I188" s="58">
        <f>ROUND(SUM(Ｎ!I89:I94)/6,0)</f>
        <v>83152</v>
      </c>
      <c r="J188" s="55">
        <f>ROUND(SUM(Ｎ!J89:J94)/6,0)</f>
        <v>70777</v>
      </c>
      <c r="K188" s="55">
        <f>ROUND(SUM(Ｎ!K89:K94)/6,0)</f>
        <v>50548</v>
      </c>
      <c r="L188" s="89">
        <f>ROUND(SUM(Ｎ!L89:L94)/6,0)</f>
        <v>20230</v>
      </c>
      <c r="M188" s="55">
        <f>ROUND(SUM(Ｎ!M89:M94)/6,0)</f>
        <v>12375</v>
      </c>
      <c r="N188" s="55">
        <f>ROUND(SUM(Ｎ!N89:N94)/6,0)</f>
        <v>8844</v>
      </c>
      <c r="O188" s="90">
        <f>ROUND(SUM(Ｎ!O89:O94)/6,0)</f>
        <v>3531</v>
      </c>
      <c r="P188" s="58">
        <f>ROUND(SUM(Ｎ!P89:P94)/6,0)</f>
        <v>105398</v>
      </c>
      <c r="Q188" s="55">
        <f>ROUND(SUM(Ｎ!Q89:Q94)/6,0)</f>
        <v>292702</v>
      </c>
      <c r="R188" s="60">
        <f>Ｎ!D188/Ｎ!P188</f>
        <v>0.40252186948518948</v>
      </c>
      <c r="S188" s="61">
        <f>Ｎ!I188/Ｎ!Q188</f>
        <v>0.28408415384930746</v>
      </c>
      <c r="T188" s="62">
        <f>Ｎ!M188/Ｎ!I188</f>
        <v>0.14882384067731383</v>
      </c>
    </row>
    <row r="189" spans="3:20" x14ac:dyDescent="0.2">
      <c r="C189" s="53">
        <v>10</v>
      </c>
      <c r="D189" s="48">
        <f>ROUND(SUM(Ｎ!D90:D95)/6,0)</f>
        <v>42572</v>
      </c>
      <c r="E189" s="45">
        <f>Ｎ!F189+Ｎ!G189</f>
        <v>36741</v>
      </c>
      <c r="F189" s="45">
        <f>Ｎ!D189-Ｎ!H189-Ｎ!G189</f>
        <v>34784</v>
      </c>
      <c r="G189" s="79">
        <f>ROUND(SUM(Ｎ!G90:G95)/6,0)</f>
        <v>1957</v>
      </c>
      <c r="H189" s="80">
        <f>ROUND(SUM(Ｎ!H90:H95)/6,0)</f>
        <v>5831</v>
      </c>
      <c r="I189" s="48">
        <f>ROUND(SUM(Ｎ!I90:I95)/6,0)</f>
        <v>83377</v>
      </c>
      <c r="J189" s="45">
        <f>ROUND(SUM(Ｎ!J90:J95)/6,0)</f>
        <v>70957</v>
      </c>
      <c r="K189" s="45">
        <f>ROUND(SUM(Ｎ!K90:K95)/6,0)</f>
        <v>50616</v>
      </c>
      <c r="L189" s="79">
        <f>ROUND(SUM(Ｎ!L90:L95)/6,0)</f>
        <v>20341</v>
      </c>
      <c r="M189" s="45">
        <f>ROUND(SUM(Ｎ!M90:M95)/6,0)</f>
        <v>12420</v>
      </c>
      <c r="N189" s="45">
        <f>ROUND(SUM(Ｎ!N90:N95)/6,0)</f>
        <v>8871</v>
      </c>
      <c r="O189" s="80">
        <f>ROUND(SUM(Ｎ!O90:O95)/6,0)</f>
        <v>3549</v>
      </c>
      <c r="P189" s="48">
        <f>ROUND(SUM(Ｎ!P90:P95)/6,0)</f>
        <v>105507</v>
      </c>
      <c r="Q189" s="45">
        <f>ROUND(SUM(Ｎ!Q90:Q95)/6,0)</f>
        <v>292810</v>
      </c>
      <c r="R189" s="50">
        <f>Ｎ!D189/Ｎ!P189</f>
        <v>0.40349929388571376</v>
      </c>
      <c r="S189" s="51">
        <f>Ｎ!I189/Ｎ!Q189</f>
        <v>0.28474778866841982</v>
      </c>
      <c r="T189" s="52">
        <f>Ｎ!M189/Ｎ!I189</f>
        <v>0.14896194394137471</v>
      </c>
    </row>
    <row r="190" spans="3:20" x14ac:dyDescent="0.2">
      <c r="C190" s="43">
        <v>11</v>
      </c>
      <c r="D190" s="48">
        <f>ROUND(SUM(Ｎ!D91:D96)/6,0)</f>
        <v>42712</v>
      </c>
      <c r="E190" s="45">
        <f>Ｎ!F190+Ｎ!G190</f>
        <v>36871</v>
      </c>
      <c r="F190" s="45">
        <f>Ｎ!D190-Ｎ!H190-Ｎ!G190</f>
        <v>34903</v>
      </c>
      <c r="G190" s="79">
        <f>ROUND(SUM(Ｎ!G91:G96)/6,0)</f>
        <v>1968</v>
      </c>
      <c r="H190" s="80">
        <f>ROUND(SUM(Ｎ!H91:H96)/6,0)</f>
        <v>5841</v>
      </c>
      <c r="I190" s="48">
        <f>ROUND(SUM(Ｎ!I91:I96)/6,0)</f>
        <v>83603</v>
      </c>
      <c r="J190" s="45">
        <f>ROUND(SUM(Ｎ!J91:J96)/6,0)</f>
        <v>71141</v>
      </c>
      <c r="K190" s="45">
        <f>ROUND(SUM(Ｎ!K91:K96)/6,0)</f>
        <v>50685</v>
      </c>
      <c r="L190" s="79">
        <f>ROUND(SUM(Ｎ!L91:L96)/6,0)</f>
        <v>20456</v>
      </c>
      <c r="M190" s="45">
        <f>ROUND(SUM(Ｎ!M91:M96)/6,0)</f>
        <v>12461</v>
      </c>
      <c r="N190" s="45">
        <f>ROUND(SUM(Ｎ!N91:N96)/6,0)</f>
        <v>8895</v>
      </c>
      <c r="O190" s="80">
        <f>ROUND(SUM(Ｎ!O91:O96)/6,0)</f>
        <v>3567</v>
      </c>
      <c r="P190" s="48">
        <f>ROUND(SUM(Ｎ!P91:P96)/6,0)</f>
        <v>105628</v>
      </c>
      <c r="Q190" s="45">
        <f>ROUND(SUM(Ｎ!Q91:Q96)/6,0)</f>
        <v>292930</v>
      </c>
      <c r="R190" s="50">
        <f>Ｎ!D190/Ｎ!P190</f>
        <v>0.40436247964554856</v>
      </c>
      <c r="S190" s="51">
        <f>Ｎ!I190/Ｎ!Q190</f>
        <v>0.2854026559246236</v>
      </c>
      <c r="T190" s="52">
        <f>Ｎ!M190/Ｎ!I190</f>
        <v>0.14904967525088814</v>
      </c>
    </row>
    <row r="191" spans="3:20" x14ac:dyDescent="0.2">
      <c r="C191" s="43">
        <v>12</v>
      </c>
      <c r="D191" s="48">
        <f>ROUND(SUM(Ｎ!D92:D97)/6,0)</f>
        <v>42853</v>
      </c>
      <c r="E191" s="55">
        <f>Ｎ!F191+Ｎ!G191</f>
        <v>37003</v>
      </c>
      <c r="F191" s="55">
        <f>Ｎ!D191-Ｎ!H191-Ｎ!G191</f>
        <v>35023</v>
      </c>
      <c r="G191" s="89">
        <f>ROUND(SUM(Ｎ!G92:G97)/6,0)</f>
        <v>1980</v>
      </c>
      <c r="H191" s="90">
        <f>ROUND(SUM(Ｎ!H92:H97)/6,0)</f>
        <v>5850</v>
      </c>
      <c r="I191" s="58">
        <f>ROUND(SUM(Ｎ!I92:I97)/6,0)</f>
        <v>83836</v>
      </c>
      <c r="J191" s="55">
        <f>ROUND(SUM(Ｎ!J92:J97)/6,0)</f>
        <v>71334</v>
      </c>
      <c r="K191" s="55">
        <f>ROUND(SUM(Ｎ!K92:K97)/6,0)</f>
        <v>50754</v>
      </c>
      <c r="L191" s="89">
        <f>ROUND(SUM(Ｎ!L92:L97)/6,0)</f>
        <v>20580</v>
      </c>
      <c r="M191" s="55">
        <f>ROUND(SUM(Ｎ!M92:M97)/6,0)</f>
        <v>12502</v>
      </c>
      <c r="N191" s="55">
        <f>ROUND(SUM(Ｎ!N92:N97)/6,0)</f>
        <v>8915</v>
      </c>
      <c r="O191" s="90">
        <f>ROUND(SUM(Ｎ!O92:O97)/6,0)</f>
        <v>3586</v>
      </c>
      <c r="P191" s="58">
        <f>ROUND(SUM(Ｎ!P92:P97)/6,0)</f>
        <v>105739</v>
      </c>
      <c r="Q191" s="55">
        <f>ROUND(SUM(Ｎ!Q92:Q97)/6,0)</f>
        <v>293038</v>
      </c>
      <c r="R191" s="60">
        <f>Ｎ!D191/Ｎ!P191</f>
        <v>0.40527147031842553</v>
      </c>
      <c r="S191" s="61">
        <f>Ｎ!I191/Ｎ!Q191</f>
        <v>0.28609258867450638</v>
      </c>
      <c r="T191" s="62">
        <f>Ｎ!M191/Ｎ!I191</f>
        <v>0.1491244811298249</v>
      </c>
    </row>
    <row r="192" spans="3:20" x14ac:dyDescent="0.2">
      <c r="C192" s="53">
        <v>1</v>
      </c>
      <c r="D192" s="48">
        <f>ROUND(SUM(Ｎ!D93:D98)/6,0)</f>
        <v>43007</v>
      </c>
      <c r="E192" s="45">
        <f>Ｎ!F192+Ｎ!G192</f>
        <v>37152</v>
      </c>
      <c r="F192" s="45">
        <f>Ｎ!D192-Ｎ!H192-Ｎ!G192</f>
        <v>35164</v>
      </c>
      <c r="G192" s="79">
        <f>ROUND(SUM(Ｎ!G93:G98)/6,0)</f>
        <v>1988</v>
      </c>
      <c r="H192" s="80">
        <f>ROUND(SUM(Ｎ!H93:H98)/6,0)</f>
        <v>5855</v>
      </c>
      <c r="I192" s="48">
        <f>ROUND(SUM(Ｎ!I93:I98)/6,0)</f>
        <v>84089</v>
      </c>
      <c r="J192" s="45">
        <f>ROUND(SUM(Ｎ!J93:J98)/6,0)</f>
        <v>71561</v>
      </c>
      <c r="K192" s="45">
        <f>ROUND(SUM(Ｎ!K93:K98)/6,0)</f>
        <v>50853</v>
      </c>
      <c r="L192" s="79">
        <f>ROUND(SUM(Ｎ!L93:L98)/6,0)</f>
        <v>20709</v>
      </c>
      <c r="M192" s="45">
        <f>ROUND(SUM(Ｎ!M93:M98)/6,0)</f>
        <v>12528</v>
      </c>
      <c r="N192" s="45">
        <f>ROUND(SUM(Ｎ!N93:N98)/6,0)</f>
        <v>8927</v>
      </c>
      <c r="O192" s="80">
        <f>ROUND(SUM(Ｎ!O93:O98)/6,0)</f>
        <v>3601</v>
      </c>
      <c r="P192" s="48">
        <f>ROUND(SUM(Ｎ!P93:P98)/6,0)</f>
        <v>105862</v>
      </c>
      <c r="Q192" s="45">
        <f>ROUND(SUM(Ｎ!Q93:Q98)/6,0)</f>
        <v>293152</v>
      </c>
      <c r="R192" s="50">
        <f>Ｎ!D192/Ｎ!P192</f>
        <v>0.40625531352137689</v>
      </c>
      <c r="S192" s="51">
        <f>Ｎ!I192/Ｎ!Q192</f>
        <v>0.28684436742713676</v>
      </c>
      <c r="T192" s="52">
        <f>Ｎ!M192/Ｎ!I192</f>
        <v>0.14898500398387424</v>
      </c>
    </row>
    <row r="193" spans="2:20" x14ac:dyDescent="0.2">
      <c r="C193" s="43">
        <v>2</v>
      </c>
      <c r="D193" s="48">
        <f>ROUND(SUM(Ｎ!D94:D99)/6,0)</f>
        <v>43145</v>
      </c>
      <c r="E193" s="45">
        <f>Ｎ!F193+Ｎ!G193</f>
        <v>37290</v>
      </c>
      <c r="F193" s="45">
        <f>Ｎ!D193-Ｎ!H193-Ｎ!G193</f>
        <v>35297</v>
      </c>
      <c r="G193" s="79">
        <f>ROUND(SUM(Ｎ!G94:G99)/6,0)</f>
        <v>1993</v>
      </c>
      <c r="H193" s="80">
        <f>ROUND(SUM(Ｎ!H94:H99)/6,0)</f>
        <v>5855</v>
      </c>
      <c r="I193" s="48">
        <f>ROUND(SUM(Ｎ!I94:I99)/6,0)</f>
        <v>84326</v>
      </c>
      <c r="J193" s="45">
        <f>ROUND(SUM(Ｎ!J94:J99)/6,0)</f>
        <v>71786</v>
      </c>
      <c r="K193" s="45">
        <f>ROUND(SUM(Ｎ!K94:K99)/6,0)</f>
        <v>50941</v>
      </c>
      <c r="L193" s="79">
        <f>ROUND(SUM(Ｎ!L94:L99)/6,0)</f>
        <v>20845</v>
      </c>
      <c r="M193" s="45">
        <f>ROUND(SUM(Ｎ!M94:M99)/6,0)</f>
        <v>12540</v>
      </c>
      <c r="N193" s="45">
        <f>ROUND(SUM(Ｎ!N94:N99)/6,0)</f>
        <v>8927</v>
      </c>
      <c r="O193" s="80">
        <f>ROUND(SUM(Ｎ!O94:O99)/6,0)</f>
        <v>3613</v>
      </c>
      <c r="P193" s="48">
        <f>ROUND(SUM(Ｎ!P94:P99)/6,0)</f>
        <v>105960</v>
      </c>
      <c r="Q193" s="45">
        <f>ROUND(SUM(Ｎ!Q94:Q99)/6,0)</f>
        <v>293229</v>
      </c>
      <c r="R193" s="50">
        <f>Ｎ!D193/Ｎ!P193</f>
        <v>0.40718195545488861</v>
      </c>
      <c r="S193" s="51">
        <f>Ｎ!I193/Ｎ!Q193</f>
        <v>0.28757728601195653</v>
      </c>
      <c r="T193" s="52">
        <f>Ｎ!M193/Ｎ!I193</f>
        <v>0.14870858335507436</v>
      </c>
    </row>
    <row r="194" spans="2:20" x14ac:dyDescent="0.2">
      <c r="C194" s="91">
        <v>3</v>
      </c>
      <c r="D194" s="92">
        <f>ROUND(SUM(Ｎ!D95:D100)/6,0)</f>
        <v>43280</v>
      </c>
      <c r="E194" s="289">
        <f>Ｎ!F194+Ｎ!G194</f>
        <v>37403</v>
      </c>
      <c r="F194" s="289">
        <f>Ｎ!D194-Ｎ!H194-Ｎ!G194</f>
        <v>35406</v>
      </c>
      <c r="G194" s="290">
        <f>ROUND(SUM(Ｎ!G95:G100)/6,0)</f>
        <v>1997</v>
      </c>
      <c r="H194" s="291">
        <f>ROUND(SUM(Ｎ!H95:H100)/6,0)</f>
        <v>5877</v>
      </c>
      <c r="I194" s="292">
        <f>ROUND(SUM(Ｎ!I95:I100)/6,0)</f>
        <v>84544</v>
      </c>
      <c r="J194" s="289">
        <f>ROUND(SUM(Ｎ!J95:J100)/6,0)</f>
        <v>71956</v>
      </c>
      <c r="K194" s="289">
        <f>ROUND(SUM(Ｎ!K95:K100)/6,0)</f>
        <v>50980</v>
      </c>
      <c r="L194" s="290">
        <f>ROUND(SUM(Ｎ!L95:L100)/6,0)</f>
        <v>20976</v>
      </c>
      <c r="M194" s="289">
        <f>ROUND(SUM(Ｎ!M95:M100)/6,0)</f>
        <v>12587</v>
      </c>
      <c r="N194" s="289">
        <f>ROUND(SUM(Ｎ!N95:N100)/6,0)</f>
        <v>8952</v>
      </c>
      <c r="O194" s="291">
        <f>ROUND(SUM(Ｎ!O95:O100)/6,0)</f>
        <v>3635</v>
      </c>
      <c r="P194" s="292">
        <f>ROUND(SUM(Ｎ!P95:P100)/6,0)</f>
        <v>106053</v>
      </c>
      <c r="Q194" s="289">
        <f>ROUND(SUM(Ｎ!Q95:Q100)/6,0)</f>
        <v>293216</v>
      </c>
      <c r="R194" s="293">
        <f>Ｎ!D194/Ｎ!P194</f>
        <v>0.40809783787351606</v>
      </c>
      <c r="S194" s="294">
        <f>Ｎ!I194/Ｎ!Q194</f>
        <v>0.28833351522427153</v>
      </c>
      <c r="T194" s="295">
        <f>Ｎ!M194/Ｎ!I194</f>
        <v>0.14888105601816806</v>
      </c>
    </row>
    <row r="196" spans="2:20" x14ac:dyDescent="0.2">
      <c r="B196" s="206" t="s">
        <v>2784</v>
      </c>
    </row>
    <row r="197" spans="2:20" x14ac:dyDescent="0.2">
      <c r="C197" s="304" t="s">
        <v>2785</v>
      </c>
      <c r="D197" s="305">
        <f>ROUND(SUM(Ｎ!D5:D16)/12,0)</f>
        <v>34334</v>
      </c>
      <c r="E197" s="306">
        <f>Ｎ!F197+Ｎ!G197</f>
        <v>29543</v>
      </c>
      <c r="F197" s="306">
        <f>Ｎ!D197-Ｎ!H197-Ｎ!G197</f>
        <v>28174</v>
      </c>
      <c r="G197" s="307">
        <f>ROUND(SUM(Ｎ!G5:G16)/12,0)</f>
        <v>1369</v>
      </c>
      <c r="H197" s="308">
        <f>ROUND(SUM(Ｎ!H5:H16)/12,0)</f>
        <v>4791</v>
      </c>
      <c r="I197" s="305">
        <f>ROUND(SUM(Ｎ!I5:I16)/12,0)</f>
        <v>73303</v>
      </c>
      <c r="J197" s="306">
        <f>ROUND(SUM(Ｎ!J5:J16)/12,0)</f>
        <v>63612</v>
      </c>
      <c r="K197" s="306">
        <f>ROUND(SUM(Ｎ!K5:K16)/12,0)</f>
        <v>50611</v>
      </c>
      <c r="L197" s="307">
        <f>ROUND(SUM(Ｎ!L5:L16)/12,0)</f>
        <v>13000</v>
      </c>
      <c r="M197" s="306">
        <f>ROUND(SUM(Ｎ!M5:M16)/12,0)</f>
        <v>9691</v>
      </c>
      <c r="N197" s="306">
        <f>ROUND(SUM(Ｎ!N5:N16)/12,0)</f>
        <v>6976</v>
      </c>
      <c r="O197" s="308">
        <f>ROUND(SUM(Ｎ!O5:O16)/12,0)</f>
        <v>2715</v>
      </c>
      <c r="P197" s="305">
        <f>ROUND(SUM(Ｎ!P5:P16)/12,0)</f>
        <v>94415</v>
      </c>
      <c r="Q197" s="306">
        <f>ROUND(SUM(Ｎ!Q5:Q16)/12,0)</f>
        <v>283098</v>
      </c>
      <c r="R197" s="309">
        <f>Ｎ!D197/Ｎ!P197</f>
        <v>0.3636498437748239</v>
      </c>
      <c r="S197" s="310">
        <f>Ｎ!I197/Ｎ!Q197</f>
        <v>0.25893153607584651</v>
      </c>
      <c r="T197" s="311">
        <f>Ｎ!M197/Ｎ!I197</f>
        <v>0.13220468466502053</v>
      </c>
    </row>
    <row r="198" spans="2:20" x14ac:dyDescent="0.2">
      <c r="C198" s="296" t="s">
        <v>2786</v>
      </c>
      <c r="D198" s="297">
        <f>ROUND(SUM(Ｎ!D6:D17)/12,0)</f>
        <v>34379</v>
      </c>
      <c r="E198" s="298">
        <f>Ｎ!F198+Ｎ!G198</f>
        <v>29583</v>
      </c>
      <c r="F198" s="298">
        <f>Ｎ!D198-Ｎ!H198-Ｎ!G198</f>
        <v>28210</v>
      </c>
      <c r="G198" s="299">
        <f>ROUND(SUM(Ｎ!G6:G17)/12,0)</f>
        <v>1373</v>
      </c>
      <c r="H198" s="300">
        <f>ROUND(SUM(Ｎ!H6:H17)/12,0)</f>
        <v>4796</v>
      </c>
      <c r="I198" s="297">
        <f>ROUND(SUM(Ｎ!I6:I17)/12,0)</f>
        <v>73284</v>
      </c>
      <c r="J198" s="298">
        <f>ROUND(SUM(Ｎ!J6:J17)/12,0)</f>
        <v>63576</v>
      </c>
      <c r="K198" s="298">
        <f>ROUND(SUM(Ｎ!K6:K17)/12,0)</f>
        <v>50515</v>
      </c>
      <c r="L198" s="299">
        <f>ROUND(SUM(Ｎ!L6:L17)/12,0)</f>
        <v>13061</v>
      </c>
      <c r="M198" s="298">
        <f>ROUND(SUM(Ｎ!M6:M17)/12,0)</f>
        <v>9708</v>
      </c>
      <c r="N198" s="298">
        <f>ROUND(SUM(Ｎ!N6:N17)/12,0)</f>
        <v>6992</v>
      </c>
      <c r="O198" s="300">
        <f>ROUND(SUM(Ｎ!O6:O17)/12,0)</f>
        <v>2717</v>
      </c>
      <c r="P198" s="297">
        <f>ROUND(SUM(Ｎ!P6:P17)/12,0)</f>
        <v>94552</v>
      </c>
      <c r="Q198" s="298">
        <f>ROUND(SUM(Ｎ!Q6:Q17)/12,0)</f>
        <v>283263</v>
      </c>
      <c r="R198" s="301">
        <f>Ｎ!D198/Ｎ!P198</f>
        <v>0.36359886623233778</v>
      </c>
      <c r="S198" s="302">
        <f>Ｎ!I198/Ｎ!Q198</f>
        <v>0.25871363361963967</v>
      </c>
      <c r="T198" s="303">
        <f>Ｎ!M198/Ｎ!I198</f>
        <v>0.13247093499263141</v>
      </c>
    </row>
    <row r="199" spans="2:20" x14ac:dyDescent="0.2">
      <c r="C199" s="53">
        <v>5</v>
      </c>
      <c r="D199" s="48">
        <f>ROUND(SUM(Ｎ!D7:D18)/12,0)</f>
        <v>34426</v>
      </c>
      <c r="E199" s="45">
        <f>Ｎ!F199+Ｎ!G199</f>
        <v>29624</v>
      </c>
      <c r="F199" s="45">
        <f>Ｎ!D199-Ｎ!H199-Ｎ!G199</f>
        <v>28246</v>
      </c>
      <c r="G199" s="79">
        <f>ROUND(SUM(Ｎ!G7:G18)/12,0)</f>
        <v>1378</v>
      </c>
      <c r="H199" s="80">
        <f>ROUND(SUM(Ｎ!H7:H18)/12,0)</f>
        <v>4802</v>
      </c>
      <c r="I199" s="48">
        <f>ROUND(SUM(Ｎ!I7:I18)/12,0)</f>
        <v>73276</v>
      </c>
      <c r="J199" s="45">
        <f>ROUND(SUM(Ｎ!J7:J18)/12,0)</f>
        <v>63550</v>
      </c>
      <c r="K199" s="45">
        <f>ROUND(SUM(Ｎ!K7:K18)/12,0)</f>
        <v>50431</v>
      </c>
      <c r="L199" s="79">
        <f>ROUND(SUM(Ｎ!L7:L18)/12,0)</f>
        <v>13119</v>
      </c>
      <c r="M199" s="45">
        <f>ROUND(SUM(Ｎ!M7:M18)/12,0)</f>
        <v>9726</v>
      </c>
      <c r="N199" s="45">
        <f>ROUND(SUM(Ｎ!N7:N18)/12,0)</f>
        <v>7007</v>
      </c>
      <c r="O199" s="80">
        <f>ROUND(SUM(Ｎ!O7:O18)/12,0)</f>
        <v>2718</v>
      </c>
      <c r="P199" s="48">
        <f>ROUND(SUM(Ｎ!P7:P18)/12,0)</f>
        <v>94684</v>
      </c>
      <c r="Q199" s="45">
        <f>ROUND(SUM(Ｎ!Q7:Q18)/12,0)</f>
        <v>283409</v>
      </c>
      <c r="R199" s="50">
        <f>Ｎ!D199/Ｎ!P199</f>
        <v>0.36358835706138315</v>
      </c>
      <c r="S199" s="51">
        <f>Ｎ!I199/Ｎ!Q199</f>
        <v>0.25855212784350534</v>
      </c>
      <c r="T199" s="52">
        <f>Ｎ!M199/Ｎ!I199</f>
        <v>0.13273104427097548</v>
      </c>
    </row>
    <row r="200" spans="2:20" x14ac:dyDescent="0.2">
      <c r="C200" s="43">
        <v>6</v>
      </c>
      <c r="D200" s="48">
        <f>ROUND(SUM(Ｎ!D8:D19)/12,0)</f>
        <v>34473</v>
      </c>
      <c r="E200" s="45">
        <f>Ｎ!F200+Ｎ!G200</f>
        <v>29667</v>
      </c>
      <c r="F200" s="45">
        <f>Ｎ!D200-Ｎ!H200-Ｎ!G200</f>
        <v>28286</v>
      </c>
      <c r="G200" s="79">
        <f>ROUND(SUM(Ｎ!G8:G19)/12,0)</f>
        <v>1381</v>
      </c>
      <c r="H200" s="80">
        <f>ROUND(SUM(Ｎ!H8:H19)/12,0)</f>
        <v>4806</v>
      </c>
      <c r="I200" s="48">
        <f>ROUND(SUM(Ｎ!I8:I19)/12,0)</f>
        <v>73264</v>
      </c>
      <c r="J200" s="45">
        <f>ROUND(SUM(Ｎ!J8:J19)/12,0)</f>
        <v>63524</v>
      </c>
      <c r="K200" s="45">
        <f>ROUND(SUM(Ｎ!K8:K19)/12,0)</f>
        <v>50345</v>
      </c>
      <c r="L200" s="79">
        <f>ROUND(SUM(Ｎ!L8:L19)/12,0)</f>
        <v>13179</v>
      </c>
      <c r="M200" s="45">
        <f>ROUND(SUM(Ｎ!M8:M19)/12,0)</f>
        <v>9739</v>
      </c>
      <c r="N200" s="45">
        <f>ROUND(SUM(Ｎ!N8:N19)/12,0)</f>
        <v>7020</v>
      </c>
      <c r="O200" s="80">
        <f>ROUND(SUM(Ｎ!O8:O19)/12,0)</f>
        <v>2719</v>
      </c>
      <c r="P200" s="48">
        <f>ROUND(SUM(Ｎ!P8:P19)/12,0)</f>
        <v>94818</v>
      </c>
      <c r="Q200" s="45">
        <f>ROUND(SUM(Ｎ!Q8:Q19)/12,0)</f>
        <v>283560</v>
      </c>
      <c r="R200" s="50">
        <f>Ｎ!D200/Ｎ!P200</f>
        <v>0.3635702081883187</v>
      </c>
      <c r="S200" s="51">
        <f>Ｎ!I200/Ｎ!Q200</f>
        <v>0.25837212582874874</v>
      </c>
      <c r="T200" s="52">
        <f>Ｎ!M200/Ｎ!I200</f>
        <v>0.13293022493994322</v>
      </c>
    </row>
    <row r="201" spans="2:20" x14ac:dyDescent="0.2">
      <c r="C201" s="43">
        <v>7</v>
      </c>
      <c r="D201" s="48">
        <f>ROUND(SUM(Ｎ!D9:D20)/12,0)</f>
        <v>34526</v>
      </c>
      <c r="E201" s="55">
        <f>Ｎ!F201+Ｎ!G201</f>
        <v>29715</v>
      </c>
      <c r="F201" s="55">
        <f>Ｎ!D201-Ｎ!H201-Ｎ!G201</f>
        <v>28330</v>
      </c>
      <c r="G201" s="89">
        <f>ROUND(SUM(Ｎ!G9:G20)/12,0)</f>
        <v>1385</v>
      </c>
      <c r="H201" s="90">
        <f>ROUND(SUM(Ｎ!H9:H20)/12,0)</f>
        <v>4811</v>
      </c>
      <c r="I201" s="58">
        <f>ROUND(SUM(Ｎ!I9:I20)/12,0)</f>
        <v>73269</v>
      </c>
      <c r="J201" s="55">
        <f>ROUND(SUM(Ｎ!J9:J20)/12,0)</f>
        <v>63514</v>
      </c>
      <c r="K201" s="55">
        <f>ROUND(SUM(Ｎ!K9:K20)/12,0)</f>
        <v>50274</v>
      </c>
      <c r="L201" s="89">
        <f>ROUND(SUM(Ｎ!L9:L20)/12,0)</f>
        <v>13241</v>
      </c>
      <c r="M201" s="55">
        <f>ROUND(SUM(Ｎ!M9:M20)/12,0)</f>
        <v>9755</v>
      </c>
      <c r="N201" s="55">
        <f>ROUND(SUM(Ｎ!N9:N20)/12,0)</f>
        <v>7034</v>
      </c>
      <c r="O201" s="90">
        <f>ROUND(SUM(Ｎ!O9:O20)/12,0)</f>
        <v>2720</v>
      </c>
      <c r="P201" s="58">
        <f>ROUND(SUM(Ｎ!P9:P20)/12,0)</f>
        <v>94963</v>
      </c>
      <c r="Q201" s="55">
        <f>ROUND(SUM(Ｎ!Q9:Q20)/12,0)</f>
        <v>283721</v>
      </c>
      <c r="R201" s="60">
        <f>Ｎ!D201/Ｎ!P201</f>
        <v>0.36357318113370468</v>
      </c>
      <c r="S201" s="61">
        <f>Ｎ!I201/Ｎ!Q201</f>
        <v>0.25824313321890169</v>
      </c>
      <c r="T201" s="62">
        <f>Ｎ!M201/Ｎ!I201</f>
        <v>0.13313952694864131</v>
      </c>
    </row>
    <row r="202" spans="2:20" x14ac:dyDescent="0.2">
      <c r="C202" s="53">
        <v>8</v>
      </c>
      <c r="D202" s="48">
        <f>ROUND(SUM(Ｎ!D10:D21)/12,0)</f>
        <v>34581</v>
      </c>
      <c r="E202" s="55">
        <f>Ｎ!F202+Ｎ!G202</f>
        <v>29765</v>
      </c>
      <c r="F202" s="55">
        <f>Ｎ!D202-Ｎ!H202-Ｎ!G202</f>
        <v>28378</v>
      </c>
      <c r="G202" s="89">
        <f>ROUND(SUM(Ｎ!G10:G21)/12,0)</f>
        <v>1387</v>
      </c>
      <c r="H202" s="90">
        <f>ROUND(SUM(Ｎ!H10:H21)/12,0)</f>
        <v>4816</v>
      </c>
      <c r="I202" s="58">
        <f>ROUND(SUM(Ｎ!I10:I21)/12,0)</f>
        <v>73277</v>
      </c>
      <c r="J202" s="55">
        <f>ROUND(SUM(Ｎ!J10:J21)/12,0)</f>
        <v>63510</v>
      </c>
      <c r="K202" s="55">
        <f>ROUND(SUM(Ｎ!K10:K21)/12,0)</f>
        <v>50208</v>
      </c>
      <c r="L202" s="89">
        <f>ROUND(SUM(Ｎ!L10:L21)/12,0)</f>
        <v>13302</v>
      </c>
      <c r="M202" s="55">
        <f>ROUND(SUM(Ｎ!M10:M21)/12,0)</f>
        <v>9767</v>
      </c>
      <c r="N202" s="55">
        <f>ROUND(SUM(Ｎ!N10:N21)/12,0)</f>
        <v>7046</v>
      </c>
      <c r="O202" s="90">
        <f>ROUND(SUM(Ｎ!O10:O21)/12,0)</f>
        <v>2721</v>
      </c>
      <c r="P202" s="58">
        <f>ROUND(SUM(Ｎ!P10:P21)/12,0)</f>
        <v>95107</v>
      </c>
      <c r="Q202" s="55">
        <f>ROUND(SUM(Ｎ!Q10:Q21)/12,0)</f>
        <v>283874</v>
      </c>
      <c r="R202" s="60">
        <f>Ｎ!D202/Ｎ!P202</f>
        <v>0.36360099677205676</v>
      </c>
      <c r="S202" s="61">
        <f>Ｎ!I202/Ｎ!Q202</f>
        <v>0.25813212904316701</v>
      </c>
      <c r="T202" s="62">
        <f>Ｎ!M202/Ｎ!I202</f>
        <v>0.13328875363347298</v>
      </c>
    </row>
    <row r="203" spans="2:20" x14ac:dyDescent="0.2">
      <c r="C203" s="53">
        <v>9</v>
      </c>
      <c r="D203" s="58">
        <f>ROUND(SUM(Ｎ!D11:D22)/12,0)</f>
        <v>34636</v>
      </c>
      <c r="E203" s="55">
        <f>Ｎ!F203+Ｎ!G203</f>
        <v>29813</v>
      </c>
      <c r="F203" s="55">
        <f>Ｎ!D203-Ｎ!H203-Ｎ!G203</f>
        <v>28425</v>
      </c>
      <c r="G203" s="89">
        <f>ROUND(SUM(Ｎ!G11:G22)/12,0)</f>
        <v>1388</v>
      </c>
      <c r="H203" s="90">
        <f>ROUND(SUM(Ｎ!H11:H22)/12,0)</f>
        <v>4823</v>
      </c>
      <c r="I203" s="58">
        <f>ROUND(SUM(Ｎ!I11:I22)/12,0)</f>
        <v>73280</v>
      </c>
      <c r="J203" s="55">
        <f>ROUND(SUM(Ｎ!J11:J22)/12,0)</f>
        <v>63497</v>
      </c>
      <c r="K203" s="55">
        <f>ROUND(SUM(Ｎ!K11:K22)/12,0)</f>
        <v>50131</v>
      </c>
      <c r="L203" s="89">
        <f>ROUND(SUM(Ｎ!L11:L22)/12,0)</f>
        <v>13366</v>
      </c>
      <c r="M203" s="55">
        <f>ROUND(SUM(Ｎ!M11:M22)/12,0)</f>
        <v>9783</v>
      </c>
      <c r="N203" s="55">
        <f>ROUND(SUM(Ｎ!N11:N22)/12,0)</f>
        <v>7060</v>
      </c>
      <c r="O203" s="90">
        <f>ROUND(SUM(Ｎ!O11:O22)/12,0)</f>
        <v>2723</v>
      </c>
      <c r="P203" s="58">
        <f>ROUND(SUM(Ｎ!P11:P22)/12,0)</f>
        <v>95248</v>
      </c>
      <c r="Q203" s="55">
        <f>ROUND(SUM(Ｎ!Q11:Q22)/12,0)</f>
        <v>284014</v>
      </c>
      <c r="R203" s="60">
        <f>Ｎ!D203/Ｎ!P203</f>
        <v>0.36364018142113219</v>
      </c>
      <c r="S203" s="61">
        <f>Ｎ!I203/Ｎ!Q203</f>
        <v>0.25801544994260844</v>
      </c>
      <c r="T203" s="62">
        <f>Ｎ!M203/Ｎ!I203</f>
        <v>0.13350163755458516</v>
      </c>
    </row>
    <row r="204" spans="2:20" x14ac:dyDescent="0.2">
      <c r="C204" s="53">
        <v>10</v>
      </c>
      <c r="D204" s="48">
        <f>ROUND(SUM(Ｎ!D12:D23)/12,0)</f>
        <v>34691</v>
      </c>
      <c r="E204" s="45">
        <f>Ｎ!F204+Ｎ!G204</f>
        <v>29861</v>
      </c>
      <c r="F204" s="45">
        <f>Ｎ!D204-Ｎ!H204-Ｎ!G204</f>
        <v>28472</v>
      </c>
      <c r="G204" s="79">
        <f>ROUND(SUM(Ｎ!G12:G23)/12,0)</f>
        <v>1389</v>
      </c>
      <c r="H204" s="80">
        <f>ROUND(SUM(Ｎ!H12:H23)/12,0)</f>
        <v>4830</v>
      </c>
      <c r="I204" s="48">
        <f>ROUND(SUM(Ｎ!I12:I23)/12,0)</f>
        <v>73287</v>
      </c>
      <c r="J204" s="45">
        <f>ROUND(SUM(Ｎ!J12:J23)/12,0)</f>
        <v>63489</v>
      </c>
      <c r="K204" s="45">
        <f>ROUND(SUM(Ｎ!K12:K23)/12,0)</f>
        <v>50060</v>
      </c>
      <c r="L204" s="79">
        <f>ROUND(SUM(Ｎ!L12:L23)/12,0)</f>
        <v>13429</v>
      </c>
      <c r="M204" s="45">
        <f>ROUND(SUM(Ｎ!M12:M23)/12,0)</f>
        <v>9798</v>
      </c>
      <c r="N204" s="45">
        <f>ROUND(SUM(Ｎ!N12:N23)/12,0)</f>
        <v>7074</v>
      </c>
      <c r="O204" s="80">
        <f>ROUND(SUM(Ｎ!O12:O23)/12,0)</f>
        <v>2724</v>
      </c>
      <c r="P204" s="48">
        <f>ROUND(SUM(Ｎ!P12:P23)/12,0)</f>
        <v>95385</v>
      </c>
      <c r="Q204" s="45">
        <f>ROUND(SUM(Ｎ!Q12:Q23)/12,0)</f>
        <v>284147</v>
      </c>
      <c r="R204" s="50">
        <f>Ｎ!D204/Ｎ!P204</f>
        <v>0.36369450123184988</v>
      </c>
      <c r="S204" s="51">
        <f>Ｎ!I204/Ｎ!Q204</f>
        <v>0.25791931641016796</v>
      </c>
      <c r="T204" s="52">
        <f>Ｎ!M204/Ｎ!I204</f>
        <v>0.13369356093167956</v>
      </c>
    </row>
    <row r="205" spans="2:20" x14ac:dyDescent="0.2">
      <c r="C205" s="43">
        <v>11</v>
      </c>
      <c r="D205" s="48">
        <f>ROUND(SUM(Ｎ!D13:D24)/12,0)</f>
        <v>34748</v>
      </c>
      <c r="E205" s="45">
        <f>Ｎ!F205+Ｎ!G205</f>
        <v>29908</v>
      </c>
      <c r="F205" s="45">
        <f>Ｎ!D205-Ｎ!H205-Ｎ!G205</f>
        <v>28519</v>
      </c>
      <c r="G205" s="79">
        <f>ROUND(SUM(Ｎ!G13:G24)/12,0)</f>
        <v>1389</v>
      </c>
      <c r="H205" s="80">
        <f>ROUND(SUM(Ｎ!H13:H24)/12,0)</f>
        <v>4840</v>
      </c>
      <c r="I205" s="48">
        <f>ROUND(SUM(Ｎ!I13:I24)/12,0)</f>
        <v>73301</v>
      </c>
      <c r="J205" s="45">
        <f>ROUND(SUM(Ｎ!J13:J24)/12,0)</f>
        <v>63483</v>
      </c>
      <c r="K205" s="45">
        <f>ROUND(SUM(Ｎ!K13:K24)/12,0)</f>
        <v>49991</v>
      </c>
      <c r="L205" s="79">
        <f>ROUND(SUM(Ｎ!L13:L24)/12,0)</f>
        <v>13492</v>
      </c>
      <c r="M205" s="45">
        <f>ROUND(SUM(Ｎ!M13:M24)/12,0)</f>
        <v>9818</v>
      </c>
      <c r="N205" s="45">
        <f>ROUND(SUM(Ｎ!N13:N24)/12,0)</f>
        <v>7089</v>
      </c>
      <c r="O205" s="80">
        <f>ROUND(SUM(Ｎ!O13:O24)/12,0)</f>
        <v>2728</v>
      </c>
      <c r="P205" s="48">
        <f>ROUND(SUM(Ｎ!P13:P24)/12,0)</f>
        <v>95520</v>
      </c>
      <c r="Q205" s="45">
        <f>ROUND(SUM(Ｎ!Q13:Q24)/12,0)</f>
        <v>284283</v>
      </c>
      <c r="R205" s="50">
        <f>Ｎ!D205/Ｎ!P205</f>
        <v>0.36377721943048574</v>
      </c>
      <c r="S205" s="51">
        <f>Ｎ!I205/Ｎ!Q205</f>
        <v>0.25784517540619734</v>
      </c>
      <c r="T205" s="52">
        <f>Ｎ!M205/Ｎ!I205</f>
        <v>0.13394087393077858</v>
      </c>
    </row>
    <row r="206" spans="2:20" x14ac:dyDescent="0.2">
      <c r="C206" s="43">
        <v>12</v>
      </c>
      <c r="D206" s="48">
        <f>ROUND(SUM(Ｎ!D14:D25)/12,0)</f>
        <v>34806</v>
      </c>
      <c r="E206" s="55">
        <f>Ｎ!F206+Ｎ!G206</f>
        <v>29955</v>
      </c>
      <c r="F206" s="55">
        <f>Ｎ!D206-Ｎ!H206-Ｎ!G206</f>
        <v>28564</v>
      </c>
      <c r="G206" s="89">
        <f>ROUND(SUM(Ｎ!G14:G25)/12,0)</f>
        <v>1391</v>
      </c>
      <c r="H206" s="90">
        <f>ROUND(SUM(Ｎ!H14:H25)/12,0)</f>
        <v>4851</v>
      </c>
      <c r="I206" s="58">
        <f>ROUND(SUM(Ｎ!I14:I25)/12,0)</f>
        <v>73329</v>
      </c>
      <c r="J206" s="55">
        <f>ROUND(SUM(Ｎ!J14:J25)/12,0)</f>
        <v>63487</v>
      </c>
      <c r="K206" s="55">
        <f>ROUND(SUM(Ｎ!K14:K25)/12,0)</f>
        <v>49935</v>
      </c>
      <c r="L206" s="89">
        <f>ROUND(SUM(Ｎ!L14:L25)/12,0)</f>
        <v>13552</v>
      </c>
      <c r="M206" s="55">
        <f>ROUND(SUM(Ｎ!M14:M25)/12,0)</f>
        <v>9841</v>
      </c>
      <c r="N206" s="55">
        <f>ROUND(SUM(Ｎ!N14:N25)/12,0)</f>
        <v>7108</v>
      </c>
      <c r="O206" s="90">
        <f>ROUND(SUM(Ｎ!O14:O25)/12,0)</f>
        <v>2733</v>
      </c>
      <c r="P206" s="58">
        <f>ROUND(SUM(Ｎ!P14:P25)/12,0)</f>
        <v>95653</v>
      </c>
      <c r="Q206" s="55">
        <f>ROUND(SUM(Ｎ!Q14:Q25)/12,0)</f>
        <v>284418</v>
      </c>
      <c r="R206" s="60">
        <f>Ｎ!D206/Ｎ!P206</f>
        <v>0.36387776651019832</v>
      </c>
      <c r="S206" s="61">
        <f>Ｎ!I206/Ｎ!Q206</f>
        <v>0.25782123494293613</v>
      </c>
      <c r="T206" s="62">
        <f>Ｎ!M206/Ｎ!I206</f>
        <v>0.13420338474546223</v>
      </c>
    </row>
    <row r="207" spans="2:20" x14ac:dyDescent="0.2">
      <c r="C207" s="53">
        <v>1</v>
      </c>
      <c r="D207" s="48">
        <f>ROUND(SUM(Ｎ!D15:D26)/12,0)</f>
        <v>34862</v>
      </c>
      <c r="E207" s="45">
        <f>Ｎ!F207+Ｎ!G207</f>
        <v>30000</v>
      </c>
      <c r="F207" s="45">
        <f>Ｎ!D207-Ｎ!H207-Ｎ!G207</f>
        <v>28608</v>
      </c>
      <c r="G207" s="79">
        <f>ROUND(SUM(Ｎ!G15:G26)/12,0)</f>
        <v>1392</v>
      </c>
      <c r="H207" s="80">
        <f>ROUND(SUM(Ｎ!H15:H26)/12,0)</f>
        <v>4862</v>
      </c>
      <c r="I207" s="48">
        <f>ROUND(SUM(Ｎ!I15:I26)/12,0)</f>
        <v>73362</v>
      </c>
      <c r="J207" s="45">
        <f>ROUND(SUM(Ｎ!J15:J26)/12,0)</f>
        <v>63497</v>
      </c>
      <c r="K207" s="45">
        <f>ROUND(SUM(Ｎ!K15:K26)/12,0)</f>
        <v>49884</v>
      </c>
      <c r="L207" s="79">
        <f>ROUND(SUM(Ｎ!L15:L26)/12,0)</f>
        <v>13614</v>
      </c>
      <c r="M207" s="45">
        <f>ROUND(SUM(Ｎ!M15:M26)/12,0)</f>
        <v>9865</v>
      </c>
      <c r="N207" s="45">
        <f>ROUND(SUM(Ｎ!N15:N26)/12,0)</f>
        <v>7126</v>
      </c>
      <c r="O207" s="80">
        <f>ROUND(SUM(Ｎ!O15:O26)/12,0)</f>
        <v>2739</v>
      </c>
      <c r="P207" s="48">
        <f>ROUND(SUM(Ｎ!P15:P26)/12,0)</f>
        <v>95784</v>
      </c>
      <c r="Q207" s="45">
        <f>ROUND(SUM(Ｎ!Q15:Q26)/12,0)</f>
        <v>284556</v>
      </c>
      <c r="R207" s="50">
        <f>Ｎ!D207/Ｎ!P207</f>
        <v>0.36396475402990058</v>
      </c>
      <c r="S207" s="51">
        <f>Ｎ!I207/Ｎ!Q207</f>
        <v>0.25781217053936661</v>
      </c>
      <c r="T207" s="52">
        <f>Ｎ!M207/Ｎ!I207</f>
        <v>0.13447016166407677</v>
      </c>
    </row>
    <row r="208" spans="2:20" x14ac:dyDescent="0.2">
      <c r="C208" s="43">
        <v>2</v>
      </c>
      <c r="D208" s="48">
        <f>ROUND(SUM(Ｎ!D16:D27)/12,0)</f>
        <v>34917</v>
      </c>
      <c r="E208" s="45">
        <f>Ｎ!F208+Ｎ!G208</f>
        <v>30044</v>
      </c>
      <c r="F208" s="45">
        <f>Ｎ!D208-Ｎ!H208-Ｎ!G208</f>
        <v>28651</v>
      </c>
      <c r="G208" s="79">
        <f>ROUND(SUM(Ｎ!G16:G27)/12,0)</f>
        <v>1393</v>
      </c>
      <c r="H208" s="80">
        <f>ROUND(SUM(Ｎ!H16:H27)/12,0)</f>
        <v>4873</v>
      </c>
      <c r="I208" s="48">
        <f>ROUND(SUM(Ｎ!I16:I27)/12,0)</f>
        <v>73385</v>
      </c>
      <c r="J208" s="45">
        <f>ROUND(SUM(Ｎ!J16:J27)/12,0)</f>
        <v>63496</v>
      </c>
      <c r="K208" s="45">
        <f>ROUND(SUM(Ｎ!K16:K27)/12,0)</f>
        <v>49821</v>
      </c>
      <c r="L208" s="79">
        <f>ROUND(SUM(Ｎ!L16:L27)/12,0)</f>
        <v>13675</v>
      </c>
      <c r="M208" s="45">
        <f>ROUND(SUM(Ｎ!M16:M27)/12,0)</f>
        <v>9889</v>
      </c>
      <c r="N208" s="45">
        <f>ROUND(SUM(Ｎ!N16:N27)/12,0)</f>
        <v>7145</v>
      </c>
      <c r="O208" s="80">
        <f>ROUND(SUM(Ｎ!O16:O27)/12,0)</f>
        <v>2744</v>
      </c>
      <c r="P208" s="48">
        <f>ROUND(SUM(Ｎ!P16:P27)/12,0)</f>
        <v>95912</v>
      </c>
      <c r="Q208" s="45">
        <f>ROUND(SUM(Ｎ!Q16:Q27)/12,0)</f>
        <v>284695</v>
      </c>
      <c r="R208" s="50">
        <f>Ｎ!D208/Ｎ!P208</f>
        <v>0.36405246475936276</v>
      </c>
      <c r="S208" s="51">
        <f>Ｎ!I208/Ｎ!Q208</f>
        <v>0.25776708407242838</v>
      </c>
      <c r="T208" s="52">
        <f>Ｎ!M208/Ｎ!I208</f>
        <v>0.13475505893574982</v>
      </c>
    </row>
    <row r="209" spans="3:20" x14ac:dyDescent="0.2">
      <c r="C209" s="91">
        <v>3</v>
      </c>
      <c r="D209" s="92">
        <f>ROUND(SUM(Ｎ!D17:D28)/12,0)</f>
        <v>34978</v>
      </c>
      <c r="E209" s="289">
        <f>Ｎ!F209+Ｎ!G209</f>
        <v>30093</v>
      </c>
      <c r="F209" s="289">
        <f>Ｎ!D209-Ｎ!H209-Ｎ!G209</f>
        <v>28696</v>
      </c>
      <c r="G209" s="290">
        <f>ROUND(SUM(Ｎ!G17:G28)/12,0)</f>
        <v>1397</v>
      </c>
      <c r="H209" s="291">
        <f>ROUND(SUM(Ｎ!H17:H28)/12,0)</f>
        <v>4885</v>
      </c>
      <c r="I209" s="292">
        <f>ROUND(SUM(Ｎ!I17:I28)/12,0)</f>
        <v>73422</v>
      </c>
      <c r="J209" s="289">
        <f>ROUND(SUM(Ｎ!J17:J28)/12,0)</f>
        <v>63506</v>
      </c>
      <c r="K209" s="289">
        <f>ROUND(SUM(Ｎ!K17:K28)/12,0)</f>
        <v>49773</v>
      </c>
      <c r="L209" s="290">
        <f>ROUND(SUM(Ｎ!L17:L28)/12,0)</f>
        <v>13733</v>
      </c>
      <c r="M209" s="289">
        <f>ROUND(SUM(Ｎ!M17:M28)/12,0)</f>
        <v>9916</v>
      </c>
      <c r="N209" s="289">
        <f>ROUND(SUM(Ｎ!N17:N28)/12,0)</f>
        <v>7165</v>
      </c>
      <c r="O209" s="291">
        <f>ROUND(SUM(Ｎ!O17:O28)/12,0)</f>
        <v>2751</v>
      </c>
      <c r="P209" s="292">
        <f>ROUND(SUM(Ｎ!P17:P28)/12,0)</f>
        <v>96045</v>
      </c>
      <c r="Q209" s="289">
        <f>ROUND(SUM(Ｎ!Q17:Q28)/12,0)</f>
        <v>284837</v>
      </c>
      <c r="R209" s="293">
        <f>Ｎ!D209/Ｎ!P209</f>
        <v>0.36418345567182048</v>
      </c>
      <c r="S209" s="294">
        <f>Ｎ!I209/Ｎ!Q209</f>
        <v>0.25776847811204301</v>
      </c>
      <c r="T209" s="295">
        <f>Ｎ!M209/Ｎ!I209</f>
        <v>0.13505488818065431</v>
      </c>
    </row>
    <row r="210" spans="3:20" x14ac:dyDescent="0.2">
      <c r="C210" s="296" t="s">
        <v>2787</v>
      </c>
      <c r="D210" s="297">
        <f>ROUND(SUM(Ｎ!D18:D29)/12,0)</f>
        <v>35040</v>
      </c>
      <c r="E210" s="298">
        <f>Ｎ!F210+Ｎ!G210</f>
        <v>30141</v>
      </c>
      <c r="F210" s="298">
        <f>Ｎ!D210-Ｎ!H210-Ｎ!G210</f>
        <v>28741</v>
      </c>
      <c r="G210" s="299">
        <f>ROUND(SUM(Ｎ!G18:G29)/12,0)</f>
        <v>1400</v>
      </c>
      <c r="H210" s="300">
        <f>ROUND(SUM(Ｎ!H18:H29)/12,0)</f>
        <v>4899</v>
      </c>
      <c r="I210" s="297">
        <f>ROUND(SUM(Ｎ!I18:I29)/12,0)</f>
        <v>73455</v>
      </c>
      <c r="J210" s="298">
        <f>ROUND(SUM(Ｎ!J18:J29)/12,0)</f>
        <v>63509</v>
      </c>
      <c r="K210" s="298">
        <f>ROUND(SUM(Ｎ!K18:K29)/12,0)</f>
        <v>49720</v>
      </c>
      <c r="L210" s="299">
        <f>ROUND(SUM(Ｎ!L18:L29)/12,0)</f>
        <v>13790</v>
      </c>
      <c r="M210" s="298">
        <f>ROUND(SUM(Ｎ!M18:M29)/12,0)</f>
        <v>9946</v>
      </c>
      <c r="N210" s="298">
        <f>ROUND(SUM(Ｎ!N18:N29)/12,0)</f>
        <v>7186</v>
      </c>
      <c r="O210" s="300">
        <f>ROUND(SUM(Ｎ!O18:O29)/12,0)</f>
        <v>2760</v>
      </c>
      <c r="P210" s="297">
        <f>ROUND(SUM(Ｎ!P18:P29)/12,0)</f>
        <v>96185</v>
      </c>
      <c r="Q210" s="298">
        <f>ROUND(SUM(Ｎ!Q18:Q29)/12,0)</f>
        <v>284994</v>
      </c>
      <c r="R210" s="301">
        <f>Ｎ!D210/Ｎ!P210</f>
        <v>0.36429796745854343</v>
      </c>
      <c r="S210" s="302">
        <f>Ｎ!I210/Ｎ!Q210</f>
        <v>0.25774226825827912</v>
      </c>
      <c r="T210" s="303">
        <f>Ｎ!M210/Ｎ!I210</f>
        <v>0.13540262745898848</v>
      </c>
    </row>
    <row r="211" spans="3:20" x14ac:dyDescent="0.2">
      <c r="C211" s="53">
        <v>5</v>
      </c>
      <c r="D211" s="48">
        <f>ROUND(SUM(Ｎ!D19:D30)/12,0)</f>
        <v>35101</v>
      </c>
      <c r="E211" s="45">
        <f>Ｎ!F211+Ｎ!G211</f>
        <v>30188</v>
      </c>
      <c r="F211" s="45">
        <f>Ｎ!D211-Ｎ!H211-Ｎ!G211</f>
        <v>28785</v>
      </c>
      <c r="G211" s="79">
        <f>ROUND(SUM(Ｎ!G19:G30)/12,0)</f>
        <v>1403</v>
      </c>
      <c r="H211" s="80">
        <f>ROUND(SUM(Ｎ!H19:H30)/12,0)</f>
        <v>4913</v>
      </c>
      <c r="I211" s="48">
        <f>ROUND(SUM(Ｎ!I19:I30)/12,0)</f>
        <v>73490</v>
      </c>
      <c r="J211" s="45">
        <f>ROUND(SUM(Ｎ!J19:J30)/12,0)</f>
        <v>63513</v>
      </c>
      <c r="K211" s="45">
        <f>ROUND(SUM(Ｎ!K19:K30)/12,0)</f>
        <v>49664</v>
      </c>
      <c r="L211" s="79">
        <f>ROUND(SUM(Ｎ!L19:L30)/12,0)</f>
        <v>13849</v>
      </c>
      <c r="M211" s="45">
        <f>ROUND(SUM(Ｎ!M19:M30)/12,0)</f>
        <v>9977</v>
      </c>
      <c r="N211" s="45">
        <f>ROUND(SUM(Ｎ!N19:N30)/12,0)</f>
        <v>7208</v>
      </c>
      <c r="O211" s="80">
        <f>ROUND(SUM(Ｎ!O19:O30)/12,0)</f>
        <v>2769</v>
      </c>
      <c r="P211" s="48">
        <f>ROUND(SUM(Ｎ!P19:P30)/12,0)</f>
        <v>96321</v>
      </c>
      <c r="Q211" s="45">
        <f>ROUND(SUM(Ｎ!Q19:Q30)/12,0)</f>
        <v>285157</v>
      </c>
      <c r="R211" s="50">
        <f>Ｎ!D211/Ｎ!P211</f>
        <v>0.36441689766509899</v>
      </c>
      <c r="S211" s="51">
        <f>Ｎ!I211/Ｎ!Q211</f>
        <v>0.25771767833158576</v>
      </c>
      <c r="T211" s="52">
        <f>Ｎ!M211/Ｎ!I211</f>
        <v>0.13575996734249557</v>
      </c>
    </row>
    <row r="212" spans="3:20" x14ac:dyDescent="0.2">
      <c r="C212" s="43">
        <v>6</v>
      </c>
      <c r="D212" s="48">
        <f>ROUND(SUM(Ｎ!D20:D31)/12,0)</f>
        <v>35162</v>
      </c>
      <c r="E212" s="45">
        <f>Ｎ!F212+Ｎ!G212</f>
        <v>30236</v>
      </c>
      <c r="F212" s="45">
        <f>Ｎ!D212-Ｎ!H212-Ｎ!G212</f>
        <v>28828</v>
      </c>
      <c r="G212" s="79">
        <f>ROUND(SUM(Ｎ!G20:G31)/12,0)</f>
        <v>1408</v>
      </c>
      <c r="H212" s="80">
        <f>ROUND(SUM(Ｎ!H20:H31)/12,0)</f>
        <v>4926</v>
      </c>
      <c r="I212" s="48">
        <f>ROUND(SUM(Ｎ!I20:I31)/12,0)</f>
        <v>73531</v>
      </c>
      <c r="J212" s="45">
        <f>ROUND(SUM(Ｎ!J20:J31)/12,0)</f>
        <v>63521</v>
      </c>
      <c r="K212" s="45">
        <f>ROUND(SUM(Ｎ!K20:K31)/12,0)</f>
        <v>49612</v>
      </c>
      <c r="L212" s="79">
        <f>ROUND(SUM(Ｎ!L20:L31)/12,0)</f>
        <v>13909</v>
      </c>
      <c r="M212" s="45">
        <f>ROUND(SUM(Ｎ!M20:M31)/12,0)</f>
        <v>10010</v>
      </c>
      <c r="N212" s="45">
        <f>ROUND(SUM(Ｎ!N20:N31)/12,0)</f>
        <v>7230</v>
      </c>
      <c r="O212" s="80">
        <f>ROUND(SUM(Ｎ!O20:O31)/12,0)</f>
        <v>2779</v>
      </c>
      <c r="P212" s="48">
        <f>ROUND(SUM(Ｎ!P20:P31)/12,0)</f>
        <v>96455</v>
      </c>
      <c r="Q212" s="45">
        <f>ROUND(SUM(Ｎ!Q20:Q31)/12,0)</f>
        <v>285321</v>
      </c>
      <c r="R212" s="50">
        <f>Ｎ!D212/Ｎ!P212</f>
        <v>0.36454305116375513</v>
      </c>
      <c r="S212" s="51">
        <f>Ｎ!I212/Ｎ!Q212</f>
        <v>0.25771324227799564</v>
      </c>
      <c r="T212" s="52">
        <f>Ｎ!M212/Ｎ!I212</f>
        <v>0.13613305952591423</v>
      </c>
    </row>
    <row r="213" spans="3:20" x14ac:dyDescent="0.2">
      <c r="C213" s="43">
        <v>7</v>
      </c>
      <c r="D213" s="48">
        <f>ROUND(SUM(Ｎ!D21:D32)/12,0)</f>
        <v>35222</v>
      </c>
      <c r="E213" s="55">
        <f>Ｎ!F213+Ｎ!G213</f>
        <v>30283</v>
      </c>
      <c r="F213" s="55">
        <f>Ｎ!D213-Ｎ!H213-Ｎ!G213</f>
        <v>28871</v>
      </c>
      <c r="G213" s="89">
        <f>ROUND(SUM(Ｎ!G21:G32)/12,0)</f>
        <v>1412</v>
      </c>
      <c r="H213" s="90">
        <f>ROUND(SUM(Ｎ!H21:H32)/12,0)</f>
        <v>4939</v>
      </c>
      <c r="I213" s="58">
        <f>ROUND(SUM(Ｎ!I21:I32)/12,0)</f>
        <v>73563</v>
      </c>
      <c r="J213" s="55">
        <f>ROUND(SUM(Ｎ!J21:J32)/12,0)</f>
        <v>63523</v>
      </c>
      <c r="K213" s="55">
        <f>ROUND(SUM(Ｎ!K21:K32)/12,0)</f>
        <v>49553</v>
      </c>
      <c r="L213" s="89">
        <f>ROUND(SUM(Ｎ!L21:L32)/12,0)</f>
        <v>13970</v>
      </c>
      <c r="M213" s="55">
        <f>ROUND(SUM(Ｎ!M21:M32)/12,0)</f>
        <v>10040</v>
      </c>
      <c r="N213" s="55">
        <f>ROUND(SUM(Ｎ!N21:N32)/12,0)</f>
        <v>7252</v>
      </c>
      <c r="O213" s="90">
        <f>ROUND(SUM(Ｎ!O21:O32)/12,0)</f>
        <v>2788</v>
      </c>
      <c r="P213" s="58">
        <f>ROUND(SUM(Ｎ!P21:P32)/12,0)</f>
        <v>96591</v>
      </c>
      <c r="Q213" s="55">
        <f>ROUND(SUM(Ｎ!Q21:Q32)/12,0)</f>
        <v>285486</v>
      </c>
      <c r="R213" s="60">
        <f>Ｎ!D213/Ｎ!P213</f>
        <v>0.36465095091675209</v>
      </c>
      <c r="S213" s="61">
        <f>Ｎ!I213/Ｎ!Q213</f>
        <v>0.25767638343036087</v>
      </c>
      <c r="T213" s="62">
        <f>Ｎ!M213/Ｎ!I213</f>
        <v>0.13648165517991381</v>
      </c>
    </row>
    <row r="214" spans="3:20" x14ac:dyDescent="0.2">
      <c r="C214" s="53">
        <v>8</v>
      </c>
      <c r="D214" s="48">
        <f>ROUND(SUM(Ｎ!D22:D33)/12,0)</f>
        <v>35282</v>
      </c>
      <c r="E214" s="55">
        <f>Ｎ!F214+Ｎ!G214</f>
        <v>30331</v>
      </c>
      <c r="F214" s="55">
        <f>Ｎ!D214-Ｎ!H214-Ｎ!G214</f>
        <v>28913</v>
      </c>
      <c r="G214" s="89">
        <f>ROUND(SUM(Ｎ!G22:G33)/12,0)</f>
        <v>1418</v>
      </c>
      <c r="H214" s="90">
        <f>ROUND(SUM(Ｎ!H22:H33)/12,0)</f>
        <v>4951</v>
      </c>
      <c r="I214" s="58">
        <f>ROUND(SUM(Ｎ!I22:I33)/12,0)</f>
        <v>73594</v>
      </c>
      <c r="J214" s="55">
        <f>ROUND(SUM(Ｎ!J22:J33)/12,0)</f>
        <v>63524</v>
      </c>
      <c r="K214" s="55">
        <f>ROUND(SUM(Ｎ!K22:K33)/12,0)</f>
        <v>49492</v>
      </c>
      <c r="L214" s="89">
        <f>ROUND(SUM(Ｎ!L22:L33)/12,0)</f>
        <v>14031</v>
      </c>
      <c r="M214" s="55">
        <f>ROUND(SUM(Ｎ!M22:M33)/12,0)</f>
        <v>10070</v>
      </c>
      <c r="N214" s="55">
        <f>ROUND(SUM(Ｎ!N22:N33)/12,0)</f>
        <v>7274</v>
      </c>
      <c r="O214" s="90">
        <f>ROUND(SUM(Ｎ!O22:O33)/12,0)</f>
        <v>2796</v>
      </c>
      <c r="P214" s="58">
        <f>ROUND(SUM(Ｎ!P22:P33)/12,0)</f>
        <v>96728</v>
      </c>
      <c r="Q214" s="55">
        <f>ROUND(SUM(Ｎ!Q22:Q33)/12,0)</f>
        <v>285645</v>
      </c>
      <c r="R214" s="60">
        <f>Ｎ!D214/Ｎ!P214</f>
        <v>0.36475477627987757</v>
      </c>
      <c r="S214" s="61">
        <f>Ｎ!I214/Ｎ!Q214</f>
        <v>0.25764147805842919</v>
      </c>
      <c r="T214" s="62">
        <f>Ｎ!M214/Ｎ!I214</f>
        <v>0.13683180694078323</v>
      </c>
    </row>
    <row r="215" spans="3:20" x14ac:dyDescent="0.2">
      <c r="C215" s="53">
        <v>9</v>
      </c>
      <c r="D215" s="58">
        <f>ROUND(SUM(Ｎ!D23:D34)/12,0)</f>
        <v>35343</v>
      </c>
      <c r="E215" s="55">
        <f>Ｎ!F215+Ｎ!G215</f>
        <v>30383</v>
      </c>
      <c r="F215" s="55">
        <f>Ｎ!D215-Ｎ!H215-Ｎ!G215</f>
        <v>28960</v>
      </c>
      <c r="G215" s="89">
        <f>ROUND(SUM(Ｎ!G23:G34)/12,0)</f>
        <v>1423</v>
      </c>
      <c r="H215" s="90">
        <f>ROUND(SUM(Ｎ!H23:H34)/12,0)</f>
        <v>4960</v>
      </c>
      <c r="I215" s="58">
        <f>ROUND(SUM(Ｎ!I23:I34)/12,0)</f>
        <v>73623</v>
      </c>
      <c r="J215" s="55">
        <f>ROUND(SUM(Ｎ!J23:J34)/12,0)</f>
        <v>63527</v>
      </c>
      <c r="K215" s="55">
        <f>ROUND(SUM(Ｎ!K23:K34)/12,0)</f>
        <v>49436</v>
      </c>
      <c r="L215" s="89">
        <f>ROUND(SUM(Ｎ!L23:L34)/12,0)</f>
        <v>14091</v>
      </c>
      <c r="M215" s="55">
        <f>ROUND(SUM(Ｎ!M23:M34)/12,0)</f>
        <v>10097</v>
      </c>
      <c r="N215" s="55">
        <f>ROUND(SUM(Ｎ!N23:N34)/12,0)</f>
        <v>7292</v>
      </c>
      <c r="O215" s="90">
        <f>ROUND(SUM(Ｎ!O23:O34)/12,0)</f>
        <v>2805</v>
      </c>
      <c r="P215" s="58">
        <f>ROUND(SUM(Ｎ!P23:P34)/12,0)</f>
        <v>96865</v>
      </c>
      <c r="Q215" s="55">
        <f>ROUND(SUM(Ｎ!Q23:Q34)/12,0)</f>
        <v>285799</v>
      </c>
      <c r="R215" s="60">
        <f>Ｎ!D215/Ｎ!P215</f>
        <v>0.36486863160068134</v>
      </c>
      <c r="S215" s="61">
        <f>Ｎ!I215/Ｎ!Q215</f>
        <v>0.25760412037830782</v>
      </c>
      <c r="T215" s="62">
        <f>Ｎ!M215/Ｎ!I215</f>
        <v>0.13714464229928147</v>
      </c>
    </row>
    <row r="216" spans="3:20" x14ac:dyDescent="0.2">
      <c r="C216" s="53">
        <v>10</v>
      </c>
      <c r="D216" s="48">
        <f>ROUND(SUM(Ｎ!D24:D35)/12,0)</f>
        <v>35408</v>
      </c>
      <c r="E216" s="45">
        <f>Ｎ!F216+Ｎ!G216</f>
        <v>30437</v>
      </c>
      <c r="F216" s="45">
        <f>Ｎ!D216-Ｎ!H216-Ｎ!G216</f>
        <v>29008</v>
      </c>
      <c r="G216" s="79">
        <f>ROUND(SUM(Ｎ!G24:G35)/12,0)</f>
        <v>1429</v>
      </c>
      <c r="H216" s="80">
        <f>ROUND(SUM(Ｎ!H24:H35)/12,0)</f>
        <v>4971</v>
      </c>
      <c r="I216" s="48">
        <f>ROUND(SUM(Ｎ!I24:I35)/12,0)</f>
        <v>73662</v>
      </c>
      <c r="J216" s="45">
        <f>ROUND(SUM(Ｎ!J24:J35)/12,0)</f>
        <v>63537</v>
      </c>
      <c r="K216" s="45">
        <f>ROUND(SUM(Ｎ!K24:K35)/12,0)</f>
        <v>49385</v>
      </c>
      <c r="L216" s="79">
        <f>ROUND(SUM(Ｎ!L24:L35)/12,0)</f>
        <v>14152</v>
      </c>
      <c r="M216" s="45">
        <f>ROUND(SUM(Ｎ!M24:M35)/12,0)</f>
        <v>10125</v>
      </c>
      <c r="N216" s="45">
        <f>ROUND(SUM(Ｎ!N24:N35)/12,0)</f>
        <v>7312</v>
      </c>
      <c r="O216" s="80">
        <f>ROUND(SUM(Ｎ!O24:O35)/12,0)</f>
        <v>2813</v>
      </c>
      <c r="P216" s="48">
        <f>ROUND(SUM(Ｎ!P24:P35)/12,0)</f>
        <v>97011</v>
      </c>
      <c r="Q216" s="45">
        <f>ROUND(SUM(Ｎ!Q24:Q35)/12,0)</f>
        <v>285968</v>
      </c>
      <c r="R216" s="50">
        <f>Ｎ!D216/Ｎ!P216</f>
        <v>0.36498953726896949</v>
      </c>
      <c r="S216" s="51">
        <f>Ｎ!I216/Ｎ!Q216</f>
        <v>0.25758826162367815</v>
      </c>
      <c r="T216" s="52">
        <f>Ｎ!M216/Ｎ!I216</f>
        <v>0.1374521462898102</v>
      </c>
    </row>
    <row r="217" spans="3:20" x14ac:dyDescent="0.2">
      <c r="C217" s="43">
        <v>11</v>
      </c>
      <c r="D217" s="48">
        <f>ROUND(SUM(Ｎ!D25:D36)/12,0)</f>
        <v>35473</v>
      </c>
      <c r="E217" s="45">
        <f>Ｎ!F217+Ｎ!G217</f>
        <v>30494</v>
      </c>
      <c r="F217" s="45">
        <f>Ｎ!D217-Ｎ!H217-Ｎ!G217</f>
        <v>29059</v>
      </c>
      <c r="G217" s="79">
        <f>ROUND(SUM(Ｎ!G25:G36)/12,0)</f>
        <v>1435</v>
      </c>
      <c r="H217" s="80">
        <f>ROUND(SUM(Ｎ!H25:H36)/12,0)</f>
        <v>4979</v>
      </c>
      <c r="I217" s="48">
        <f>ROUND(SUM(Ｎ!I25:I36)/12,0)</f>
        <v>73704</v>
      </c>
      <c r="J217" s="45">
        <f>ROUND(SUM(Ｎ!J25:J36)/12,0)</f>
        <v>63555</v>
      </c>
      <c r="K217" s="45">
        <f>ROUND(SUM(Ｎ!K25:K36)/12,0)</f>
        <v>49335</v>
      </c>
      <c r="L217" s="79">
        <f>ROUND(SUM(Ｎ!L25:L36)/12,0)</f>
        <v>14219</v>
      </c>
      <c r="M217" s="45">
        <f>ROUND(SUM(Ｎ!M25:M36)/12,0)</f>
        <v>10149</v>
      </c>
      <c r="N217" s="45">
        <f>ROUND(SUM(Ｎ!N25:N36)/12,0)</f>
        <v>7329</v>
      </c>
      <c r="O217" s="80">
        <f>ROUND(SUM(Ｎ!O25:O36)/12,0)</f>
        <v>2820</v>
      </c>
      <c r="P217" s="48">
        <f>ROUND(SUM(Ｎ!P25:P36)/12,0)</f>
        <v>97163</v>
      </c>
      <c r="Q217" s="45">
        <f>ROUND(SUM(Ｎ!Q25:Q36)/12,0)</f>
        <v>286148</v>
      </c>
      <c r="R217" s="50">
        <f>Ｎ!D217/Ｎ!P217</f>
        <v>0.36508753332029681</v>
      </c>
      <c r="S217" s="51">
        <f>Ｎ!I217/Ｎ!Q217</f>
        <v>0.25757300417965528</v>
      </c>
      <c r="T217" s="52">
        <f>Ｎ!M217/Ｎ!I217</f>
        <v>0.1376994464343862</v>
      </c>
    </row>
    <row r="218" spans="3:20" x14ac:dyDescent="0.2">
      <c r="C218" s="43">
        <v>12</v>
      </c>
      <c r="D218" s="48">
        <f>ROUND(SUM(Ｎ!D26:D37)/12,0)</f>
        <v>35535</v>
      </c>
      <c r="E218" s="55">
        <f>Ｎ!F218+Ｎ!G218</f>
        <v>30551</v>
      </c>
      <c r="F218" s="55">
        <f>Ｎ!D218-Ｎ!H218-Ｎ!G218</f>
        <v>29110</v>
      </c>
      <c r="G218" s="89">
        <f>ROUND(SUM(Ｎ!G26:G37)/12,0)</f>
        <v>1441</v>
      </c>
      <c r="H218" s="90">
        <f>ROUND(SUM(Ｎ!H26:H37)/12,0)</f>
        <v>4984</v>
      </c>
      <c r="I218" s="58">
        <f>ROUND(SUM(Ｎ!I26:I37)/12,0)</f>
        <v>73737</v>
      </c>
      <c r="J218" s="55">
        <f>ROUND(SUM(Ｎ!J26:J37)/12,0)</f>
        <v>63569</v>
      </c>
      <c r="K218" s="55">
        <f>ROUND(SUM(Ｎ!K26:K37)/12,0)</f>
        <v>49280</v>
      </c>
      <c r="L218" s="89">
        <f>ROUND(SUM(Ｎ!L26:L37)/12,0)</f>
        <v>14289</v>
      </c>
      <c r="M218" s="55">
        <f>ROUND(SUM(Ｎ!M26:M37)/12,0)</f>
        <v>10168</v>
      </c>
      <c r="N218" s="55">
        <f>ROUND(SUM(Ｎ!N26:N37)/12,0)</f>
        <v>7343</v>
      </c>
      <c r="O218" s="90">
        <f>ROUND(SUM(Ｎ!O26:O37)/12,0)</f>
        <v>2826</v>
      </c>
      <c r="P218" s="58">
        <f>ROUND(SUM(Ｎ!P26:P37)/12,0)</f>
        <v>97314</v>
      </c>
      <c r="Q218" s="55">
        <f>ROUND(SUM(Ｎ!Q26:Q37)/12,0)</f>
        <v>286329</v>
      </c>
      <c r="R218" s="60">
        <f>Ｎ!D218/Ｎ!P218</f>
        <v>0.36515814785128553</v>
      </c>
      <c r="S218" s="61">
        <f>Ｎ!I218/Ｎ!Q218</f>
        <v>0.25752543402868727</v>
      </c>
      <c r="T218" s="62">
        <f>Ｎ!M218/Ｎ!I218</f>
        <v>0.13789549344291196</v>
      </c>
    </row>
    <row r="219" spans="3:20" x14ac:dyDescent="0.2">
      <c r="C219" s="53">
        <v>1</v>
      </c>
      <c r="D219" s="48">
        <f>ROUND(SUM(Ｎ!D27:D38)/12,0)</f>
        <v>35596</v>
      </c>
      <c r="E219" s="45">
        <f>Ｎ!F219+Ｎ!G219</f>
        <v>30607</v>
      </c>
      <c r="F219" s="45">
        <f>Ｎ!D219-Ｎ!H219-Ｎ!G219</f>
        <v>29159</v>
      </c>
      <c r="G219" s="79">
        <f>ROUND(SUM(Ｎ!G27:G38)/12,0)</f>
        <v>1448</v>
      </c>
      <c r="H219" s="80">
        <f>ROUND(SUM(Ｎ!H27:H38)/12,0)</f>
        <v>4989</v>
      </c>
      <c r="I219" s="48">
        <f>ROUND(SUM(Ｎ!I27:I38)/12,0)</f>
        <v>73766</v>
      </c>
      <c r="J219" s="45">
        <f>ROUND(SUM(Ｎ!J27:J38)/12,0)</f>
        <v>63579</v>
      </c>
      <c r="K219" s="45">
        <f>ROUND(SUM(Ｎ!K27:K38)/12,0)</f>
        <v>49219</v>
      </c>
      <c r="L219" s="79">
        <f>ROUND(SUM(Ｎ!L27:L38)/12,0)</f>
        <v>14359</v>
      </c>
      <c r="M219" s="45">
        <f>ROUND(SUM(Ｎ!M27:M38)/12,0)</f>
        <v>10187</v>
      </c>
      <c r="N219" s="45">
        <f>ROUND(SUM(Ｎ!N27:N38)/12,0)</f>
        <v>7356</v>
      </c>
      <c r="O219" s="80">
        <f>ROUND(SUM(Ｎ!O27:O38)/12,0)</f>
        <v>2831</v>
      </c>
      <c r="P219" s="48">
        <f>ROUND(SUM(Ｎ!P27:P38)/12,0)</f>
        <v>97473</v>
      </c>
      <c r="Q219" s="45">
        <f>ROUND(SUM(Ｎ!Q27:Q38)/12,0)</f>
        <v>286520</v>
      </c>
      <c r="R219" s="50">
        <f>Ｎ!D219/Ｎ!P219</f>
        <v>0.36518830855724149</v>
      </c>
      <c r="S219" s="51">
        <f>Ｎ!I219/Ｎ!Q219</f>
        <v>0.25745497696495884</v>
      </c>
      <c r="T219" s="52">
        <f>Ｎ!M219/Ｎ!I219</f>
        <v>0.13809885313016837</v>
      </c>
    </row>
    <row r="220" spans="3:20" x14ac:dyDescent="0.2">
      <c r="C220" s="43">
        <v>2</v>
      </c>
      <c r="D220" s="48">
        <f>ROUND(SUM(Ｎ!D28:D39)/12,0)</f>
        <v>35660</v>
      </c>
      <c r="E220" s="45">
        <f>Ｎ!F220+Ｎ!G220</f>
        <v>30666</v>
      </c>
      <c r="F220" s="45">
        <f>Ｎ!D220-Ｎ!H220-Ｎ!G220</f>
        <v>29214</v>
      </c>
      <c r="G220" s="79">
        <f>ROUND(SUM(Ｎ!G28:G39)/12,0)</f>
        <v>1452</v>
      </c>
      <c r="H220" s="80">
        <f>ROUND(SUM(Ｎ!H28:H39)/12,0)</f>
        <v>4994</v>
      </c>
      <c r="I220" s="48">
        <f>ROUND(SUM(Ｎ!I28:I39)/12,0)</f>
        <v>73792</v>
      </c>
      <c r="J220" s="45">
        <f>ROUND(SUM(Ｎ!J28:J39)/12,0)</f>
        <v>63590</v>
      </c>
      <c r="K220" s="45">
        <f>ROUND(SUM(Ｎ!K28:K39)/12,0)</f>
        <v>49157</v>
      </c>
      <c r="L220" s="79">
        <f>ROUND(SUM(Ｎ!L28:L39)/12,0)</f>
        <v>14433</v>
      </c>
      <c r="M220" s="45">
        <f>ROUND(SUM(Ｎ!M28:M39)/12,0)</f>
        <v>10202</v>
      </c>
      <c r="N220" s="45">
        <f>ROUND(SUM(Ｎ!N28:N39)/12,0)</f>
        <v>7367</v>
      </c>
      <c r="O220" s="80">
        <f>ROUND(SUM(Ｎ!O28:O39)/12,0)</f>
        <v>2835</v>
      </c>
      <c r="P220" s="48">
        <f>ROUND(SUM(Ｎ!P28:P39)/12,0)</f>
        <v>97640</v>
      </c>
      <c r="Q220" s="45">
        <f>ROUND(SUM(Ｎ!Q28:Q39)/12,0)</f>
        <v>286718</v>
      </c>
      <c r="R220" s="50">
        <f>Ｎ!D220/Ｎ!P220</f>
        <v>0.36521917247029906</v>
      </c>
      <c r="S220" s="51">
        <f>Ｎ!I220/Ｎ!Q220</f>
        <v>0.25736786668433792</v>
      </c>
      <c r="T220" s="52">
        <f>Ｎ!M220/Ｎ!I220</f>
        <v>0.13825346921075454</v>
      </c>
    </row>
    <row r="221" spans="3:20" x14ac:dyDescent="0.2">
      <c r="C221" s="91">
        <v>3</v>
      </c>
      <c r="D221" s="92">
        <f>ROUND(SUM(Ｎ!D29:D40)/12,0)</f>
        <v>35723</v>
      </c>
      <c r="E221" s="289">
        <f>Ｎ!F221+Ｎ!G221</f>
        <v>30730</v>
      </c>
      <c r="F221" s="289">
        <f>Ｎ!D221-Ｎ!H221-Ｎ!G221</f>
        <v>29273</v>
      </c>
      <c r="G221" s="290">
        <f>ROUND(SUM(Ｎ!G29:G40)/12,0)</f>
        <v>1457</v>
      </c>
      <c r="H221" s="291">
        <f>ROUND(SUM(Ｎ!H29:H40)/12,0)</f>
        <v>4993</v>
      </c>
      <c r="I221" s="292">
        <f>ROUND(SUM(Ｎ!I29:I40)/12,0)</f>
        <v>73815</v>
      </c>
      <c r="J221" s="289">
        <f>ROUND(SUM(Ｎ!J29:J40)/12,0)</f>
        <v>63608</v>
      </c>
      <c r="K221" s="289">
        <f>ROUND(SUM(Ｎ!K29:K40)/12,0)</f>
        <v>49095</v>
      </c>
      <c r="L221" s="290">
        <f>ROUND(SUM(Ｎ!L29:L40)/12,0)</f>
        <v>14512</v>
      </c>
      <c r="M221" s="289">
        <f>ROUND(SUM(Ｎ!M29:M40)/12,0)</f>
        <v>10208</v>
      </c>
      <c r="N221" s="289">
        <f>ROUND(SUM(Ｎ!N29:N40)/12,0)</f>
        <v>7371</v>
      </c>
      <c r="O221" s="291">
        <f>ROUND(SUM(Ｎ!O29:O40)/12,0)</f>
        <v>2837</v>
      </c>
      <c r="P221" s="292">
        <f>ROUND(SUM(Ｎ!P29:P40)/12,0)</f>
        <v>97802</v>
      </c>
      <c r="Q221" s="289">
        <f>ROUND(SUM(Ｎ!Q29:Q40)/12,0)</f>
        <v>286905</v>
      </c>
      <c r="R221" s="293">
        <f>Ｎ!D221/Ｎ!P221</f>
        <v>0.36525837917425003</v>
      </c>
      <c r="S221" s="294">
        <f>Ｎ!I221/Ｎ!Q221</f>
        <v>0.25728028441470174</v>
      </c>
      <c r="T221" s="295">
        <f>Ｎ!M221/Ｎ!I221</f>
        <v>0.13829167513378041</v>
      </c>
    </row>
    <row r="222" spans="3:20" x14ac:dyDescent="0.2">
      <c r="C222" s="296" t="s">
        <v>2788</v>
      </c>
      <c r="D222" s="297">
        <f>ROUND(SUM(Ｎ!D30:D41)/12,0)</f>
        <v>35785</v>
      </c>
      <c r="E222" s="298">
        <f>Ｎ!F222+Ｎ!G222</f>
        <v>30791</v>
      </c>
      <c r="F222" s="298">
        <f>Ｎ!D222-Ｎ!H222-Ｎ!G222</f>
        <v>29331</v>
      </c>
      <c r="G222" s="299">
        <f>ROUND(SUM(Ｎ!G30:G41)/12,0)</f>
        <v>1460</v>
      </c>
      <c r="H222" s="300">
        <f>ROUND(SUM(Ｎ!H30:H41)/12,0)</f>
        <v>4994</v>
      </c>
      <c r="I222" s="297">
        <f>ROUND(SUM(Ｎ!I30:I41)/12,0)</f>
        <v>73847</v>
      </c>
      <c r="J222" s="298">
        <f>ROUND(SUM(Ｎ!J30:J41)/12,0)</f>
        <v>63632</v>
      </c>
      <c r="K222" s="298">
        <f>ROUND(SUM(Ｎ!K30:K41)/12,0)</f>
        <v>49036</v>
      </c>
      <c r="L222" s="299">
        <f>ROUND(SUM(Ｎ!L30:L41)/12,0)</f>
        <v>14596</v>
      </c>
      <c r="M222" s="298">
        <f>ROUND(SUM(Ｎ!M30:M41)/12,0)</f>
        <v>10215</v>
      </c>
      <c r="N222" s="298">
        <f>ROUND(SUM(Ｎ!N30:N41)/12,0)</f>
        <v>7376</v>
      </c>
      <c r="O222" s="300">
        <f>ROUND(SUM(Ｎ!O30:O41)/12,0)</f>
        <v>2839</v>
      </c>
      <c r="P222" s="297">
        <f>ROUND(SUM(Ｎ!P30:P41)/12,0)</f>
        <v>97963</v>
      </c>
      <c r="Q222" s="298">
        <f>ROUND(SUM(Ｎ!Q30:Q41)/12,0)</f>
        <v>287090</v>
      </c>
      <c r="R222" s="301">
        <f>Ｎ!D222/Ｎ!P222</f>
        <v>0.36529097720567971</v>
      </c>
      <c r="S222" s="302">
        <f>Ｎ!I222/Ｎ!Q222</f>
        <v>0.25722595701696332</v>
      </c>
      <c r="T222" s="303">
        <f>Ｎ!M222/Ｎ!I222</f>
        <v>0.13832654000839573</v>
      </c>
    </row>
    <row r="223" spans="3:20" x14ac:dyDescent="0.2">
      <c r="C223" s="53">
        <v>5</v>
      </c>
      <c r="D223" s="48">
        <f>ROUND(SUM(Ｎ!D31:D42)/12,0)</f>
        <v>35854</v>
      </c>
      <c r="E223" s="45">
        <f>Ｎ!F223+Ｎ!G223</f>
        <v>30859</v>
      </c>
      <c r="F223" s="45">
        <f>Ｎ!D223-Ｎ!H223-Ｎ!G223</f>
        <v>29395</v>
      </c>
      <c r="G223" s="79">
        <f>ROUND(SUM(Ｎ!G31:G42)/12,0)</f>
        <v>1464</v>
      </c>
      <c r="H223" s="80">
        <f>ROUND(SUM(Ｎ!H31:H42)/12,0)</f>
        <v>4995</v>
      </c>
      <c r="I223" s="48">
        <f>ROUND(SUM(Ｎ!I31:I42)/12,0)</f>
        <v>73890</v>
      </c>
      <c r="J223" s="45">
        <f>ROUND(SUM(Ｎ!J31:J42)/12,0)</f>
        <v>63667</v>
      </c>
      <c r="K223" s="45">
        <f>ROUND(SUM(Ｎ!K31:K42)/12,0)</f>
        <v>48984</v>
      </c>
      <c r="L223" s="79">
        <f>ROUND(SUM(Ｎ!L31:L42)/12,0)</f>
        <v>14683</v>
      </c>
      <c r="M223" s="45">
        <f>ROUND(SUM(Ｎ!M31:M42)/12,0)</f>
        <v>10224</v>
      </c>
      <c r="N223" s="45">
        <f>ROUND(SUM(Ｎ!N31:N42)/12,0)</f>
        <v>7381</v>
      </c>
      <c r="O223" s="80">
        <f>ROUND(SUM(Ｎ!O31:O42)/12,0)</f>
        <v>2843</v>
      </c>
      <c r="P223" s="48">
        <f>ROUND(SUM(Ｎ!P31:P42)/12,0)</f>
        <v>98127</v>
      </c>
      <c r="Q223" s="45">
        <f>ROUND(SUM(Ｎ!Q31:Q42)/12,0)</f>
        <v>287273</v>
      </c>
      <c r="R223" s="50">
        <f>Ｎ!D223/Ｎ!P223</f>
        <v>0.36538363549277975</v>
      </c>
      <c r="S223" s="51">
        <f>Ｎ!I223/Ｎ!Q223</f>
        <v>0.25721178112805587</v>
      </c>
      <c r="T223" s="52">
        <f>Ｎ!M223/Ｎ!I223</f>
        <v>0.13836784409257002</v>
      </c>
    </row>
    <row r="224" spans="3:20" x14ac:dyDescent="0.2">
      <c r="C224" s="43">
        <v>6</v>
      </c>
      <c r="D224" s="48">
        <f>ROUND(SUM(Ｎ!D32:D43)/12,0)</f>
        <v>35927</v>
      </c>
      <c r="E224" s="45">
        <f>Ｎ!F224+Ｎ!G224</f>
        <v>30928</v>
      </c>
      <c r="F224" s="45">
        <f>Ｎ!D224-Ｎ!H224-Ｎ!G224</f>
        <v>29461</v>
      </c>
      <c r="G224" s="79">
        <f>ROUND(SUM(Ｎ!G32:G43)/12,0)</f>
        <v>1467</v>
      </c>
      <c r="H224" s="80">
        <f>ROUND(SUM(Ｎ!H32:H43)/12,0)</f>
        <v>4999</v>
      </c>
      <c r="I224" s="48">
        <f>ROUND(SUM(Ｎ!I32:I43)/12,0)</f>
        <v>73941</v>
      </c>
      <c r="J224" s="45">
        <f>ROUND(SUM(Ｎ!J32:J43)/12,0)</f>
        <v>63706</v>
      </c>
      <c r="K224" s="45">
        <f>ROUND(SUM(Ｎ!K32:K43)/12,0)</f>
        <v>48935</v>
      </c>
      <c r="L224" s="79">
        <f>ROUND(SUM(Ｎ!L32:L43)/12,0)</f>
        <v>14771</v>
      </c>
      <c r="M224" s="45">
        <f>ROUND(SUM(Ｎ!M32:M43)/12,0)</f>
        <v>10235</v>
      </c>
      <c r="N224" s="45">
        <f>ROUND(SUM(Ｎ!N32:N43)/12,0)</f>
        <v>7390</v>
      </c>
      <c r="O224" s="80">
        <f>ROUND(SUM(Ｎ!O32:O43)/12,0)</f>
        <v>2845</v>
      </c>
      <c r="P224" s="48">
        <f>ROUND(SUM(Ｎ!P32:P43)/12,0)</f>
        <v>98290</v>
      </c>
      <c r="Q224" s="45">
        <f>ROUND(SUM(Ｎ!Q32:Q43)/12,0)</f>
        <v>287456</v>
      </c>
      <c r="R224" s="50">
        <f>Ｎ!D224/Ｎ!P224</f>
        <v>0.3655203988198189</v>
      </c>
      <c r="S224" s="51">
        <f>Ｎ!I224/Ｎ!Q224</f>
        <v>0.25722545363464322</v>
      </c>
      <c r="T224" s="52">
        <f>Ｎ!M224/Ｎ!I224</f>
        <v>0.13842117363844145</v>
      </c>
    </row>
    <row r="225" spans="3:20" x14ac:dyDescent="0.2">
      <c r="C225" s="43">
        <v>7</v>
      </c>
      <c r="D225" s="48">
        <f>ROUND(SUM(Ｎ!D33:D44)/12,0)</f>
        <v>36001</v>
      </c>
      <c r="E225" s="55">
        <f>Ｎ!F225+Ｎ!G225</f>
        <v>31000</v>
      </c>
      <c r="F225" s="55">
        <f>Ｎ!D225-Ｎ!H225-Ｎ!G225</f>
        <v>29529</v>
      </c>
      <c r="G225" s="89">
        <f>ROUND(SUM(Ｎ!G33:G44)/12,0)</f>
        <v>1471</v>
      </c>
      <c r="H225" s="90">
        <f>ROUND(SUM(Ｎ!H33:H44)/12,0)</f>
        <v>5001</v>
      </c>
      <c r="I225" s="58">
        <f>ROUND(SUM(Ｎ!I33:I44)/12,0)</f>
        <v>73998</v>
      </c>
      <c r="J225" s="55">
        <f>ROUND(SUM(Ｎ!J33:J44)/12,0)</f>
        <v>63752</v>
      </c>
      <c r="K225" s="55">
        <f>ROUND(SUM(Ｎ!K33:K44)/12,0)</f>
        <v>48892</v>
      </c>
      <c r="L225" s="89">
        <f>ROUND(SUM(Ｎ!L33:L44)/12,0)</f>
        <v>14860</v>
      </c>
      <c r="M225" s="55">
        <f>ROUND(SUM(Ｎ!M33:M44)/12,0)</f>
        <v>10245</v>
      </c>
      <c r="N225" s="55">
        <f>ROUND(SUM(Ｎ!N33:N44)/12,0)</f>
        <v>7398</v>
      </c>
      <c r="O225" s="90">
        <f>ROUND(SUM(Ｎ!O33:O44)/12,0)</f>
        <v>2848</v>
      </c>
      <c r="P225" s="58">
        <f>ROUND(SUM(Ｎ!P33:P44)/12,0)</f>
        <v>98447</v>
      </c>
      <c r="Q225" s="55">
        <f>ROUND(SUM(Ｎ!Q33:Q44)/12,0)</f>
        <v>287618</v>
      </c>
      <c r="R225" s="60">
        <f>Ｎ!D225/Ｎ!P225</f>
        <v>0.36568915253892958</v>
      </c>
      <c r="S225" s="61">
        <f>Ｎ!I225/Ｎ!Q225</f>
        <v>0.25727875167757236</v>
      </c>
      <c r="T225" s="62">
        <f>Ｎ!M225/Ｎ!I225</f>
        <v>0.13844968782940079</v>
      </c>
    </row>
    <row r="226" spans="3:20" x14ac:dyDescent="0.2">
      <c r="C226" s="53">
        <v>8</v>
      </c>
      <c r="D226" s="48">
        <f>ROUND(SUM(Ｎ!D34:D45)/12,0)</f>
        <v>36078</v>
      </c>
      <c r="E226" s="55">
        <f>Ｎ!F226+Ｎ!G226</f>
        <v>31072</v>
      </c>
      <c r="F226" s="55">
        <f>Ｎ!D226-Ｎ!H226-Ｎ!G226</f>
        <v>29598</v>
      </c>
      <c r="G226" s="89">
        <f>ROUND(SUM(Ｎ!G34:G45)/12,0)</f>
        <v>1474</v>
      </c>
      <c r="H226" s="90">
        <f>ROUND(SUM(Ｎ!H34:H45)/12,0)</f>
        <v>5006</v>
      </c>
      <c r="I226" s="58">
        <f>ROUND(SUM(Ｎ!I34:I45)/12,0)</f>
        <v>74056</v>
      </c>
      <c r="J226" s="55">
        <f>ROUND(SUM(Ｎ!J34:J45)/12,0)</f>
        <v>63799</v>
      </c>
      <c r="K226" s="55">
        <f>ROUND(SUM(Ｎ!K34:K45)/12,0)</f>
        <v>48849</v>
      </c>
      <c r="L226" s="89">
        <f>ROUND(SUM(Ｎ!L34:L45)/12,0)</f>
        <v>14950</v>
      </c>
      <c r="M226" s="55">
        <f>ROUND(SUM(Ｎ!M34:M45)/12,0)</f>
        <v>10257</v>
      </c>
      <c r="N226" s="55">
        <f>ROUND(SUM(Ｎ!N34:N45)/12,0)</f>
        <v>7406</v>
      </c>
      <c r="O226" s="90">
        <f>ROUND(SUM(Ｎ!O34:O45)/12,0)</f>
        <v>2851</v>
      </c>
      <c r="P226" s="58">
        <f>ROUND(SUM(Ｎ!P34:P45)/12,0)</f>
        <v>98597</v>
      </c>
      <c r="Q226" s="55">
        <f>ROUND(SUM(Ｎ!Q34:Q45)/12,0)</f>
        <v>287771</v>
      </c>
      <c r="R226" s="60">
        <f>Ｎ!D226/Ｎ!P226</f>
        <v>0.36591377019584775</v>
      </c>
      <c r="S226" s="61">
        <f>Ｎ!I226/Ｎ!Q226</f>
        <v>0.25734351272365874</v>
      </c>
      <c r="T226" s="62">
        <f>Ｎ!M226/Ｎ!I226</f>
        <v>0.13850329480393217</v>
      </c>
    </row>
    <row r="227" spans="3:20" x14ac:dyDescent="0.2">
      <c r="C227" s="53">
        <v>9</v>
      </c>
      <c r="D227" s="58">
        <f>ROUND(SUM(Ｎ!D35:D46)/12,0)</f>
        <v>36159</v>
      </c>
      <c r="E227" s="55">
        <f>Ｎ!F227+Ｎ!G227</f>
        <v>31150</v>
      </c>
      <c r="F227" s="55">
        <f>Ｎ!D227-Ｎ!H227-Ｎ!G227</f>
        <v>29672</v>
      </c>
      <c r="G227" s="89">
        <f>ROUND(SUM(Ｎ!G35:G46)/12,0)</f>
        <v>1478</v>
      </c>
      <c r="H227" s="90">
        <f>ROUND(SUM(Ｎ!H35:H46)/12,0)</f>
        <v>5009</v>
      </c>
      <c r="I227" s="58">
        <f>ROUND(SUM(Ｎ!I35:I46)/12,0)</f>
        <v>74128</v>
      </c>
      <c r="J227" s="55">
        <f>ROUND(SUM(Ｎ!J35:J46)/12,0)</f>
        <v>63862</v>
      </c>
      <c r="K227" s="55">
        <f>ROUND(SUM(Ｎ!K35:K46)/12,0)</f>
        <v>48819</v>
      </c>
      <c r="L227" s="89">
        <f>ROUND(SUM(Ｎ!L35:L46)/12,0)</f>
        <v>15043</v>
      </c>
      <c r="M227" s="55">
        <f>ROUND(SUM(Ｎ!M35:M46)/12,0)</f>
        <v>10266</v>
      </c>
      <c r="N227" s="55">
        <f>ROUND(SUM(Ｎ!N35:N46)/12,0)</f>
        <v>7414</v>
      </c>
      <c r="O227" s="90">
        <f>ROUND(SUM(Ｎ!O35:O46)/12,0)</f>
        <v>2852</v>
      </c>
      <c r="P227" s="58">
        <f>ROUND(SUM(Ｎ!P35:P46)/12,0)</f>
        <v>98753</v>
      </c>
      <c r="Q227" s="55">
        <f>ROUND(SUM(Ｎ!Q35:Q46)/12,0)</f>
        <v>287937</v>
      </c>
      <c r="R227" s="60">
        <f>Ｎ!D227/Ｎ!P227</f>
        <v>0.36615596488207952</v>
      </c>
      <c r="S227" s="61">
        <f>Ｎ!I227/Ｎ!Q227</f>
        <v>0.25744520502748863</v>
      </c>
      <c r="T227" s="62">
        <f>Ｎ!M227/Ｎ!I227</f>
        <v>0.13849017914957912</v>
      </c>
    </row>
    <row r="228" spans="3:20" x14ac:dyDescent="0.2">
      <c r="C228" s="53">
        <v>10</v>
      </c>
      <c r="D228" s="48">
        <f>ROUND(SUM(Ｎ!D36:D47)/12,0)</f>
        <v>36239</v>
      </c>
      <c r="E228" s="45">
        <f>Ｎ!F228+Ｎ!G228</f>
        <v>31227</v>
      </c>
      <c r="F228" s="45">
        <f>Ｎ!D228-Ｎ!H228-Ｎ!G228</f>
        <v>29745</v>
      </c>
      <c r="G228" s="79">
        <f>ROUND(SUM(Ｎ!G36:G47)/12,0)</f>
        <v>1482</v>
      </c>
      <c r="H228" s="80">
        <f>ROUND(SUM(Ｎ!H36:H47)/12,0)</f>
        <v>5012</v>
      </c>
      <c r="I228" s="48">
        <f>ROUND(SUM(Ｎ!I36:I47)/12,0)</f>
        <v>74206</v>
      </c>
      <c r="J228" s="45">
        <f>ROUND(SUM(Ｎ!J36:J47)/12,0)</f>
        <v>63930</v>
      </c>
      <c r="K228" s="45">
        <f>ROUND(SUM(Ｎ!K36:K47)/12,0)</f>
        <v>48794</v>
      </c>
      <c r="L228" s="79">
        <f>ROUND(SUM(Ｎ!L36:L47)/12,0)</f>
        <v>15137</v>
      </c>
      <c r="M228" s="45">
        <f>ROUND(SUM(Ｎ!M36:M47)/12,0)</f>
        <v>10276</v>
      </c>
      <c r="N228" s="45">
        <f>ROUND(SUM(Ｎ!N36:N47)/12,0)</f>
        <v>7421</v>
      </c>
      <c r="O228" s="80">
        <f>ROUND(SUM(Ｎ!O36:O47)/12,0)</f>
        <v>2854</v>
      </c>
      <c r="P228" s="48">
        <f>ROUND(SUM(Ｎ!P36:P47)/12,0)</f>
        <v>98906</v>
      </c>
      <c r="Q228" s="45">
        <f>ROUND(SUM(Ｎ!Q36:Q47)/12,0)</f>
        <v>288099</v>
      </c>
      <c r="R228" s="50">
        <f>Ｎ!D228/Ｎ!P228</f>
        <v>0.36639839847936423</v>
      </c>
      <c r="S228" s="51">
        <f>Ｎ!I228/Ｎ!Q228</f>
        <v>0.25757118212836561</v>
      </c>
      <c r="T228" s="52">
        <f>Ｎ!M228/Ｎ!I228</f>
        <v>0.13847936824515539</v>
      </c>
    </row>
    <row r="229" spans="3:20" x14ac:dyDescent="0.2">
      <c r="C229" s="43">
        <v>11</v>
      </c>
      <c r="D229" s="48">
        <f>ROUND(SUM(Ｎ!D37:D48)/12,0)</f>
        <v>36324</v>
      </c>
      <c r="E229" s="45">
        <f>Ｎ!F229+Ｎ!G229</f>
        <v>31309</v>
      </c>
      <c r="F229" s="45">
        <f>Ｎ!D229-Ｎ!H229-Ｎ!G229</f>
        <v>29824</v>
      </c>
      <c r="G229" s="79">
        <f>ROUND(SUM(Ｎ!G37:G48)/12,0)</f>
        <v>1485</v>
      </c>
      <c r="H229" s="80">
        <f>ROUND(SUM(Ｎ!H37:H48)/12,0)</f>
        <v>5015</v>
      </c>
      <c r="I229" s="48">
        <f>ROUND(SUM(Ｎ!I37:I48)/12,0)</f>
        <v>74289</v>
      </c>
      <c r="J229" s="45">
        <f>ROUND(SUM(Ｎ!J37:J48)/12,0)</f>
        <v>64005</v>
      </c>
      <c r="K229" s="45">
        <f>ROUND(SUM(Ｎ!K37:K48)/12,0)</f>
        <v>48775</v>
      </c>
      <c r="L229" s="79">
        <f>ROUND(SUM(Ｎ!L37:L48)/12,0)</f>
        <v>15231</v>
      </c>
      <c r="M229" s="45">
        <f>ROUND(SUM(Ｎ!M37:M48)/12,0)</f>
        <v>10283</v>
      </c>
      <c r="N229" s="45">
        <f>ROUND(SUM(Ｎ!N37:N48)/12,0)</f>
        <v>7428</v>
      </c>
      <c r="O229" s="80">
        <f>ROUND(SUM(Ｎ!O37:O48)/12,0)</f>
        <v>2856</v>
      </c>
      <c r="P229" s="48">
        <f>ROUND(SUM(Ｎ!P37:P48)/12,0)</f>
        <v>99053</v>
      </c>
      <c r="Q229" s="45">
        <f>ROUND(SUM(Ｎ!Q37:Q48)/12,0)</f>
        <v>288246</v>
      </c>
      <c r="R229" s="50">
        <f>Ｎ!D229/Ｎ!P229</f>
        <v>0.36671276993124891</v>
      </c>
      <c r="S229" s="51">
        <f>Ｎ!I229/Ｎ!Q229</f>
        <v>0.2577277741928769</v>
      </c>
      <c r="T229" s="52">
        <f>Ｎ!M229/Ｎ!I229</f>
        <v>0.13841887762656652</v>
      </c>
    </row>
    <row r="230" spans="3:20" x14ac:dyDescent="0.2">
      <c r="C230" s="43">
        <v>12</v>
      </c>
      <c r="D230" s="48">
        <f>ROUND(SUM(Ｎ!D38:D49)/12,0)</f>
        <v>36407</v>
      </c>
      <c r="E230" s="55">
        <f>Ｎ!F230+Ｎ!G230</f>
        <v>31387</v>
      </c>
      <c r="F230" s="55">
        <f>Ｎ!D230-Ｎ!H230-Ｎ!G230</f>
        <v>29900</v>
      </c>
      <c r="G230" s="89">
        <f>ROUND(SUM(Ｎ!G38:G49)/12,0)</f>
        <v>1487</v>
      </c>
      <c r="H230" s="90">
        <f>ROUND(SUM(Ｎ!H38:H49)/12,0)</f>
        <v>5020</v>
      </c>
      <c r="I230" s="58">
        <f>ROUND(SUM(Ｎ!I38:I49)/12,0)</f>
        <v>74373</v>
      </c>
      <c r="J230" s="55">
        <f>ROUND(SUM(Ｎ!J38:J49)/12,0)</f>
        <v>64079</v>
      </c>
      <c r="K230" s="55">
        <f>ROUND(SUM(Ｎ!K38:K49)/12,0)</f>
        <v>48753</v>
      </c>
      <c r="L230" s="89">
        <f>ROUND(SUM(Ｎ!L38:L49)/12,0)</f>
        <v>15326</v>
      </c>
      <c r="M230" s="55">
        <f>ROUND(SUM(Ｎ!M38:M49)/12,0)</f>
        <v>10294</v>
      </c>
      <c r="N230" s="55">
        <f>ROUND(SUM(Ｎ!N38:N49)/12,0)</f>
        <v>7436</v>
      </c>
      <c r="O230" s="90">
        <f>ROUND(SUM(Ｎ!O38:O49)/12,0)</f>
        <v>2858</v>
      </c>
      <c r="P230" s="58">
        <f>ROUND(SUM(Ｎ!P38:P49)/12,0)</f>
        <v>99192</v>
      </c>
      <c r="Q230" s="55">
        <f>ROUND(SUM(Ｎ!Q38:Q49)/12,0)</f>
        <v>288372</v>
      </c>
      <c r="R230" s="60">
        <f>Ｎ!D230/Ｎ!P230</f>
        <v>0.36703564803613192</v>
      </c>
      <c r="S230" s="61">
        <f>Ｎ!I230/Ｎ!Q230</f>
        <v>0.25790645416337232</v>
      </c>
      <c r="T230" s="62">
        <f>Ｎ!M230/Ｎ!I230</f>
        <v>0.13841044465061245</v>
      </c>
    </row>
    <row r="231" spans="3:20" x14ac:dyDescent="0.2">
      <c r="C231" s="53">
        <v>1</v>
      </c>
      <c r="D231" s="48">
        <f>ROUND(SUM(Ｎ!D39:D50)/12,0)</f>
        <v>36494</v>
      </c>
      <c r="E231" s="45">
        <f>Ｎ!F231+Ｎ!G231</f>
        <v>31467</v>
      </c>
      <c r="F231" s="45">
        <f>Ｎ!D231-Ｎ!H231-Ｎ!G231</f>
        <v>29977</v>
      </c>
      <c r="G231" s="79">
        <f>ROUND(SUM(Ｎ!G39:G50)/12,0)</f>
        <v>1490</v>
      </c>
      <c r="H231" s="80">
        <f>ROUND(SUM(Ｎ!H39:H50)/12,0)</f>
        <v>5027</v>
      </c>
      <c r="I231" s="48">
        <f>ROUND(SUM(Ｎ!I39:I50)/12,0)</f>
        <v>74467</v>
      </c>
      <c r="J231" s="45">
        <f>ROUND(SUM(Ｎ!J39:J50)/12,0)</f>
        <v>64158</v>
      </c>
      <c r="K231" s="45">
        <f>ROUND(SUM(Ｎ!K39:K50)/12,0)</f>
        <v>48735</v>
      </c>
      <c r="L231" s="79">
        <f>ROUND(SUM(Ｎ!L39:L50)/12,0)</f>
        <v>15423</v>
      </c>
      <c r="M231" s="45">
        <f>ROUND(SUM(Ｎ!M39:M50)/12,0)</f>
        <v>10309</v>
      </c>
      <c r="N231" s="45">
        <f>ROUND(SUM(Ｎ!N39:N50)/12,0)</f>
        <v>7448</v>
      </c>
      <c r="O231" s="80">
        <f>ROUND(SUM(Ｎ!O39:O50)/12,0)</f>
        <v>2861</v>
      </c>
      <c r="P231" s="48">
        <f>ROUND(SUM(Ｎ!P39:P50)/12,0)</f>
        <v>99328</v>
      </c>
      <c r="Q231" s="45">
        <f>ROUND(SUM(Ｎ!Q39:Q50)/12,0)</f>
        <v>288492</v>
      </c>
      <c r="R231" s="50">
        <f>Ｎ!D231/Ｎ!P231</f>
        <v>0.36740898840206188</v>
      </c>
      <c r="S231" s="51">
        <f>Ｎ!I231/Ｎ!Q231</f>
        <v>0.25812500866575155</v>
      </c>
      <c r="T231" s="52">
        <f>Ｎ!M231/Ｎ!I231</f>
        <v>0.13843716008433266</v>
      </c>
    </row>
    <row r="232" spans="3:20" x14ac:dyDescent="0.2">
      <c r="C232" s="43">
        <v>2</v>
      </c>
      <c r="D232" s="48">
        <f>ROUND(SUM(Ｎ!D40:D51)/12,0)</f>
        <v>36578</v>
      </c>
      <c r="E232" s="45">
        <f>Ｎ!F232+Ｎ!G232</f>
        <v>31544</v>
      </c>
      <c r="F232" s="45">
        <f>Ｎ!D232-Ｎ!H232-Ｎ!G232</f>
        <v>30050</v>
      </c>
      <c r="G232" s="79">
        <f>ROUND(SUM(Ｎ!G40:G51)/12,0)</f>
        <v>1494</v>
      </c>
      <c r="H232" s="80">
        <f>ROUND(SUM(Ｎ!H40:H51)/12,0)</f>
        <v>5034</v>
      </c>
      <c r="I232" s="48">
        <f>ROUND(SUM(Ｎ!I40:I51)/12,0)</f>
        <v>74568</v>
      </c>
      <c r="J232" s="45">
        <f>ROUND(SUM(Ｎ!J40:J51)/12,0)</f>
        <v>64243</v>
      </c>
      <c r="K232" s="45">
        <f>ROUND(SUM(Ｎ!K40:K51)/12,0)</f>
        <v>48726</v>
      </c>
      <c r="L232" s="79">
        <f>ROUND(SUM(Ｎ!L40:L51)/12,0)</f>
        <v>15517</v>
      </c>
      <c r="M232" s="45">
        <f>ROUND(SUM(Ｎ!M40:M51)/12,0)</f>
        <v>10325</v>
      </c>
      <c r="N232" s="45">
        <f>ROUND(SUM(Ｎ!N40:N51)/12,0)</f>
        <v>7459</v>
      </c>
      <c r="O232" s="80">
        <f>ROUND(SUM(Ｎ!O40:O51)/12,0)</f>
        <v>2866</v>
      </c>
      <c r="P232" s="48">
        <f>ROUND(SUM(Ｎ!P40:P51)/12,0)</f>
        <v>99455</v>
      </c>
      <c r="Q232" s="45">
        <f>ROUND(SUM(Ｎ!Q40:Q51)/12,0)</f>
        <v>288601</v>
      </c>
      <c r="R232" s="50">
        <f>Ｎ!D232/Ｎ!P232</f>
        <v>0.36778442511688703</v>
      </c>
      <c r="S232" s="51">
        <f>Ｎ!I232/Ｎ!Q232</f>
        <v>0.25837748309950415</v>
      </c>
      <c r="T232" s="52">
        <f>Ｎ!M232/Ｎ!I232</f>
        <v>0.13846422057719129</v>
      </c>
    </row>
    <row r="233" spans="3:20" x14ac:dyDescent="0.2">
      <c r="C233" s="91">
        <v>3</v>
      </c>
      <c r="D233" s="92">
        <f>ROUND(SUM(Ｎ!D41:D52)/12,0)</f>
        <v>36668</v>
      </c>
      <c r="E233" s="289">
        <f>Ｎ!F233+Ｎ!G233</f>
        <v>31627</v>
      </c>
      <c r="F233" s="289">
        <f>Ｎ!D233-Ｎ!H233-Ｎ!G233</f>
        <v>30130</v>
      </c>
      <c r="G233" s="290">
        <f>ROUND(SUM(Ｎ!G41:G52)/12,0)</f>
        <v>1497</v>
      </c>
      <c r="H233" s="291">
        <f>ROUND(SUM(Ｎ!H41:H52)/12,0)</f>
        <v>5041</v>
      </c>
      <c r="I233" s="292">
        <f>ROUND(SUM(Ｎ!I41:I52)/12,0)</f>
        <v>74680</v>
      </c>
      <c r="J233" s="289">
        <f>ROUND(SUM(Ｎ!J41:J52)/12,0)</f>
        <v>64341</v>
      </c>
      <c r="K233" s="289">
        <f>ROUND(SUM(Ｎ!K41:K52)/12,0)</f>
        <v>48727</v>
      </c>
      <c r="L233" s="290">
        <f>ROUND(SUM(Ｎ!L41:L52)/12,0)</f>
        <v>15614</v>
      </c>
      <c r="M233" s="289">
        <f>ROUND(SUM(Ｎ!M41:M52)/12,0)</f>
        <v>10339</v>
      </c>
      <c r="N233" s="289">
        <f>ROUND(SUM(Ｎ!N41:N52)/12,0)</f>
        <v>7472</v>
      </c>
      <c r="O233" s="291">
        <f>ROUND(SUM(Ｎ!O41:O52)/12,0)</f>
        <v>2868</v>
      </c>
      <c r="P233" s="292">
        <f>ROUND(SUM(Ｎ!P41:P52)/12,0)</f>
        <v>99576</v>
      </c>
      <c r="Q233" s="289">
        <f>ROUND(SUM(Ｎ!Q41:Q52)/12,0)</f>
        <v>288696</v>
      </c>
      <c r="R233" s="293">
        <f>Ｎ!D233/Ｎ!P233</f>
        <v>0.36824134329557323</v>
      </c>
      <c r="S233" s="294">
        <f>Ｎ!I233/Ｎ!Q233</f>
        <v>0.25868041122842023</v>
      </c>
      <c r="T233" s="295">
        <f>Ｎ!M233/Ｎ!I233</f>
        <v>0.13844402785216925</v>
      </c>
    </row>
    <row r="234" spans="3:20" x14ac:dyDescent="0.2">
      <c r="C234" s="296" t="s">
        <v>2789</v>
      </c>
      <c r="D234" s="297">
        <f>ROUND(SUM(Ｎ!D42:D53)/12,0)</f>
        <v>36771</v>
      </c>
      <c r="E234" s="298">
        <f>Ｎ!F234+Ｎ!G234</f>
        <v>31717</v>
      </c>
      <c r="F234" s="298">
        <f>Ｎ!D234-Ｎ!H234-Ｎ!G234</f>
        <v>30217</v>
      </c>
      <c r="G234" s="299">
        <f>ROUND(SUM(Ｎ!G42:G53)/12,0)</f>
        <v>1500</v>
      </c>
      <c r="H234" s="300">
        <f>ROUND(SUM(Ｎ!H42:H53)/12,0)</f>
        <v>5054</v>
      </c>
      <c r="I234" s="297">
        <f>ROUND(SUM(Ｎ!I42:I53)/12,0)</f>
        <v>74806</v>
      </c>
      <c r="J234" s="298">
        <f>ROUND(SUM(Ｎ!J42:J53)/12,0)</f>
        <v>64443</v>
      </c>
      <c r="K234" s="298">
        <f>ROUND(SUM(Ｎ!K42:K53)/12,0)</f>
        <v>48730</v>
      </c>
      <c r="L234" s="299">
        <f>ROUND(SUM(Ｎ!L42:L53)/12,0)</f>
        <v>15713</v>
      </c>
      <c r="M234" s="298">
        <f>ROUND(SUM(Ｎ!M42:M53)/12,0)</f>
        <v>10364</v>
      </c>
      <c r="N234" s="298">
        <f>ROUND(SUM(Ｎ!N42:N53)/12,0)</f>
        <v>7490</v>
      </c>
      <c r="O234" s="300">
        <f>ROUND(SUM(Ｎ!O42:O53)/12,0)</f>
        <v>2874</v>
      </c>
      <c r="P234" s="297">
        <f>ROUND(SUM(Ｎ!P42:P53)/12,0)</f>
        <v>99705</v>
      </c>
      <c r="Q234" s="298">
        <f>ROUND(SUM(Ｎ!Q42:Q53)/12,0)</f>
        <v>288793</v>
      </c>
      <c r="R234" s="301">
        <f>Ｎ!D234/Ｎ!P234</f>
        <v>0.36879795396419435</v>
      </c>
      <c r="S234" s="302">
        <f>Ｎ!I234/Ｎ!Q234</f>
        <v>0.25902982413008624</v>
      </c>
      <c r="T234" s="303">
        <f>Ｎ!M234/Ｎ!I234</f>
        <v>0.13854503649439884</v>
      </c>
    </row>
    <row r="235" spans="3:20" x14ac:dyDescent="0.2">
      <c r="C235" s="53">
        <v>5</v>
      </c>
      <c r="D235" s="48">
        <f>ROUND(SUM(Ｎ!D43:D54)/12,0)</f>
        <v>36872</v>
      </c>
      <c r="E235" s="45">
        <f>Ｎ!F235+Ｎ!G235</f>
        <v>31805</v>
      </c>
      <c r="F235" s="45">
        <f>Ｎ!D235-Ｎ!H235-Ｎ!G235</f>
        <v>30302</v>
      </c>
      <c r="G235" s="79">
        <f>ROUND(SUM(Ｎ!G43:G54)/12,0)</f>
        <v>1503</v>
      </c>
      <c r="H235" s="80">
        <f>ROUND(SUM(Ｎ!H43:H54)/12,0)</f>
        <v>5067</v>
      </c>
      <c r="I235" s="48">
        <f>ROUND(SUM(Ｎ!I43:I54)/12,0)</f>
        <v>74929</v>
      </c>
      <c r="J235" s="45">
        <f>ROUND(SUM(Ｎ!J43:J54)/12,0)</f>
        <v>64541</v>
      </c>
      <c r="K235" s="45">
        <f>ROUND(SUM(Ｎ!K43:K54)/12,0)</f>
        <v>48730</v>
      </c>
      <c r="L235" s="79">
        <f>ROUND(SUM(Ｎ!L43:L54)/12,0)</f>
        <v>15812</v>
      </c>
      <c r="M235" s="45">
        <f>ROUND(SUM(Ｎ!M43:M54)/12,0)</f>
        <v>10387</v>
      </c>
      <c r="N235" s="45">
        <f>ROUND(SUM(Ｎ!N43:N54)/12,0)</f>
        <v>7507</v>
      </c>
      <c r="O235" s="80">
        <f>ROUND(SUM(Ｎ!O43:O54)/12,0)</f>
        <v>2880</v>
      </c>
      <c r="P235" s="48">
        <f>ROUND(SUM(Ｎ!P43:P54)/12,0)</f>
        <v>99844</v>
      </c>
      <c r="Q235" s="45">
        <f>ROUND(SUM(Ｎ!Q43:Q54)/12,0)</f>
        <v>288900</v>
      </c>
      <c r="R235" s="50">
        <f>Ｎ!D235/Ｎ!P235</f>
        <v>0.36929610191899365</v>
      </c>
      <c r="S235" s="51">
        <f>Ｎ!I235/Ｎ!Q235</f>
        <v>0.25935964001384559</v>
      </c>
      <c r="T235" s="52">
        <f>Ｎ!M235/Ｎ!I235</f>
        <v>0.13862456458780981</v>
      </c>
    </row>
    <row r="236" spans="3:20" x14ac:dyDescent="0.2">
      <c r="C236" s="43">
        <v>6</v>
      </c>
      <c r="D236" s="48">
        <f>ROUND(SUM(Ｎ!D44:D55)/12,0)</f>
        <v>36974</v>
      </c>
      <c r="E236" s="45">
        <f>Ｎ!F236+Ｎ!G236</f>
        <v>31897</v>
      </c>
      <c r="F236" s="45">
        <f>Ｎ!D236-Ｎ!H236-Ｎ!G236</f>
        <v>30390</v>
      </c>
      <c r="G236" s="79">
        <f>ROUND(SUM(Ｎ!G44:G55)/12,0)</f>
        <v>1507</v>
      </c>
      <c r="H236" s="80">
        <f>ROUND(SUM(Ｎ!H44:H55)/12,0)</f>
        <v>5077</v>
      </c>
      <c r="I236" s="48">
        <f>ROUND(SUM(Ｎ!I44:I55)/12,0)</f>
        <v>75054</v>
      </c>
      <c r="J236" s="45">
        <f>ROUND(SUM(Ｎ!J44:J55)/12,0)</f>
        <v>64647</v>
      </c>
      <c r="K236" s="45">
        <f>ROUND(SUM(Ｎ!K44:K55)/12,0)</f>
        <v>48736</v>
      </c>
      <c r="L236" s="79">
        <f>ROUND(SUM(Ｎ!L44:L55)/12,0)</f>
        <v>15911</v>
      </c>
      <c r="M236" s="45">
        <f>ROUND(SUM(Ｎ!M44:M55)/12,0)</f>
        <v>10408</v>
      </c>
      <c r="N236" s="45">
        <f>ROUND(SUM(Ｎ!N44:N55)/12,0)</f>
        <v>7523</v>
      </c>
      <c r="O236" s="80">
        <f>ROUND(SUM(Ｎ!O44:O55)/12,0)</f>
        <v>2885</v>
      </c>
      <c r="P236" s="48">
        <f>ROUND(SUM(Ｎ!P44:P55)/12,0)</f>
        <v>99988</v>
      </c>
      <c r="Q236" s="45">
        <f>ROUND(SUM(Ｎ!Q44:Q55)/12,0)</f>
        <v>289011</v>
      </c>
      <c r="R236" s="50">
        <f>Ｎ!D236/Ｎ!P236</f>
        <v>0.36978437412489501</v>
      </c>
      <c r="S236" s="51">
        <f>Ｎ!I236/Ｎ!Q236</f>
        <v>0.25969253765427613</v>
      </c>
      <c r="T236" s="52">
        <f>Ｎ!M236/Ｎ!I236</f>
        <v>0.13867348842166974</v>
      </c>
    </row>
    <row r="237" spans="3:20" x14ac:dyDescent="0.2">
      <c r="C237" s="43">
        <v>7</v>
      </c>
      <c r="D237" s="48">
        <f>ROUND(SUM(Ｎ!D45:D56)/12,0)</f>
        <v>37080</v>
      </c>
      <c r="E237" s="55">
        <f>Ｎ!F237+Ｎ!G237</f>
        <v>31990</v>
      </c>
      <c r="F237" s="55">
        <f>Ｎ!D237-Ｎ!H237-Ｎ!G237</f>
        <v>30479</v>
      </c>
      <c r="G237" s="89">
        <f>ROUND(SUM(Ｎ!G45:G56)/12,0)</f>
        <v>1511</v>
      </c>
      <c r="H237" s="90">
        <f>ROUND(SUM(Ｎ!H45:H56)/12,0)</f>
        <v>5090</v>
      </c>
      <c r="I237" s="58">
        <f>ROUND(SUM(Ｎ!I45:I56)/12,0)</f>
        <v>75184</v>
      </c>
      <c r="J237" s="55">
        <f>ROUND(SUM(Ｎ!J45:J56)/12,0)</f>
        <v>64752</v>
      </c>
      <c r="K237" s="55">
        <f>ROUND(SUM(Ｎ!K45:K56)/12,0)</f>
        <v>48741</v>
      </c>
      <c r="L237" s="89">
        <f>ROUND(SUM(Ｎ!L45:L56)/12,0)</f>
        <v>16011</v>
      </c>
      <c r="M237" s="55">
        <f>ROUND(SUM(Ｎ!M45:M56)/12,0)</f>
        <v>10432</v>
      </c>
      <c r="N237" s="55">
        <f>ROUND(SUM(Ｎ!N45:N56)/12,0)</f>
        <v>7541</v>
      </c>
      <c r="O237" s="90">
        <f>ROUND(SUM(Ｎ!O45:O56)/12,0)</f>
        <v>2892</v>
      </c>
      <c r="P237" s="58">
        <f>ROUND(SUM(Ｎ!P45:P56)/12,0)</f>
        <v>100141</v>
      </c>
      <c r="Q237" s="55">
        <f>ROUND(SUM(Ｎ!Q45:Q56)/12,0)</f>
        <v>289141</v>
      </c>
      <c r="R237" s="60">
        <f>Ｎ!D237/Ｎ!P237</f>
        <v>0.37027790814950917</v>
      </c>
      <c r="S237" s="61">
        <f>Ｎ!I237/Ｎ!Q237</f>
        <v>0.26002538553854349</v>
      </c>
      <c r="T237" s="62">
        <f>Ｎ!M237/Ｎ!I237</f>
        <v>0.13875292615450097</v>
      </c>
    </row>
    <row r="238" spans="3:20" x14ac:dyDescent="0.2">
      <c r="C238" s="53">
        <v>8</v>
      </c>
      <c r="D238" s="48">
        <f>ROUND(SUM(Ｎ!D46:D57)/12,0)</f>
        <v>37192</v>
      </c>
      <c r="E238" s="55">
        <f>Ｎ!F238+Ｎ!G238</f>
        <v>32092</v>
      </c>
      <c r="F238" s="55">
        <f>Ｎ!D238-Ｎ!H238-Ｎ!G238</f>
        <v>30577</v>
      </c>
      <c r="G238" s="89">
        <f>ROUND(SUM(Ｎ!G46:G57)/12,0)</f>
        <v>1515</v>
      </c>
      <c r="H238" s="90">
        <f>ROUND(SUM(Ｎ!H46:H57)/12,0)</f>
        <v>5100</v>
      </c>
      <c r="I238" s="58">
        <f>ROUND(SUM(Ｎ!I46:I57)/12,0)</f>
        <v>75327</v>
      </c>
      <c r="J238" s="55">
        <f>ROUND(SUM(Ｎ!J46:J57)/12,0)</f>
        <v>64875</v>
      </c>
      <c r="K238" s="55">
        <f>ROUND(SUM(Ｎ!K46:K57)/12,0)</f>
        <v>48761</v>
      </c>
      <c r="L238" s="89">
        <f>ROUND(SUM(Ｎ!L46:L57)/12,0)</f>
        <v>16114</v>
      </c>
      <c r="M238" s="55">
        <f>ROUND(SUM(Ｎ!M46:M57)/12,0)</f>
        <v>10452</v>
      </c>
      <c r="N238" s="55">
        <f>ROUND(SUM(Ｎ!N46:N57)/12,0)</f>
        <v>7556</v>
      </c>
      <c r="O238" s="90">
        <f>ROUND(SUM(Ｎ!O46:O57)/12,0)</f>
        <v>2897</v>
      </c>
      <c r="P238" s="58">
        <f>ROUND(SUM(Ｎ!P46:P57)/12,0)</f>
        <v>100295</v>
      </c>
      <c r="Q238" s="55">
        <f>ROUND(SUM(Ｎ!Q46:Q57)/12,0)</f>
        <v>289270</v>
      </c>
      <c r="R238" s="60">
        <f>Ｎ!D238/Ｎ!P238</f>
        <v>0.37082606311381427</v>
      </c>
      <c r="S238" s="61">
        <f>Ｎ!I238/Ｎ!Q238</f>
        <v>0.2604037750198776</v>
      </c>
      <c r="T238" s="62">
        <f>Ｎ!M238/Ｎ!I238</f>
        <v>0.13875502807758175</v>
      </c>
    </row>
    <row r="239" spans="3:20" x14ac:dyDescent="0.2">
      <c r="C239" s="53">
        <v>9</v>
      </c>
      <c r="D239" s="58">
        <f>ROUND(SUM(Ｎ!D47:D58)/12,0)</f>
        <v>37301</v>
      </c>
      <c r="E239" s="55">
        <f>Ｎ!F239+Ｎ!G239</f>
        <v>32184</v>
      </c>
      <c r="F239" s="55">
        <f>Ｎ!D239-Ｎ!H239-Ｎ!G239</f>
        <v>30667</v>
      </c>
      <c r="G239" s="89">
        <f>ROUND(SUM(Ｎ!G47:G58)/12,0)</f>
        <v>1517</v>
      </c>
      <c r="H239" s="90">
        <f>ROUND(SUM(Ｎ!H47:H58)/12,0)</f>
        <v>5117</v>
      </c>
      <c r="I239" s="58">
        <f>ROUND(SUM(Ｎ!I47:I58)/12,0)</f>
        <v>75461</v>
      </c>
      <c r="J239" s="55">
        <f>ROUND(SUM(Ｎ!J47:J58)/12,0)</f>
        <v>64979</v>
      </c>
      <c r="K239" s="55">
        <f>ROUND(SUM(Ｎ!K47:K58)/12,0)</f>
        <v>48762</v>
      </c>
      <c r="L239" s="89">
        <f>ROUND(SUM(Ｎ!L47:L58)/12,0)</f>
        <v>16218</v>
      </c>
      <c r="M239" s="55">
        <f>ROUND(SUM(Ｎ!M47:M58)/12,0)</f>
        <v>10482</v>
      </c>
      <c r="N239" s="55">
        <f>ROUND(SUM(Ｎ!N47:N58)/12,0)</f>
        <v>7576</v>
      </c>
      <c r="O239" s="90">
        <f>ROUND(SUM(Ｎ!O47:O58)/12,0)</f>
        <v>2905</v>
      </c>
      <c r="P239" s="58">
        <f>ROUND(SUM(Ｎ!P47:P58)/12,0)</f>
        <v>100439</v>
      </c>
      <c r="Q239" s="55">
        <f>ROUND(SUM(Ｎ!Q47:Q58)/12,0)</f>
        <v>289387</v>
      </c>
      <c r="R239" s="60">
        <f>Ｎ!D239/Ｎ!P239</f>
        <v>0.3713796433656249</v>
      </c>
      <c r="S239" s="61">
        <f>Ｎ!I239/Ｎ!Q239</f>
        <v>0.26076154077411906</v>
      </c>
      <c r="T239" s="62">
        <f>Ｎ!M239/Ｎ!I239</f>
        <v>0.13890618995242576</v>
      </c>
    </row>
    <row r="240" spans="3:20" x14ac:dyDescent="0.2">
      <c r="C240" s="53">
        <v>10</v>
      </c>
      <c r="D240" s="48">
        <f>ROUND(SUM(Ｎ!D48:D59)/12,0)</f>
        <v>37412</v>
      </c>
      <c r="E240" s="45">
        <f>Ｎ!F240+Ｎ!G240</f>
        <v>32280</v>
      </c>
      <c r="F240" s="45">
        <f>Ｎ!D240-Ｎ!H240-Ｎ!G240</f>
        <v>30762</v>
      </c>
      <c r="G240" s="79">
        <f>ROUND(SUM(Ｎ!G48:G59)/12,0)</f>
        <v>1518</v>
      </c>
      <c r="H240" s="80">
        <f>ROUND(SUM(Ｎ!H48:H59)/12,0)</f>
        <v>5132</v>
      </c>
      <c r="I240" s="48">
        <f>ROUND(SUM(Ｎ!I48:I59)/12,0)</f>
        <v>75593</v>
      </c>
      <c r="J240" s="45">
        <f>ROUND(SUM(Ｎ!J48:J59)/12,0)</f>
        <v>65085</v>
      </c>
      <c r="K240" s="45">
        <f>ROUND(SUM(Ｎ!K48:K59)/12,0)</f>
        <v>48763</v>
      </c>
      <c r="L240" s="79">
        <f>ROUND(SUM(Ｎ!L48:L59)/12,0)</f>
        <v>16322</v>
      </c>
      <c r="M240" s="45">
        <f>ROUND(SUM(Ｎ!M48:M59)/12,0)</f>
        <v>10508</v>
      </c>
      <c r="N240" s="45">
        <f>ROUND(SUM(Ｎ!N48:N59)/12,0)</f>
        <v>7594</v>
      </c>
      <c r="O240" s="80">
        <f>ROUND(SUM(Ｎ!O48:O59)/12,0)</f>
        <v>2915</v>
      </c>
      <c r="P240" s="48">
        <f>ROUND(SUM(Ｎ!P48:P59)/12,0)</f>
        <v>100582</v>
      </c>
      <c r="Q240" s="45">
        <f>ROUND(SUM(Ｎ!Q48:Q59)/12,0)</f>
        <v>289497</v>
      </c>
      <c r="R240" s="50">
        <f>Ｎ!D240/Ｎ!P240</f>
        <v>0.37195522061601477</v>
      </c>
      <c r="S240" s="51">
        <f>Ｎ!I240/Ｎ!Q240</f>
        <v>0.26111842264341256</v>
      </c>
      <c r="T240" s="52">
        <f>Ｎ!M240/Ｎ!I240</f>
        <v>0.13900758006693742</v>
      </c>
    </row>
    <row r="241" spans="3:20" x14ac:dyDescent="0.2">
      <c r="C241" s="43">
        <v>11</v>
      </c>
      <c r="D241" s="48">
        <f>ROUND(SUM(Ｎ!D49:D60)/12,0)</f>
        <v>37518</v>
      </c>
      <c r="E241" s="45">
        <f>Ｎ!F241+Ｎ!G241</f>
        <v>32368</v>
      </c>
      <c r="F241" s="45">
        <f>Ｎ!D241-Ｎ!H241-Ｎ!G241</f>
        <v>30848</v>
      </c>
      <c r="G241" s="79">
        <f>ROUND(SUM(Ｎ!G49:G60)/12,0)</f>
        <v>1520</v>
      </c>
      <c r="H241" s="80">
        <f>ROUND(SUM(Ｎ!H49:H60)/12,0)</f>
        <v>5150</v>
      </c>
      <c r="I241" s="48">
        <f>ROUND(SUM(Ｎ!I49:I60)/12,0)</f>
        <v>75723</v>
      </c>
      <c r="J241" s="45">
        <f>ROUND(SUM(Ｎ!J49:J60)/12,0)</f>
        <v>65182</v>
      </c>
      <c r="K241" s="45">
        <f>ROUND(SUM(Ｎ!K49:K60)/12,0)</f>
        <v>48757</v>
      </c>
      <c r="L241" s="79">
        <f>ROUND(SUM(Ｎ!L49:L60)/12,0)</f>
        <v>16424</v>
      </c>
      <c r="M241" s="45">
        <f>ROUND(SUM(Ｎ!M49:M60)/12,0)</f>
        <v>10542</v>
      </c>
      <c r="N241" s="45">
        <f>ROUND(SUM(Ｎ!N49:N60)/12,0)</f>
        <v>7615</v>
      </c>
      <c r="O241" s="80">
        <f>ROUND(SUM(Ｎ!O49:O60)/12,0)</f>
        <v>2926</v>
      </c>
      <c r="P241" s="48">
        <f>ROUND(SUM(Ｎ!P49:P60)/12,0)</f>
        <v>100726</v>
      </c>
      <c r="Q241" s="45">
        <f>ROUND(SUM(Ｎ!Q49:Q60)/12,0)</f>
        <v>289611</v>
      </c>
      <c r="R241" s="50">
        <f>Ｎ!D241/Ｎ!P241</f>
        <v>0.37247582550682046</v>
      </c>
      <c r="S241" s="51">
        <f>Ｎ!I241/Ｎ!Q241</f>
        <v>0.26146451619586275</v>
      </c>
      <c r="T241" s="52">
        <f>Ｎ!M241/Ｎ!I241</f>
        <v>0.13921793906739036</v>
      </c>
    </row>
    <row r="242" spans="3:20" x14ac:dyDescent="0.2">
      <c r="C242" s="43">
        <v>12</v>
      </c>
      <c r="D242" s="48">
        <f>ROUND(SUM(Ｎ!D50:D61)/12,0)</f>
        <v>37629</v>
      </c>
      <c r="E242" s="55">
        <f>Ｎ!F242+Ｎ!G242</f>
        <v>32462</v>
      </c>
      <c r="F242" s="55">
        <f>Ｎ!D242-Ｎ!H242-Ｎ!G242</f>
        <v>30939</v>
      </c>
      <c r="G242" s="89">
        <f>ROUND(SUM(Ｎ!G50:G61)/12,0)</f>
        <v>1523</v>
      </c>
      <c r="H242" s="90">
        <f>ROUND(SUM(Ｎ!H50:H61)/12,0)</f>
        <v>5167</v>
      </c>
      <c r="I242" s="58">
        <f>ROUND(SUM(Ｎ!I50:I61)/12,0)</f>
        <v>75858</v>
      </c>
      <c r="J242" s="55">
        <f>ROUND(SUM(Ｎ!J50:J61)/12,0)</f>
        <v>65283</v>
      </c>
      <c r="K242" s="55">
        <f>ROUND(SUM(Ｎ!K50:K61)/12,0)</f>
        <v>48758</v>
      </c>
      <c r="L242" s="89">
        <f>ROUND(SUM(Ｎ!L50:L61)/12,0)</f>
        <v>16525</v>
      </c>
      <c r="M242" s="55">
        <f>ROUND(SUM(Ｎ!M50:M61)/12,0)</f>
        <v>10575</v>
      </c>
      <c r="N242" s="55">
        <f>ROUND(SUM(Ｎ!N50:N61)/12,0)</f>
        <v>7637</v>
      </c>
      <c r="O242" s="90">
        <f>ROUND(SUM(Ｎ!O50:O61)/12,0)</f>
        <v>2938</v>
      </c>
      <c r="P242" s="58">
        <f>ROUND(SUM(Ｎ!P50:P61)/12,0)</f>
        <v>100878</v>
      </c>
      <c r="Q242" s="55">
        <f>ROUND(SUM(Ｎ!Q50:Q61)/12,0)</f>
        <v>289742</v>
      </c>
      <c r="R242" s="60">
        <f>Ｎ!D242/Ｎ!P242</f>
        <v>0.37301492892404686</v>
      </c>
      <c r="S242" s="61">
        <f>Ｎ!I242/Ｎ!Q242</f>
        <v>0.26181223295207462</v>
      </c>
      <c r="T242" s="62">
        <f>Ｎ!M242/Ｎ!I242</f>
        <v>0.13940520446096655</v>
      </c>
    </row>
    <row r="243" spans="3:20" x14ac:dyDescent="0.2">
      <c r="C243" s="53">
        <v>1</v>
      </c>
      <c r="D243" s="48">
        <f>ROUND(SUM(Ｎ!D51:D62)/12,0)</f>
        <v>37736</v>
      </c>
      <c r="E243" s="45">
        <f>Ｎ!F243+Ｎ!G243</f>
        <v>32554</v>
      </c>
      <c r="F243" s="45">
        <f>Ｎ!D243-Ｎ!H243-Ｎ!G243</f>
        <v>31028</v>
      </c>
      <c r="G243" s="79">
        <f>ROUND(SUM(Ｎ!G51:G62)/12,0)</f>
        <v>1526</v>
      </c>
      <c r="H243" s="80">
        <f>ROUND(SUM(Ｎ!H51:H62)/12,0)</f>
        <v>5182</v>
      </c>
      <c r="I243" s="48">
        <f>ROUND(SUM(Ｎ!I51:I62)/12,0)</f>
        <v>75980</v>
      </c>
      <c r="J243" s="45">
        <f>ROUND(SUM(Ｎ!J51:J62)/12,0)</f>
        <v>65378</v>
      </c>
      <c r="K243" s="45">
        <f>ROUND(SUM(Ｎ!K51:K62)/12,0)</f>
        <v>48758</v>
      </c>
      <c r="L243" s="79">
        <f>ROUND(SUM(Ｎ!L51:L62)/12,0)</f>
        <v>16620</v>
      </c>
      <c r="M243" s="45">
        <f>ROUND(SUM(Ｎ!M51:M62)/12,0)</f>
        <v>10603</v>
      </c>
      <c r="N243" s="45">
        <f>ROUND(SUM(Ｎ!N51:N62)/12,0)</f>
        <v>7655</v>
      </c>
      <c r="O243" s="80">
        <f>ROUND(SUM(Ｎ!O51:O62)/12,0)</f>
        <v>2948</v>
      </c>
      <c r="P243" s="48">
        <f>ROUND(SUM(Ｎ!P51:P62)/12,0)</f>
        <v>101028</v>
      </c>
      <c r="Q243" s="45">
        <f>ROUND(SUM(Ｎ!Q51:Q62)/12,0)</f>
        <v>289861</v>
      </c>
      <c r="R243" s="50">
        <f>Ｎ!D243/Ｎ!P243</f>
        <v>0.37352021221839488</v>
      </c>
      <c r="S243" s="51">
        <f>Ｎ!I243/Ｎ!Q243</f>
        <v>0.26212563953067158</v>
      </c>
      <c r="T243" s="52">
        <f>Ｎ!M243/Ｎ!I243</f>
        <v>0.13954988154777573</v>
      </c>
    </row>
    <row r="244" spans="3:20" x14ac:dyDescent="0.2">
      <c r="C244" s="43">
        <v>2</v>
      </c>
      <c r="D244" s="48">
        <f>ROUND(SUM(Ｎ!D52:D63)/12,0)</f>
        <v>37843</v>
      </c>
      <c r="E244" s="45">
        <f>Ｎ!F244+Ｎ!G244</f>
        <v>32646</v>
      </c>
      <c r="F244" s="45">
        <f>Ｎ!D244-Ｎ!H244-Ｎ!G244</f>
        <v>31116</v>
      </c>
      <c r="G244" s="79">
        <f>ROUND(SUM(Ｎ!G52:G63)/12,0)</f>
        <v>1530</v>
      </c>
      <c r="H244" s="80">
        <f>ROUND(SUM(Ｎ!H52:H63)/12,0)</f>
        <v>5197</v>
      </c>
      <c r="I244" s="48">
        <f>ROUND(SUM(Ｎ!I52:I63)/12,0)</f>
        <v>76102</v>
      </c>
      <c r="J244" s="45">
        <f>ROUND(SUM(Ｎ!J52:J63)/12,0)</f>
        <v>65469</v>
      </c>
      <c r="K244" s="45">
        <f>ROUND(SUM(Ｎ!K52:K63)/12,0)</f>
        <v>48754</v>
      </c>
      <c r="L244" s="79">
        <f>ROUND(SUM(Ｎ!L52:L63)/12,0)</f>
        <v>16715</v>
      </c>
      <c r="M244" s="45">
        <f>ROUND(SUM(Ｎ!M52:M63)/12,0)</f>
        <v>10634</v>
      </c>
      <c r="N244" s="45">
        <f>ROUND(SUM(Ｎ!N52:N63)/12,0)</f>
        <v>7675</v>
      </c>
      <c r="O244" s="80">
        <f>ROUND(SUM(Ｎ!O52:O63)/12,0)</f>
        <v>2959</v>
      </c>
      <c r="P244" s="48">
        <f>ROUND(SUM(Ｎ!P52:P63)/12,0)</f>
        <v>101179</v>
      </c>
      <c r="Q244" s="45">
        <f>ROUND(SUM(Ｎ!Q52:Q63)/12,0)</f>
        <v>289975</v>
      </c>
      <c r="R244" s="50">
        <f>Ｎ!D244/Ｎ!P244</f>
        <v>0.37402030065527431</v>
      </c>
      <c r="S244" s="51">
        <f>Ｎ!I244/Ｎ!Q244</f>
        <v>0.26244331407879989</v>
      </c>
      <c r="T244" s="52">
        <f>Ｎ!M244/Ｎ!I244</f>
        <v>0.13973351554492655</v>
      </c>
    </row>
    <row r="245" spans="3:20" x14ac:dyDescent="0.2">
      <c r="C245" s="91">
        <v>3</v>
      </c>
      <c r="D245" s="92">
        <f>ROUND(SUM(Ｎ!D53:D64)/12,0)</f>
        <v>37948</v>
      </c>
      <c r="E245" s="289">
        <f>Ｎ!F245+Ｎ!G245</f>
        <v>32731</v>
      </c>
      <c r="F245" s="289">
        <f>Ｎ!D245-Ｎ!H245-Ｎ!G245</f>
        <v>31197</v>
      </c>
      <c r="G245" s="290">
        <f>ROUND(SUM(Ｎ!G53:G64)/12,0)</f>
        <v>1534</v>
      </c>
      <c r="H245" s="291">
        <f>ROUND(SUM(Ｎ!H53:H64)/12,0)</f>
        <v>5217</v>
      </c>
      <c r="I245" s="292">
        <f>ROUND(SUM(Ｎ!I53:I64)/12,0)</f>
        <v>76218</v>
      </c>
      <c r="J245" s="289">
        <f>ROUND(SUM(Ｎ!J53:J64)/12,0)</f>
        <v>65544</v>
      </c>
      <c r="K245" s="289">
        <f>ROUND(SUM(Ｎ!K53:K64)/12,0)</f>
        <v>48736</v>
      </c>
      <c r="L245" s="290">
        <f>ROUND(SUM(Ｎ!L53:L64)/12,0)</f>
        <v>16808</v>
      </c>
      <c r="M245" s="289">
        <f>ROUND(SUM(Ｎ!M53:M64)/12,0)</f>
        <v>10675</v>
      </c>
      <c r="N245" s="289">
        <f>ROUND(SUM(Ｎ!N53:N64)/12,0)</f>
        <v>7701</v>
      </c>
      <c r="O245" s="291">
        <f>ROUND(SUM(Ｎ!O53:O64)/12,0)</f>
        <v>2974</v>
      </c>
      <c r="P245" s="292">
        <f>ROUND(SUM(Ｎ!P53:P64)/12,0)</f>
        <v>101328</v>
      </c>
      <c r="Q245" s="289">
        <f>ROUND(SUM(Ｎ!Q53:Q64)/12,0)</f>
        <v>290091</v>
      </c>
      <c r="R245" s="293">
        <f>Ｎ!D245/Ｎ!P245</f>
        <v>0.37450655297647245</v>
      </c>
      <c r="S245" s="294">
        <f>Ｎ!I245/Ｎ!Q245</f>
        <v>0.2627382442061284</v>
      </c>
      <c r="T245" s="295">
        <f>Ｎ!M245/Ｎ!I245</f>
        <v>0.14005877876617073</v>
      </c>
    </row>
    <row r="246" spans="3:20" x14ac:dyDescent="0.2">
      <c r="C246" s="296" t="s">
        <v>2790</v>
      </c>
      <c r="D246" s="297">
        <f>ROUND(SUM(Ｎ!D54:D65)/12,0)</f>
        <v>38052</v>
      </c>
      <c r="E246" s="298">
        <f>Ｎ!F246+Ｎ!G246</f>
        <v>32819</v>
      </c>
      <c r="F246" s="298">
        <f>Ｎ!D246-Ｎ!H246-Ｎ!G246</f>
        <v>31279</v>
      </c>
      <c r="G246" s="299">
        <f>ROUND(SUM(Ｎ!G54:G65)/12,0)</f>
        <v>1540</v>
      </c>
      <c r="H246" s="300">
        <f>ROUND(SUM(Ｎ!H54:H65)/12,0)</f>
        <v>5233</v>
      </c>
      <c r="I246" s="297">
        <f>ROUND(SUM(Ｎ!I54:I65)/12,0)</f>
        <v>76337</v>
      </c>
      <c r="J246" s="298">
        <f>ROUND(SUM(Ｎ!J54:J65)/12,0)</f>
        <v>65626</v>
      </c>
      <c r="K246" s="298">
        <f>ROUND(SUM(Ｎ!K54:K65)/12,0)</f>
        <v>48726</v>
      </c>
      <c r="L246" s="299">
        <f>ROUND(SUM(Ｎ!L54:L65)/12,0)</f>
        <v>16900</v>
      </c>
      <c r="M246" s="298">
        <f>ROUND(SUM(Ｎ!M54:M65)/12,0)</f>
        <v>10711</v>
      </c>
      <c r="N246" s="298">
        <f>ROUND(SUM(Ｎ!N54:N65)/12,0)</f>
        <v>7726</v>
      </c>
      <c r="O246" s="300">
        <f>ROUND(SUM(Ｎ!O54:O65)/12,0)</f>
        <v>2985</v>
      </c>
      <c r="P246" s="297">
        <f>ROUND(SUM(Ｎ!P54:P65)/12,0)</f>
        <v>101473</v>
      </c>
      <c r="Q246" s="298">
        <f>ROUND(SUM(Ｎ!Q54:Q65)/12,0)</f>
        <v>290200</v>
      </c>
      <c r="R246" s="301">
        <f>Ｎ!D246/Ｎ!P246</f>
        <v>0.37499630443566268</v>
      </c>
      <c r="S246" s="302">
        <f>Ｎ!I246/Ｎ!Q246</f>
        <v>0.26304962095106821</v>
      </c>
      <c r="T246" s="303">
        <f>Ｎ!M246/Ｎ!I246</f>
        <v>0.14031203741305004</v>
      </c>
    </row>
    <row r="247" spans="3:20" x14ac:dyDescent="0.2">
      <c r="C247" s="53">
        <v>5</v>
      </c>
      <c r="D247" s="48">
        <f>ROUND(SUM(Ｎ!D55:D66)/12,0)</f>
        <v>38155</v>
      </c>
      <c r="E247" s="45">
        <f>Ｎ!F247+Ｎ!G247</f>
        <v>32905</v>
      </c>
      <c r="F247" s="45">
        <f>Ｎ!D247-Ｎ!H247-Ｎ!G247</f>
        <v>31360</v>
      </c>
      <c r="G247" s="79">
        <f>ROUND(SUM(Ｎ!G55:G66)/12,0)</f>
        <v>1545</v>
      </c>
      <c r="H247" s="80">
        <f>ROUND(SUM(Ｎ!H55:H66)/12,0)</f>
        <v>5250</v>
      </c>
      <c r="I247" s="48">
        <f>ROUND(SUM(Ｎ!I55:I66)/12,0)</f>
        <v>76461</v>
      </c>
      <c r="J247" s="45">
        <f>ROUND(SUM(Ｎ!J55:J66)/12,0)</f>
        <v>65714</v>
      </c>
      <c r="K247" s="45">
        <f>ROUND(SUM(Ｎ!K55:K66)/12,0)</f>
        <v>48722</v>
      </c>
      <c r="L247" s="79">
        <f>ROUND(SUM(Ｎ!L55:L66)/12,0)</f>
        <v>16992</v>
      </c>
      <c r="M247" s="45">
        <f>ROUND(SUM(Ｎ!M55:M66)/12,0)</f>
        <v>10748</v>
      </c>
      <c r="N247" s="45">
        <f>ROUND(SUM(Ｎ!N55:N66)/12,0)</f>
        <v>7752</v>
      </c>
      <c r="O247" s="80">
        <f>ROUND(SUM(Ｎ!O55:O66)/12,0)</f>
        <v>2996</v>
      </c>
      <c r="P247" s="48">
        <f>ROUND(SUM(Ｎ!P55:P66)/12,0)</f>
        <v>101603</v>
      </c>
      <c r="Q247" s="45">
        <f>ROUND(SUM(Ｎ!Q55:Q66)/12,0)</f>
        <v>290296</v>
      </c>
      <c r="R247" s="50">
        <f>Ｎ!D247/Ｎ!P247</f>
        <v>0.37553025009104063</v>
      </c>
      <c r="S247" s="51">
        <f>Ｎ!I247/Ｎ!Q247</f>
        <v>0.26338978146443631</v>
      </c>
      <c r="T247" s="52">
        <f>Ｎ!M247/Ｎ!I247</f>
        <v>0.1405683943448294</v>
      </c>
    </row>
    <row r="248" spans="3:20" x14ac:dyDescent="0.2">
      <c r="C248" s="43">
        <v>6</v>
      </c>
      <c r="D248" s="48">
        <f>ROUND(SUM(Ｎ!D56:D67)/12,0)</f>
        <v>38260</v>
      </c>
      <c r="E248" s="45">
        <f>Ｎ!F248+Ｎ!G248</f>
        <v>32990</v>
      </c>
      <c r="F248" s="45">
        <f>Ｎ!D248-Ｎ!H248-Ｎ!G248</f>
        <v>31440</v>
      </c>
      <c r="G248" s="79">
        <f>ROUND(SUM(Ｎ!G56:G67)/12,0)</f>
        <v>1550</v>
      </c>
      <c r="H248" s="80">
        <f>ROUND(SUM(Ｎ!H56:H67)/12,0)</f>
        <v>5270</v>
      </c>
      <c r="I248" s="48">
        <f>ROUND(SUM(Ｎ!I56:I67)/12,0)</f>
        <v>76589</v>
      </c>
      <c r="J248" s="45">
        <f>ROUND(SUM(Ｎ!J56:J67)/12,0)</f>
        <v>65801</v>
      </c>
      <c r="K248" s="45">
        <f>ROUND(SUM(Ｎ!K56:K67)/12,0)</f>
        <v>48716</v>
      </c>
      <c r="L248" s="79">
        <f>ROUND(SUM(Ｎ!L56:L67)/12,0)</f>
        <v>17084</v>
      </c>
      <c r="M248" s="45">
        <f>ROUND(SUM(Ｎ!M56:M67)/12,0)</f>
        <v>10788</v>
      </c>
      <c r="N248" s="45">
        <f>ROUND(SUM(Ｎ!N56:N67)/12,0)</f>
        <v>7779</v>
      </c>
      <c r="O248" s="80">
        <f>ROUND(SUM(Ｎ!O56:O67)/12,0)</f>
        <v>3009</v>
      </c>
      <c r="P248" s="48">
        <f>ROUND(SUM(Ｎ!P56:P67)/12,0)</f>
        <v>101725</v>
      </c>
      <c r="Q248" s="45">
        <f>ROUND(SUM(Ｎ!Q56:Q67)/12,0)</f>
        <v>290375</v>
      </c>
      <c r="R248" s="50">
        <f>Ｎ!D248/Ｎ!P248</f>
        <v>0.37611206684689114</v>
      </c>
      <c r="S248" s="51">
        <f>Ｎ!I248/Ｎ!Q248</f>
        <v>0.26375893241498061</v>
      </c>
      <c r="T248" s="52">
        <f>Ｎ!M248/Ｎ!I248</f>
        <v>0.14085573646346081</v>
      </c>
    </row>
    <row r="249" spans="3:20" x14ac:dyDescent="0.2">
      <c r="C249" s="43">
        <v>7</v>
      </c>
      <c r="D249" s="48">
        <f>ROUND(SUM(Ｎ!D57:D68)/12,0)</f>
        <v>38362</v>
      </c>
      <c r="E249" s="55">
        <f>Ｎ!F249+Ｎ!G249</f>
        <v>33074</v>
      </c>
      <c r="F249" s="55">
        <f>Ｎ!D249-Ｎ!H249-Ｎ!G249</f>
        <v>31517</v>
      </c>
      <c r="G249" s="89">
        <f>ROUND(SUM(Ｎ!G57:G68)/12,0)</f>
        <v>1557</v>
      </c>
      <c r="H249" s="90">
        <f>ROUND(SUM(Ｎ!H57:H68)/12,0)</f>
        <v>5288</v>
      </c>
      <c r="I249" s="58">
        <f>ROUND(SUM(Ｎ!I57:I68)/12,0)</f>
        <v>76718</v>
      </c>
      <c r="J249" s="55">
        <f>ROUND(SUM(Ｎ!J57:J68)/12,0)</f>
        <v>65889</v>
      </c>
      <c r="K249" s="55">
        <f>ROUND(SUM(Ｎ!K57:K68)/12,0)</f>
        <v>48714</v>
      </c>
      <c r="L249" s="89">
        <f>ROUND(SUM(Ｎ!L57:L68)/12,0)</f>
        <v>17175</v>
      </c>
      <c r="M249" s="55">
        <f>ROUND(SUM(Ｎ!M57:M68)/12,0)</f>
        <v>10829</v>
      </c>
      <c r="N249" s="55">
        <f>ROUND(SUM(Ｎ!N57:N68)/12,0)</f>
        <v>7807</v>
      </c>
      <c r="O249" s="90">
        <f>ROUND(SUM(Ｎ!O57:O68)/12,0)</f>
        <v>3022</v>
      </c>
      <c r="P249" s="58">
        <f>ROUND(SUM(Ｎ!P57:P68)/12,0)</f>
        <v>101835</v>
      </c>
      <c r="Q249" s="55">
        <f>ROUND(SUM(Ｎ!Q57:Q68)/12,0)</f>
        <v>290444</v>
      </c>
      <c r="R249" s="60">
        <f>Ｎ!D249/Ｎ!P249</f>
        <v>0.3767074188638484</v>
      </c>
      <c r="S249" s="61">
        <f>Ｎ!I249/Ｎ!Q249</f>
        <v>0.26414041949566869</v>
      </c>
      <c r="T249" s="62">
        <f>Ｎ!M249/Ｎ!I249</f>
        <v>0.14115331473708909</v>
      </c>
    </row>
    <row r="250" spans="3:20" x14ac:dyDescent="0.2">
      <c r="C250" s="53">
        <v>8</v>
      </c>
      <c r="D250" s="48">
        <f>ROUND(SUM(Ｎ!D58:D69)/12,0)</f>
        <v>38463</v>
      </c>
      <c r="E250" s="55">
        <f>Ｎ!F250+Ｎ!G250</f>
        <v>33156</v>
      </c>
      <c r="F250" s="55">
        <f>Ｎ!D250-Ｎ!H250-Ｎ!G250</f>
        <v>31592</v>
      </c>
      <c r="G250" s="89">
        <f>ROUND(SUM(Ｎ!G58:G69)/12,0)</f>
        <v>1564</v>
      </c>
      <c r="H250" s="90">
        <f>ROUND(SUM(Ｎ!H58:H69)/12,0)</f>
        <v>5307</v>
      </c>
      <c r="I250" s="58">
        <f>ROUND(SUM(Ｎ!I58:I69)/12,0)</f>
        <v>76842</v>
      </c>
      <c r="J250" s="55">
        <f>ROUND(SUM(Ｎ!J58:J69)/12,0)</f>
        <v>65970</v>
      </c>
      <c r="K250" s="55">
        <f>ROUND(SUM(Ｎ!K58:K69)/12,0)</f>
        <v>48701</v>
      </c>
      <c r="L250" s="89">
        <f>ROUND(SUM(Ｎ!L58:L69)/12,0)</f>
        <v>17269</v>
      </c>
      <c r="M250" s="55">
        <f>ROUND(SUM(Ｎ!M58:M69)/12,0)</f>
        <v>10872</v>
      </c>
      <c r="N250" s="55">
        <f>ROUND(SUM(Ｎ!N58:N69)/12,0)</f>
        <v>7836</v>
      </c>
      <c r="O250" s="90">
        <f>ROUND(SUM(Ｎ!O58:O69)/12,0)</f>
        <v>3036</v>
      </c>
      <c r="P250" s="58">
        <f>ROUND(SUM(Ｎ!P58:P69)/12,0)</f>
        <v>101937</v>
      </c>
      <c r="Q250" s="55">
        <f>ROUND(SUM(Ｎ!Q58:Q69)/12,0)</f>
        <v>290512</v>
      </c>
      <c r="R250" s="60">
        <f>Ｎ!D250/Ｎ!P250</f>
        <v>0.37732128667706527</v>
      </c>
      <c r="S250" s="61">
        <f>Ｎ!I250/Ｎ!Q250</f>
        <v>0.26450542490499535</v>
      </c>
      <c r="T250" s="62">
        <f>Ｎ!M250/Ｎ!I250</f>
        <v>0.14148512532208948</v>
      </c>
    </row>
    <row r="251" spans="3:20" x14ac:dyDescent="0.2">
      <c r="C251" s="53">
        <v>9</v>
      </c>
      <c r="D251" s="58">
        <f>ROUND(SUM(Ｎ!D59:D70)/12,0)</f>
        <v>38569</v>
      </c>
      <c r="E251" s="55">
        <f>Ｎ!F251+Ｎ!G251</f>
        <v>33243</v>
      </c>
      <c r="F251" s="55">
        <f>Ｎ!D251-Ｎ!H251-Ｎ!G251</f>
        <v>31670</v>
      </c>
      <c r="G251" s="89">
        <f>ROUND(SUM(Ｎ!G59:G70)/12,0)</f>
        <v>1573</v>
      </c>
      <c r="H251" s="90">
        <f>ROUND(SUM(Ｎ!H59:H70)/12,0)</f>
        <v>5326</v>
      </c>
      <c r="I251" s="58">
        <f>ROUND(SUM(Ｎ!I59:I70)/12,0)</f>
        <v>76978</v>
      </c>
      <c r="J251" s="55">
        <f>ROUND(SUM(Ｎ!J59:J70)/12,0)</f>
        <v>66061</v>
      </c>
      <c r="K251" s="55">
        <f>ROUND(SUM(Ｎ!K59:K70)/12,0)</f>
        <v>48697</v>
      </c>
      <c r="L251" s="89">
        <f>ROUND(SUM(Ｎ!L59:L70)/12,0)</f>
        <v>17364</v>
      </c>
      <c r="M251" s="55">
        <f>ROUND(SUM(Ｎ!M59:M70)/12,0)</f>
        <v>10917</v>
      </c>
      <c r="N251" s="55">
        <f>ROUND(SUM(Ｎ!N59:N70)/12,0)</f>
        <v>7866</v>
      </c>
      <c r="O251" s="90">
        <f>ROUND(SUM(Ｎ!O59:O70)/12,0)</f>
        <v>3051</v>
      </c>
      <c r="P251" s="58">
        <f>ROUND(SUM(Ｎ!P59:P70)/12,0)</f>
        <v>102049</v>
      </c>
      <c r="Q251" s="55">
        <f>ROUND(SUM(Ｎ!Q59:Q70)/12,0)</f>
        <v>290594</v>
      </c>
      <c r="R251" s="60">
        <f>Ｎ!D251/Ｎ!P251</f>
        <v>0.37794588873972307</v>
      </c>
      <c r="S251" s="61">
        <f>Ｎ!I251/Ｎ!Q251</f>
        <v>0.26489879350571588</v>
      </c>
      <c r="T251" s="62">
        <f>Ｎ!M251/Ｎ!I251</f>
        <v>0.14181974070513653</v>
      </c>
    </row>
    <row r="252" spans="3:20" x14ac:dyDescent="0.2">
      <c r="C252" s="53">
        <v>10</v>
      </c>
      <c r="D252" s="48">
        <f>ROUND(SUM(Ｎ!D60:D71)/12,0)</f>
        <v>38671</v>
      </c>
      <c r="E252" s="45">
        <f>Ｎ!F252+Ｎ!G252</f>
        <v>33327</v>
      </c>
      <c r="F252" s="45">
        <f>Ｎ!D252-Ｎ!H252-Ｎ!G252</f>
        <v>31745</v>
      </c>
      <c r="G252" s="79">
        <f>ROUND(SUM(Ｎ!G60:G71)/12,0)</f>
        <v>1582</v>
      </c>
      <c r="H252" s="80">
        <f>ROUND(SUM(Ｎ!H60:H71)/12,0)</f>
        <v>5344</v>
      </c>
      <c r="I252" s="48">
        <f>ROUND(SUM(Ｎ!I60:I71)/12,0)</f>
        <v>77116</v>
      </c>
      <c r="J252" s="45">
        <f>ROUND(SUM(Ｎ!J60:J71)/12,0)</f>
        <v>66154</v>
      </c>
      <c r="K252" s="45">
        <f>ROUND(SUM(Ｎ!K60:K71)/12,0)</f>
        <v>48698</v>
      </c>
      <c r="L252" s="79">
        <f>ROUND(SUM(Ｎ!L60:L71)/12,0)</f>
        <v>17456</v>
      </c>
      <c r="M252" s="45">
        <f>ROUND(SUM(Ｎ!M60:M71)/12,0)</f>
        <v>10963</v>
      </c>
      <c r="N252" s="45">
        <f>ROUND(SUM(Ｎ!N60:N71)/12,0)</f>
        <v>7897</v>
      </c>
      <c r="O252" s="80">
        <f>ROUND(SUM(Ｎ!O60:O71)/12,0)</f>
        <v>3065</v>
      </c>
      <c r="P252" s="48">
        <f>ROUND(SUM(Ｎ!P60:P71)/12,0)</f>
        <v>102157</v>
      </c>
      <c r="Q252" s="45">
        <f>ROUND(SUM(Ｎ!Q60:Q71)/12,0)</f>
        <v>290673</v>
      </c>
      <c r="R252" s="50">
        <f>Ｎ!D252/Ｎ!P252</f>
        <v>0.37854478890335463</v>
      </c>
      <c r="S252" s="51">
        <f>Ｎ!I252/Ｎ!Q252</f>
        <v>0.26530155879631062</v>
      </c>
      <c r="T252" s="52">
        <f>Ｎ!M252/Ｎ!I252</f>
        <v>0.14216245655895016</v>
      </c>
    </row>
    <row r="253" spans="3:20" x14ac:dyDescent="0.2">
      <c r="C253" s="43">
        <v>11</v>
      </c>
      <c r="D253" s="48">
        <f>ROUND(SUM(Ｎ!D61:D72)/12,0)</f>
        <v>38778</v>
      </c>
      <c r="E253" s="45">
        <f>Ｎ!F253+Ｎ!G253</f>
        <v>33420</v>
      </c>
      <c r="F253" s="45">
        <f>Ｎ!D253-Ｎ!H253-Ｎ!G253</f>
        <v>31828</v>
      </c>
      <c r="G253" s="79">
        <f>ROUND(SUM(Ｎ!G61:G72)/12,0)</f>
        <v>1592</v>
      </c>
      <c r="H253" s="80">
        <f>ROUND(SUM(Ｎ!H61:H72)/12,0)</f>
        <v>5358</v>
      </c>
      <c r="I253" s="48">
        <f>ROUND(SUM(Ｎ!I61:I72)/12,0)</f>
        <v>77260</v>
      </c>
      <c r="J253" s="45">
        <f>ROUND(SUM(Ｎ!J61:J72)/12,0)</f>
        <v>66260</v>
      </c>
      <c r="K253" s="45">
        <f>ROUND(SUM(Ｎ!K61:K72)/12,0)</f>
        <v>48713</v>
      </c>
      <c r="L253" s="79">
        <f>ROUND(SUM(Ｎ!L61:L72)/12,0)</f>
        <v>17547</v>
      </c>
      <c r="M253" s="45">
        <f>ROUND(SUM(Ｎ!M61:M72)/12,0)</f>
        <v>11000</v>
      </c>
      <c r="N253" s="45">
        <f>ROUND(SUM(Ｎ!N61:N72)/12,0)</f>
        <v>7923</v>
      </c>
      <c r="O253" s="80">
        <f>ROUND(SUM(Ｎ!O61:O72)/12,0)</f>
        <v>3077</v>
      </c>
      <c r="P253" s="48">
        <f>ROUND(SUM(Ｎ!P61:P72)/12,0)</f>
        <v>102268</v>
      </c>
      <c r="Q253" s="45">
        <f>ROUND(SUM(Ｎ!Q61:Q72)/12,0)</f>
        <v>290754</v>
      </c>
      <c r="R253" s="50">
        <f>Ｎ!D253/Ｎ!P253</f>
        <v>0.37918019321781987</v>
      </c>
      <c r="S253" s="51">
        <f>Ｎ!I253/Ｎ!Q253</f>
        <v>0.26572291352827476</v>
      </c>
      <c r="T253" s="52">
        <f>Ｎ!M253/Ｎ!I253</f>
        <v>0.14237639140564329</v>
      </c>
    </row>
    <row r="254" spans="3:20" x14ac:dyDescent="0.2">
      <c r="C254" s="43">
        <v>12</v>
      </c>
      <c r="D254" s="48">
        <f>ROUND(SUM(Ｎ!D62:D73)/12,0)</f>
        <v>38885</v>
      </c>
      <c r="E254" s="55">
        <f>Ｎ!F254+Ｎ!G254</f>
        <v>33512</v>
      </c>
      <c r="F254" s="55">
        <f>Ｎ!D254-Ｎ!H254-Ｎ!G254</f>
        <v>31909</v>
      </c>
      <c r="G254" s="89">
        <f>ROUND(SUM(Ｎ!G62:G73)/12,0)</f>
        <v>1603</v>
      </c>
      <c r="H254" s="90">
        <f>ROUND(SUM(Ｎ!H62:H73)/12,0)</f>
        <v>5373</v>
      </c>
      <c r="I254" s="58">
        <f>ROUND(SUM(Ｎ!I62:I73)/12,0)</f>
        <v>77402</v>
      </c>
      <c r="J254" s="55">
        <f>ROUND(SUM(Ｎ!J62:J73)/12,0)</f>
        <v>66360</v>
      </c>
      <c r="K254" s="55">
        <f>ROUND(SUM(Ｎ!K62:K73)/12,0)</f>
        <v>48722</v>
      </c>
      <c r="L254" s="89">
        <f>ROUND(SUM(Ｎ!L62:L73)/12,0)</f>
        <v>17638</v>
      </c>
      <c r="M254" s="55">
        <f>ROUND(SUM(Ｎ!M62:M73)/12,0)</f>
        <v>11042</v>
      </c>
      <c r="N254" s="55">
        <f>ROUND(SUM(Ｎ!N62:N73)/12,0)</f>
        <v>7954</v>
      </c>
      <c r="O254" s="90">
        <f>ROUND(SUM(Ｎ!O62:O73)/12,0)</f>
        <v>3089</v>
      </c>
      <c r="P254" s="58">
        <f>ROUND(SUM(Ｎ!P62:P73)/12,0)</f>
        <v>102377</v>
      </c>
      <c r="Q254" s="55">
        <f>ROUND(SUM(Ｎ!Q62:Q73)/12,0)</f>
        <v>290833</v>
      </c>
      <c r="R254" s="60">
        <f>Ｎ!D254/Ｎ!P254</f>
        <v>0.37982163962608789</v>
      </c>
      <c r="S254" s="61">
        <f>Ｎ!I254/Ｎ!Q254</f>
        <v>0.26613898697878163</v>
      </c>
      <c r="T254" s="62">
        <f>Ｎ!M254/Ｎ!I254</f>
        <v>0.14265781245962636</v>
      </c>
    </row>
    <row r="255" spans="3:20" x14ac:dyDescent="0.2">
      <c r="C255" s="53">
        <v>1</v>
      </c>
      <c r="D255" s="48">
        <f>ROUND(SUM(Ｎ!D63:D74)/12,0)</f>
        <v>38998</v>
      </c>
      <c r="E255" s="45">
        <f>Ｎ!F255+Ｎ!G255</f>
        <v>33608</v>
      </c>
      <c r="F255" s="45">
        <f>Ｎ!D255-Ｎ!H255-Ｎ!G255</f>
        <v>31995</v>
      </c>
      <c r="G255" s="79">
        <f>ROUND(SUM(Ｎ!G63:G74)/12,0)</f>
        <v>1613</v>
      </c>
      <c r="H255" s="80">
        <f>ROUND(SUM(Ｎ!H63:H74)/12,0)</f>
        <v>5390</v>
      </c>
      <c r="I255" s="48">
        <f>ROUND(SUM(Ｎ!I63:I74)/12,0)</f>
        <v>77564</v>
      </c>
      <c r="J255" s="45">
        <f>ROUND(SUM(Ｎ!J63:J74)/12,0)</f>
        <v>66479</v>
      </c>
      <c r="K255" s="45">
        <f>ROUND(SUM(Ｎ!K63:K74)/12,0)</f>
        <v>48747</v>
      </c>
      <c r="L255" s="79">
        <f>ROUND(SUM(Ｎ!L63:L74)/12,0)</f>
        <v>17732</v>
      </c>
      <c r="M255" s="45">
        <f>ROUND(SUM(Ｎ!M63:M74)/12,0)</f>
        <v>11085</v>
      </c>
      <c r="N255" s="45">
        <f>ROUND(SUM(Ｎ!N63:N74)/12,0)</f>
        <v>7984</v>
      </c>
      <c r="O255" s="80">
        <f>ROUND(SUM(Ｎ!O63:O74)/12,0)</f>
        <v>3101</v>
      </c>
      <c r="P255" s="48">
        <f>ROUND(SUM(Ｎ!P63:P74)/12,0)</f>
        <v>102486</v>
      </c>
      <c r="Q255" s="45">
        <f>ROUND(SUM(Ｎ!Q63:Q74)/12,0)</f>
        <v>290923</v>
      </c>
      <c r="R255" s="50">
        <f>Ｎ!D255/Ｎ!P255</f>
        <v>0.38052026618269813</v>
      </c>
      <c r="S255" s="51">
        <f>Ｎ!I255/Ｎ!Q255</f>
        <v>0.26661350254190974</v>
      </c>
      <c r="T255" s="52">
        <f>Ｎ!M255/Ｎ!I255</f>
        <v>0.1429142385642824</v>
      </c>
    </row>
    <row r="256" spans="3:20" x14ac:dyDescent="0.2">
      <c r="C256" s="43">
        <v>2</v>
      </c>
      <c r="D256" s="48">
        <f>ROUND(SUM(Ｎ!D64:D75)/12,0)</f>
        <v>39116</v>
      </c>
      <c r="E256" s="45">
        <f>Ｎ!F256+Ｎ!G256</f>
        <v>33708</v>
      </c>
      <c r="F256" s="45">
        <f>Ｎ!D256-Ｎ!H256-Ｎ!G256</f>
        <v>32084</v>
      </c>
      <c r="G256" s="79">
        <f>ROUND(SUM(Ｎ!G64:G75)/12,0)</f>
        <v>1624</v>
      </c>
      <c r="H256" s="80">
        <f>ROUND(SUM(Ｎ!H64:H75)/12,0)</f>
        <v>5408</v>
      </c>
      <c r="I256" s="48">
        <f>ROUND(SUM(Ｎ!I64:I75)/12,0)</f>
        <v>77736</v>
      </c>
      <c r="J256" s="45">
        <f>ROUND(SUM(Ｎ!J64:J75)/12,0)</f>
        <v>66605</v>
      </c>
      <c r="K256" s="45">
        <f>ROUND(SUM(Ｎ!K64:K75)/12,0)</f>
        <v>48777</v>
      </c>
      <c r="L256" s="79">
        <f>ROUND(SUM(Ｎ!L64:L75)/12,0)</f>
        <v>17828</v>
      </c>
      <c r="M256" s="45">
        <f>ROUND(SUM(Ｎ!M64:M75)/12,0)</f>
        <v>11131</v>
      </c>
      <c r="N256" s="45">
        <f>ROUND(SUM(Ｎ!N64:N75)/12,0)</f>
        <v>8016</v>
      </c>
      <c r="O256" s="80">
        <f>ROUND(SUM(Ｎ!O64:O75)/12,0)</f>
        <v>3115</v>
      </c>
      <c r="P256" s="48">
        <f>ROUND(SUM(Ｎ!P64:P75)/12,0)</f>
        <v>102599</v>
      </c>
      <c r="Q256" s="45">
        <f>ROUND(SUM(Ｎ!Q64:Q75)/12,0)</f>
        <v>291021</v>
      </c>
      <c r="R256" s="50">
        <f>Ｎ!D256/Ｎ!P256</f>
        <v>0.38125127925223445</v>
      </c>
      <c r="S256" s="51">
        <f>Ｎ!I256/Ｎ!Q256</f>
        <v>0.26711474429680332</v>
      </c>
      <c r="T256" s="52">
        <f>Ｎ!M256/Ｎ!I256</f>
        <v>0.14318977050529999</v>
      </c>
    </row>
    <row r="257" spans="3:20" x14ac:dyDescent="0.2">
      <c r="C257" s="91">
        <v>3</v>
      </c>
      <c r="D257" s="92">
        <f>ROUND(SUM(Ｎ!D65:D76)/12,0)</f>
        <v>39236</v>
      </c>
      <c r="E257" s="289">
        <f>Ｎ!F257+Ｎ!G257</f>
        <v>33808</v>
      </c>
      <c r="F257" s="289">
        <f>Ｎ!D257-Ｎ!H257-Ｎ!G257</f>
        <v>32172</v>
      </c>
      <c r="G257" s="290">
        <f>ROUND(SUM(Ｎ!G65:G76)/12,0)</f>
        <v>1636</v>
      </c>
      <c r="H257" s="291">
        <f>ROUND(SUM(Ｎ!H65:H76)/12,0)</f>
        <v>5428</v>
      </c>
      <c r="I257" s="292">
        <f>ROUND(SUM(Ｎ!I65:I76)/12,0)</f>
        <v>77915</v>
      </c>
      <c r="J257" s="289">
        <f>ROUND(SUM(Ｎ!J65:J76)/12,0)</f>
        <v>66734</v>
      </c>
      <c r="K257" s="289">
        <f>ROUND(SUM(Ｎ!K65:K76)/12,0)</f>
        <v>48811</v>
      </c>
      <c r="L257" s="290">
        <f>ROUND(SUM(Ｎ!L65:L76)/12,0)</f>
        <v>17923</v>
      </c>
      <c r="M257" s="289">
        <f>ROUND(SUM(Ｎ!M65:M76)/12,0)</f>
        <v>11181</v>
      </c>
      <c r="N257" s="289">
        <f>ROUND(SUM(Ｎ!N65:N76)/12,0)</f>
        <v>8052</v>
      </c>
      <c r="O257" s="291">
        <f>ROUND(SUM(Ｎ!O65:O76)/12,0)</f>
        <v>3129</v>
      </c>
      <c r="P257" s="292">
        <f>ROUND(SUM(Ｎ!P65:P76)/12,0)</f>
        <v>102725</v>
      </c>
      <c r="Q257" s="289">
        <f>ROUND(SUM(Ｎ!Q65:Q76)/12,0)</f>
        <v>291126</v>
      </c>
      <c r="R257" s="293">
        <f>Ｎ!D257/Ｎ!P257</f>
        <v>0.38195181309321002</v>
      </c>
      <c r="S257" s="294">
        <f>Ｎ!I257/Ｎ!Q257</f>
        <v>0.26763325845166697</v>
      </c>
      <c r="T257" s="295">
        <f>Ｎ!M257/Ｎ!I257</f>
        <v>0.14350253481357891</v>
      </c>
    </row>
    <row r="258" spans="3:20" x14ac:dyDescent="0.2">
      <c r="C258" s="296" t="s">
        <v>2791</v>
      </c>
      <c r="D258" s="297">
        <f>ROUND(SUM(Ｎ!D66:D77)/12,0)</f>
        <v>39359</v>
      </c>
      <c r="E258" s="298">
        <f>Ｎ!F258+Ｎ!G258</f>
        <v>33910</v>
      </c>
      <c r="F258" s="298">
        <f>Ｎ!D258-Ｎ!H258-Ｎ!G258</f>
        <v>32261</v>
      </c>
      <c r="G258" s="299">
        <f>ROUND(SUM(Ｎ!G66:G77)/12,0)</f>
        <v>1649</v>
      </c>
      <c r="H258" s="300">
        <f>ROUND(SUM(Ｎ!H66:H77)/12,0)</f>
        <v>5449</v>
      </c>
      <c r="I258" s="297">
        <f>ROUND(SUM(Ｎ!I66:I77)/12,0)</f>
        <v>78111</v>
      </c>
      <c r="J258" s="298">
        <f>ROUND(SUM(Ｎ!J66:J77)/12,0)</f>
        <v>66875</v>
      </c>
      <c r="K258" s="298">
        <f>ROUND(SUM(Ｎ!K66:K77)/12,0)</f>
        <v>48855</v>
      </c>
      <c r="L258" s="299">
        <f>ROUND(SUM(Ｎ!L66:L77)/12,0)</f>
        <v>18020</v>
      </c>
      <c r="M258" s="298">
        <f>ROUND(SUM(Ｎ!M66:M77)/12,0)</f>
        <v>11236</v>
      </c>
      <c r="N258" s="298">
        <f>ROUND(SUM(Ｎ!N66:N77)/12,0)</f>
        <v>8089</v>
      </c>
      <c r="O258" s="300">
        <f>ROUND(SUM(Ｎ!O66:O77)/12,0)</f>
        <v>3147</v>
      </c>
      <c r="P258" s="297">
        <f>ROUND(SUM(Ｎ!P66:P77)/12,0)</f>
        <v>102855</v>
      </c>
      <c r="Q258" s="298">
        <f>ROUND(SUM(Ｎ!Q66:Q77)/12,0)</f>
        <v>291238</v>
      </c>
      <c r="R258" s="301">
        <f>Ｎ!D258/Ｎ!P258</f>
        <v>0.38266491663020757</v>
      </c>
      <c r="S258" s="302">
        <f>Ｎ!I258/Ｎ!Q258</f>
        <v>0.26820332511554124</v>
      </c>
      <c r="T258" s="303">
        <f>Ｎ!M258/Ｎ!I258</f>
        <v>0.14384657730665334</v>
      </c>
    </row>
    <row r="259" spans="3:20" x14ac:dyDescent="0.2">
      <c r="C259" s="53">
        <v>5</v>
      </c>
      <c r="D259" s="48">
        <f>ROUND(SUM(Ｎ!D67:D78)/12,0)</f>
        <v>39487</v>
      </c>
      <c r="E259" s="45">
        <f>Ｎ!F259+Ｎ!G259</f>
        <v>34020</v>
      </c>
      <c r="F259" s="45">
        <f>Ｎ!D259-Ｎ!H259-Ｎ!G259</f>
        <v>32356</v>
      </c>
      <c r="G259" s="79">
        <f>ROUND(SUM(Ｎ!G67:G78)/12,0)</f>
        <v>1664</v>
      </c>
      <c r="H259" s="80">
        <f>ROUND(SUM(Ｎ!H67:H78)/12,0)</f>
        <v>5467</v>
      </c>
      <c r="I259" s="48">
        <f>ROUND(SUM(Ｎ!I67:I78)/12,0)</f>
        <v>78318</v>
      </c>
      <c r="J259" s="45">
        <f>ROUND(SUM(Ｎ!J67:J78)/12,0)</f>
        <v>67030</v>
      </c>
      <c r="K259" s="45">
        <f>ROUND(SUM(Ｎ!K67:K78)/12,0)</f>
        <v>48910</v>
      </c>
      <c r="L259" s="79">
        <f>ROUND(SUM(Ｎ!L67:L78)/12,0)</f>
        <v>18120</v>
      </c>
      <c r="M259" s="45">
        <f>ROUND(SUM(Ｎ!M67:M78)/12,0)</f>
        <v>11289</v>
      </c>
      <c r="N259" s="45">
        <f>ROUND(SUM(Ｎ!N67:N78)/12,0)</f>
        <v>8125</v>
      </c>
      <c r="O259" s="80">
        <f>ROUND(SUM(Ｎ!O67:O78)/12,0)</f>
        <v>3164</v>
      </c>
      <c r="P259" s="48">
        <f>ROUND(SUM(Ｎ!P67:P78)/12,0)</f>
        <v>102989</v>
      </c>
      <c r="Q259" s="45">
        <f>ROUND(SUM(Ｎ!Q67:Q78)/12,0)</f>
        <v>291360</v>
      </c>
      <c r="R259" s="50">
        <f>Ｎ!D259/Ｎ!P259</f>
        <v>0.38340987872491239</v>
      </c>
      <c r="S259" s="51">
        <f>Ｎ!I259/Ｎ!Q259</f>
        <v>0.2688014827018122</v>
      </c>
      <c r="T259" s="52">
        <f>Ｎ!M259/Ｎ!I259</f>
        <v>0.14414310886386272</v>
      </c>
    </row>
    <row r="260" spans="3:20" x14ac:dyDescent="0.2">
      <c r="C260" s="43">
        <v>6</v>
      </c>
      <c r="D260" s="48">
        <f>ROUND(SUM(Ｎ!D68:D79)/12,0)</f>
        <v>39618</v>
      </c>
      <c r="E260" s="45">
        <f>Ｎ!F260+Ｎ!G260</f>
        <v>34136</v>
      </c>
      <c r="F260" s="45">
        <f>Ｎ!D260-Ｎ!H260-Ｎ!G260</f>
        <v>32460</v>
      </c>
      <c r="G260" s="79">
        <f>ROUND(SUM(Ｎ!G68:G79)/12,0)</f>
        <v>1676</v>
      </c>
      <c r="H260" s="80">
        <f>ROUND(SUM(Ｎ!H68:H79)/12,0)</f>
        <v>5482</v>
      </c>
      <c r="I260" s="48">
        <f>ROUND(SUM(Ｎ!I68:I79)/12,0)</f>
        <v>78536</v>
      </c>
      <c r="J260" s="45">
        <f>ROUND(SUM(Ｎ!J68:J79)/12,0)</f>
        <v>67199</v>
      </c>
      <c r="K260" s="45">
        <f>ROUND(SUM(Ｎ!K68:K79)/12,0)</f>
        <v>48976</v>
      </c>
      <c r="L260" s="79">
        <f>ROUND(SUM(Ｎ!L68:L79)/12,0)</f>
        <v>18223</v>
      </c>
      <c r="M260" s="45">
        <f>ROUND(SUM(Ｎ!M68:M79)/12,0)</f>
        <v>11337</v>
      </c>
      <c r="N260" s="45">
        <f>ROUND(SUM(Ｎ!N68:N79)/12,0)</f>
        <v>8155</v>
      </c>
      <c r="O260" s="80">
        <f>ROUND(SUM(Ｎ!O68:O79)/12,0)</f>
        <v>3182</v>
      </c>
      <c r="P260" s="48">
        <f>ROUND(SUM(Ｎ!P68:P79)/12,0)</f>
        <v>103121</v>
      </c>
      <c r="Q260" s="45">
        <f>ROUND(SUM(Ｎ!Q68:Q79)/12,0)</f>
        <v>291487</v>
      </c>
      <c r="R260" s="50">
        <f>Ｎ!D260/Ｎ!P260</f>
        <v>0.38418944734826077</v>
      </c>
      <c r="S260" s="51">
        <f>Ｎ!I260/Ｎ!Q260</f>
        <v>0.26943225598397186</v>
      </c>
      <c r="T260" s="52">
        <f>Ｎ!M260/Ｎ!I260</f>
        <v>0.14435418152184984</v>
      </c>
    </row>
    <row r="261" spans="3:20" x14ac:dyDescent="0.2">
      <c r="C261" s="43">
        <v>7</v>
      </c>
      <c r="D261" s="48">
        <f>ROUND(SUM(Ｎ!D69:D80)/12,0)</f>
        <v>39757</v>
      </c>
      <c r="E261" s="55">
        <f>Ｎ!F261+Ｎ!G261</f>
        <v>34257</v>
      </c>
      <c r="F261" s="55">
        <f>Ｎ!D261-Ｎ!H261-Ｎ!G261</f>
        <v>32567</v>
      </c>
      <c r="G261" s="89">
        <f>ROUND(SUM(Ｎ!G69:G80)/12,0)</f>
        <v>1690</v>
      </c>
      <c r="H261" s="90">
        <f>ROUND(SUM(Ｎ!H69:H80)/12,0)</f>
        <v>5500</v>
      </c>
      <c r="I261" s="58">
        <f>ROUND(SUM(Ｎ!I69:I80)/12,0)</f>
        <v>78770</v>
      </c>
      <c r="J261" s="55">
        <f>ROUND(SUM(Ｎ!J69:J80)/12,0)</f>
        <v>67382</v>
      </c>
      <c r="K261" s="55">
        <f>ROUND(SUM(Ｎ!K69:K80)/12,0)</f>
        <v>49055</v>
      </c>
      <c r="L261" s="89">
        <f>ROUND(SUM(Ｎ!L69:L80)/12,0)</f>
        <v>18328</v>
      </c>
      <c r="M261" s="55">
        <f>ROUND(SUM(Ｎ!M69:M80)/12,0)</f>
        <v>11388</v>
      </c>
      <c r="N261" s="55">
        <f>ROUND(SUM(Ｎ!N69:N80)/12,0)</f>
        <v>8191</v>
      </c>
      <c r="O261" s="90">
        <f>ROUND(SUM(Ｎ!O69:O80)/12,0)</f>
        <v>3197</v>
      </c>
      <c r="P261" s="58">
        <f>ROUND(SUM(Ｎ!P69:P80)/12,0)</f>
        <v>103255</v>
      </c>
      <c r="Q261" s="55">
        <f>ROUND(SUM(Ｎ!Q69:Q80)/12,0)</f>
        <v>291608</v>
      </c>
      <c r="R261" s="60">
        <f>Ｎ!D261/Ｎ!P261</f>
        <v>0.3850370442109341</v>
      </c>
      <c r="S261" s="61">
        <f>Ｎ!I261/Ｎ!Q261</f>
        <v>0.27012290472140682</v>
      </c>
      <c r="T261" s="62">
        <f>Ｎ!M261/Ｎ!I261</f>
        <v>0.14457280690618254</v>
      </c>
    </row>
    <row r="262" spans="3:20" x14ac:dyDescent="0.2">
      <c r="C262" s="53">
        <v>8</v>
      </c>
      <c r="D262" s="48">
        <f>ROUND(SUM(Ｎ!D70:D81)/12,0)</f>
        <v>39896</v>
      </c>
      <c r="E262" s="55">
        <f>Ｎ!F262+Ｎ!G262</f>
        <v>34378</v>
      </c>
      <c r="F262" s="55">
        <f>Ｎ!D262-Ｎ!H262-Ｎ!G262</f>
        <v>32674</v>
      </c>
      <c r="G262" s="89">
        <f>ROUND(SUM(Ｎ!G70:G81)/12,0)</f>
        <v>1704</v>
      </c>
      <c r="H262" s="90">
        <f>ROUND(SUM(Ｎ!H70:H81)/12,0)</f>
        <v>5518</v>
      </c>
      <c r="I262" s="58">
        <f>ROUND(SUM(Ｎ!I70:I81)/12,0)</f>
        <v>79017</v>
      </c>
      <c r="J262" s="55">
        <f>ROUND(SUM(Ｎ!J70:J81)/12,0)</f>
        <v>67575</v>
      </c>
      <c r="K262" s="55">
        <f>ROUND(SUM(Ｎ!K70:K81)/12,0)</f>
        <v>49146</v>
      </c>
      <c r="L262" s="89">
        <f>ROUND(SUM(Ｎ!L70:L81)/12,0)</f>
        <v>18429</v>
      </c>
      <c r="M262" s="55">
        <f>ROUND(SUM(Ｎ!M70:M81)/12,0)</f>
        <v>11442</v>
      </c>
      <c r="N262" s="55">
        <f>ROUND(SUM(Ｎ!N70:N81)/12,0)</f>
        <v>8229</v>
      </c>
      <c r="O262" s="90">
        <f>ROUND(SUM(Ｎ!O70:O81)/12,0)</f>
        <v>3214</v>
      </c>
      <c r="P262" s="58">
        <f>ROUND(SUM(Ｎ!P70:P81)/12,0)</f>
        <v>103391</v>
      </c>
      <c r="Q262" s="55">
        <f>ROUND(SUM(Ｎ!Q70:Q81)/12,0)</f>
        <v>291728</v>
      </c>
      <c r="R262" s="60">
        <f>Ｎ!D262/Ｎ!P262</f>
        <v>0.38587497944695381</v>
      </c>
      <c r="S262" s="61">
        <f>Ｎ!I262/Ｎ!Q262</f>
        <v>0.27085847090440412</v>
      </c>
      <c r="T262" s="62">
        <f>Ｎ!M262/Ｎ!I262</f>
        <v>0.14480428262272677</v>
      </c>
    </row>
    <row r="263" spans="3:20" x14ac:dyDescent="0.2">
      <c r="C263" s="53">
        <v>9</v>
      </c>
      <c r="D263" s="58">
        <f>ROUND(SUM(Ｎ!D71:D82)/12,0)</f>
        <v>40038</v>
      </c>
      <c r="E263" s="55">
        <f>Ｎ!F263+Ｎ!G263</f>
        <v>34503</v>
      </c>
      <c r="F263" s="55">
        <f>Ｎ!D263-Ｎ!H263-Ｎ!G263</f>
        <v>32784</v>
      </c>
      <c r="G263" s="89">
        <f>ROUND(SUM(Ｎ!G71:G82)/12,0)</f>
        <v>1719</v>
      </c>
      <c r="H263" s="90">
        <f>ROUND(SUM(Ｎ!H71:H82)/12,0)</f>
        <v>5535</v>
      </c>
      <c r="I263" s="58">
        <f>ROUND(SUM(Ｎ!I71:I82)/12,0)</f>
        <v>79272</v>
      </c>
      <c r="J263" s="55">
        <f>ROUND(SUM(Ｎ!J71:J82)/12,0)</f>
        <v>67778</v>
      </c>
      <c r="K263" s="55">
        <f>ROUND(SUM(Ｎ!K71:K82)/12,0)</f>
        <v>49247</v>
      </c>
      <c r="L263" s="89">
        <f>ROUND(SUM(Ｎ!L71:L82)/12,0)</f>
        <v>18530</v>
      </c>
      <c r="M263" s="55">
        <f>ROUND(SUM(Ｎ!M71:M82)/12,0)</f>
        <v>11494</v>
      </c>
      <c r="N263" s="55">
        <f>ROUND(SUM(Ｎ!N71:N82)/12,0)</f>
        <v>8266</v>
      </c>
      <c r="O263" s="90">
        <f>ROUND(SUM(Ｎ!O71:O82)/12,0)</f>
        <v>3229</v>
      </c>
      <c r="P263" s="58">
        <f>ROUND(SUM(Ｎ!P71:P82)/12,0)</f>
        <v>103524</v>
      </c>
      <c r="Q263" s="55">
        <f>ROUND(SUM(Ｎ!Q71:Q82)/12,0)</f>
        <v>291839</v>
      </c>
      <c r="R263" s="60">
        <f>Ｎ!D263/Ｎ!P263</f>
        <v>0.38675089834241333</v>
      </c>
      <c r="S263" s="61">
        <f>Ｎ!I263/Ｎ!Q263</f>
        <v>0.27162922022073815</v>
      </c>
      <c r="T263" s="62">
        <f>Ｎ!M263/Ｎ!I263</f>
        <v>0.1449944494903623</v>
      </c>
    </row>
    <row r="264" spans="3:20" x14ac:dyDescent="0.2">
      <c r="C264" s="53">
        <v>10</v>
      </c>
      <c r="D264" s="48">
        <f>ROUND(SUM(Ｎ!D72:D83)/12,0)</f>
        <v>40183</v>
      </c>
      <c r="E264" s="45">
        <f>Ｎ!F264+Ｎ!G264</f>
        <v>34630</v>
      </c>
      <c r="F264" s="45">
        <f>Ｎ!D264-Ｎ!H264-Ｎ!G264</f>
        <v>32897</v>
      </c>
      <c r="G264" s="79">
        <f>ROUND(SUM(Ｎ!G72:G83)/12,0)</f>
        <v>1733</v>
      </c>
      <c r="H264" s="80">
        <f>ROUND(SUM(Ｎ!H72:H83)/12,0)</f>
        <v>5553</v>
      </c>
      <c r="I264" s="48">
        <f>ROUND(SUM(Ｎ!I72:I83)/12,0)</f>
        <v>79528</v>
      </c>
      <c r="J264" s="45">
        <f>ROUND(SUM(Ｎ!J72:J83)/12,0)</f>
        <v>67982</v>
      </c>
      <c r="K264" s="45">
        <f>ROUND(SUM(Ｎ!K72:K83)/12,0)</f>
        <v>49348</v>
      </c>
      <c r="L264" s="79">
        <f>ROUND(SUM(Ｎ!L72:L83)/12,0)</f>
        <v>18634</v>
      </c>
      <c r="M264" s="45">
        <f>ROUND(SUM(Ｎ!M72:M83)/12,0)</f>
        <v>11546</v>
      </c>
      <c r="N264" s="45">
        <f>ROUND(SUM(Ｎ!N72:N83)/12,0)</f>
        <v>8303</v>
      </c>
      <c r="O264" s="80">
        <f>ROUND(SUM(Ｎ!O72:O83)/12,0)</f>
        <v>3243</v>
      </c>
      <c r="P264" s="48">
        <f>ROUND(SUM(Ｎ!P72:P83)/12,0)</f>
        <v>103654</v>
      </c>
      <c r="Q264" s="45">
        <f>ROUND(SUM(Ｎ!Q72:Q83)/12,0)</f>
        <v>291945</v>
      </c>
      <c r="R264" s="50">
        <f>Ｎ!D264/Ｎ!P264</f>
        <v>0.38766473073880409</v>
      </c>
      <c r="S264" s="51">
        <f>Ｎ!I264/Ｎ!Q264</f>
        <v>0.27240747401051568</v>
      </c>
      <c r="T264" s="52">
        <f>Ｎ!M264/Ｎ!I264</f>
        <v>0.14518157127049591</v>
      </c>
    </row>
    <row r="265" spans="3:20" x14ac:dyDescent="0.2">
      <c r="C265" s="43">
        <v>11</v>
      </c>
      <c r="D265" s="48">
        <f>ROUND(SUM(Ｎ!D73:D84)/12,0)</f>
        <v>40327</v>
      </c>
      <c r="E265" s="45">
        <f>Ｎ!F265+Ｎ!G265</f>
        <v>34758</v>
      </c>
      <c r="F265" s="45">
        <f>Ｎ!D265-Ｎ!H265-Ｎ!G265</f>
        <v>33011</v>
      </c>
      <c r="G265" s="79">
        <f>ROUND(SUM(Ｎ!G73:G84)/12,0)</f>
        <v>1747</v>
      </c>
      <c r="H265" s="80">
        <f>ROUND(SUM(Ｎ!H73:H84)/12,0)</f>
        <v>5569</v>
      </c>
      <c r="I265" s="48">
        <f>ROUND(SUM(Ｎ!I73:I84)/12,0)</f>
        <v>79776</v>
      </c>
      <c r="J265" s="45">
        <f>ROUND(SUM(Ｎ!J73:J84)/12,0)</f>
        <v>68182</v>
      </c>
      <c r="K265" s="45">
        <f>ROUND(SUM(Ｎ!K73:K84)/12,0)</f>
        <v>49444</v>
      </c>
      <c r="L265" s="79">
        <f>ROUND(SUM(Ｎ!L73:L84)/12,0)</f>
        <v>18737</v>
      </c>
      <c r="M265" s="45">
        <f>ROUND(SUM(Ｎ!M73:M84)/12,0)</f>
        <v>11594</v>
      </c>
      <c r="N265" s="45">
        <f>ROUND(SUM(Ｎ!N73:N84)/12,0)</f>
        <v>8336</v>
      </c>
      <c r="O265" s="80">
        <f>ROUND(SUM(Ｎ!O73:O84)/12,0)</f>
        <v>3258</v>
      </c>
      <c r="P265" s="48">
        <f>ROUND(SUM(Ｎ!P73:P84)/12,0)</f>
        <v>103778</v>
      </c>
      <c r="Q265" s="45">
        <f>ROUND(SUM(Ｎ!Q73:Q84)/12,0)</f>
        <v>292035</v>
      </c>
      <c r="R265" s="50">
        <f>Ｎ!D265/Ｎ!P265</f>
        <v>0.38858910366358956</v>
      </c>
      <c r="S265" s="51">
        <f>Ｎ!I265/Ｎ!Q265</f>
        <v>0.27317273614464022</v>
      </c>
      <c r="T265" s="52">
        <f>Ｎ!M265/Ｎ!I265</f>
        <v>0.1453319294023265</v>
      </c>
    </row>
    <row r="266" spans="3:20" x14ac:dyDescent="0.2">
      <c r="C266" s="43">
        <v>12</v>
      </c>
      <c r="D266" s="48">
        <f>ROUND(SUM(Ｎ!D74:D85)/12,0)</f>
        <v>40472</v>
      </c>
      <c r="E266" s="55">
        <f>Ｎ!F266+Ｎ!G266</f>
        <v>34887</v>
      </c>
      <c r="F266" s="55">
        <f>Ｎ!D266-Ｎ!H266-Ｎ!G266</f>
        <v>33126</v>
      </c>
      <c r="G266" s="89">
        <f>ROUND(SUM(Ｎ!G74:G85)/12,0)</f>
        <v>1761</v>
      </c>
      <c r="H266" s="90">
        <f>ROUND(SUM(Ｎ!H74:H85)/12,0)</f>
        <v>5585</v>
      </c>
      <c r="I266" s="58">
        <f>ROUND(SUM(Ｎ!I74:I85)/12,0)</f>
        <v>80030</v>
      </c>
      <c r="J266" s="55">
        <f>ROUND(SUM(Ｎ!J74:J85)/12,0)</f>
        <v>68387</v>
      </c>
      <c r="K266" s="55">
        <f>ROUND(SUM(Ｎ!K74:K85)/12,0)</f>
        <v>49541</v>
      </c>
      <c r="L266" s="89">
        <f>ROUND(SUM(Ｎ!L74:L85)/12,0)</f>
        <v>18845</v>
      </c>
      <c r="M266" s="55">
        <f>ROUND(SUM(Ｎ!M74:M85)/12,0)</f>
        <v>11644</v>
      </c>
      <c r="N266" s="55">
        <f>ROUND(SUM(Ｎ!N74:N85)/12,0)</f>
        <v>8371</v>
      </c>
      <c r="O266" s="90">
        <f>ROUND(SUM(Ｎ!O74:O85)/12,0)</f>
        <v>3273</v>
      </c>
      <c r="P266" s="58">
        <f>ROUND(SUM(Ｎ!P74:P85)/12,0)</f>
        <v>103900</v>
      </c>
      <c r="Q266" s="55">
        <f>ROUND(SUM(Ｎ!Q74:Q85)/12,0)</f>
        <v>292116</v>
      </c>
      <c r="R266" s="60">
        <f>Ｎ!D266/Ｎ!P266</f>
        <v>0.38952839268527428</v>
      </c>
      <c r="S266" s="61">
        <f>Ｎ!I266/Ｎ!Q266</f>
        <v>0.27396650645633924</v>
      </c>
      <c r="T266" s="62">
        <f>Ｎ!M266/Ｎ!I266</f>
        <v>0.14549543921029615</v>
      </c>
    </row>
    <row r="267" spans="3:20" x14ac:dyDescent="0.2">
      <c r="C267" s="53">
        <v>1</v>
      </c>
      <c r="D267" s="48">
        <f>ROUND(SUM(Ｎ!D75:D86)/12,0)</f>
        <v>40620</v>
      </c>
      <c r="E267" s="45">
        <f>Ｎ!F267+Ｎ!G267</f>
        <v>35022</v>
      </c>
      <c r="F267" s="45">
        <f>Ｎ!D267-Ｎ!H267-Ｎ!G267</f>
        <v>33245</v>
      </c>
      <c r="G267" s="79">
        <f>ROUND(SUM(Ｎ!G75:G86)/12,0)</f>
        <v>1777</v>
      </c>
      <c r="H267" s="80">
        <f>ROUND(SUM(Ｎ!H75:H86)/12,0)</f>
        <v>5598</v>
      </c>
      <c r="I267" s="48">
        <f>ROUND(SUM(Ｎ!I75:I86)/12,0)</f>
        <v>80277</v>
      </c>
      <c r="J267" s="45">
        <f>ROUND(SUM(Ｎ!J75:J86)/12,0)</f>
        <v>68585</v>
      </c>
      <c r="K267" s="45">
        <f>ROUND(SUM(Ｎ!K75:K86)/12,0)</f>
        <v>49632</v>
      </c>
      <c r="L267" s="79">
        <f>ROUND(SUM(Ｎ!L75:L86)/12,0)</f>
        <v>18953</v>
      </c>
      <c r="M267" s="45">
        <f>ROUND(SUM(Ｎ!M75:M86)/12,0)</f>
        <v>11692</v>
      </c>
      <c r="N267" s="45">
        <f>ROUND(SUM(Ｎ!N75:N86)/12,0)</f>
        <v>8404</v>
      </c>
      <c r="O267" s="80">
        <f>ROUND(SUM(Ｎ!O75:O86)/12,0)</f>
        <v>3288</v>
      </c>
      <c r="P267" s="48">
        <f>ROUND(SUM(Ｎ!P75:P86)/12,0)</f>
        <v>104026</v>
      </c>
      <c r="Q267" s="45">
        <f>ROUND(SUM(Ｎ!Q75:Q86)/12,0)</f>
        <v>292190</v>
      </c>
      <c r="R267" s="50">
        <f>Ｎ!D267/Ｎ!P267</f>
        <v>0.3904793032511103</v>
      </c>
      <c r="S267" s="51">
        <f>Ｎ!I267/Ｎ!Q267</f>
        <v>0.27474246209658099</v>
      </c>
      <c r="T267" s="52">
        <f>Ｎ!M267/Ｎ!I267</f>
        <v>0.14564570175766409</v>
      </c>
    </row>
    <row r="268" spans="3:20" x14ac:dyDescent="0.2">
      <c r="C268" s="43">
        <v>2</v>
      </c>
      <c r="D268" s="48">
        <f>ROUND(SUM(Ｎ!D76:D87)/12,0)</f>
        <v>40774</v>
      </c>
      <c r="E268" s="45">
        <f>Ｎ!F268+Ｎ!G268</f>
        <v>35162</v>
      </c>
      <c r="F268" s="45">
        <f>Ｎ!D268-Ｎ!H268-Ｎ!G268</f>
        <v>33371</v>
      </c>
      <c r="G268" s="79">
        <f>ROUND(SUM(Ｎ!G76:G87)/12,0)</f>
        <v>1791</v>
      </c>
      <c r="H268" s="80">
        <f>ROUND(SUM(Ｎ!H76:H87)/12,0)</f>
        <v>5612</v>
      </c>
      <c r="I268" s="48">
        <f>ROUND(SUM(Ｎ!I76:I87)/12,0)</f>
        <v>80531</v>
      </c>
      <c r="J268" s="45">
        <f>ROUND(SUM(Ｎ!J76:J87)/12,0)</f>
        <v>68792</v>
      </c>
      <c r="K268" s="45">
        <f>ROUND(SUM(Ｎ!K76:K87)/12,0)</f>
        <v>49730</v>
      </c>
      <c r="L268" s="79">
        <f>ROUND(SUM(Ｎ!L76:L87)/12,0)</f>
        <v>19062</v>
      </c>
      <c r="M268" s="45">
        <f>ROUND(SUM(Ｎ!M76:M87)/12,0)</f>
        <v>11739</v>
      </c>
      <c r="N268" s="45">
        <f>ROUND(SUM(Ｎ!N76:N87)/12,0)</f>
        <v>8437</v>
      </c>
      <c r="O268" s="80">
        <f>ROUND(SUM(Ｎ!O76:O87)/12,0)</f>
        <v>3303</v>
      </c>
      <c r="P268" s="48">
        <f>ROUND(SUM(Ｎ!P76:P87)/12,0)</f>
        <v>104148</v>
      </c>
      <c r="Q268" s="45">
        <f>ROUND(SUM(Ｎ!Q76:Q87)/12,0)</f>
        <v>292250</v>
      </c>
      <c r="R268" s="50">
        <f>Ｎ!D268/Ｎ!P268</f>
        <v>0.39150055689979646</v>
      </c>
      <c r="S268" s="51">
        <f>Ｎ!I268/Ｎ!Q268</f>
        <v>0.27555517536355861</v>
      </c>
      <c r="T268" s="52">
        <f>Ｎ!M268/Ｎ!I268</f>
        <v>0.14576995194397188</v>
      </c>
    </row>
    <row r="269" spans="3:20" x14ac:dyDescent="0.2">
      <c r="C269" s="91">
        <v>3</v>
      </c>
      <c r="D269" s="92">
        <f>ROUND(SUM(Ｎ!D77:D88)/12,0)</f>
        <v>40928</v>
      </c>
      <c r="E269" s="289">
        <f>Ｎ!F269+Ｎ!G269</f>
        <v>35301</v>
      </c>
      <c r="F269" s="289">
        <f>Ｎ!D269-Ｎ!H269-Ｎ!G269</f>
        <v>33496</v>
      </c>
      <c r="G269" s="290">
        <f>ROUND(SUM(Ｎ!G77:G88)/12,0)</f>
        <v>1805</v>
      </c>
      <c r="H269" s="291">
        <f>ROUND(SUM(Ｎ!H77:H88)/12,0)</f>
        <v>5627</v>
      </c>
      <c r="I269" s="292">
        <f>ROUND(SUM(Ｎ!I77:I88)/12,0)</f>
        <v>80786</v>
      </c>
      <c r="J269" s="289">
        <f>ROUND(SUM(Ｎ!J77:J88)/12,0)</f>
        <v>69000</v>
      </c>
      <c r="K269" s="289">
        <f>ROUND(SUM(Ｎ!K77:K88)/12,0)</f>
        <v>49825</v>
      </c>
      <c r="L269" s="290">
        <f>ROUND(SUM(Ｎ!L77:L88)/12,0)</f>
        <v>19176</v>
      </c>
      <c r="M269" s="289">
        <f>ROUND(SUM(Ｎ!M77:M88)/12,0)</f>
        <v>11786</v>
      </c>
      <c r="N269" s="289">
        <f>ROUND(SUM(Ｎ!N77:N88)/12,0)</f>
        <v>8469</v>
      </c>
      <c r="O269" s="291">
        <f>ROUND(SUM(Ｎ!O77:O88)/12,0)</f>
        <v>3317</v>
      </c>
      <c r="P269" s="292">
        <f>ROUND(SUM(Ｎ!P77:P88)/12,0)</f>
        <v>104264</v>
      </c>
      <c r="Q269" s="289">
        <f>ROUND(SUM(Ｎ!Q77:Q88)/12,0)</f>
        <v>292299</v>
      </c>
      <c r="R269" s="293">
        <f>Ｎ!D269/Ｎ!P269</f>
        <v>0.39254200874702677</v>
      </c>
      <c r="S269" s="294">
        <f>Ｎ!I269/Ｎ!Q269</f>
        <v>0.27638137660409373</v>
      </c>
      <c r="T269" s="295">
        <f>Ｎ!M269/Ｎ!I269</f>
        <v>0.14589161488376698</v>
      </c>
    </row>
    <row r="270" spans="3:20" x14ac:dyDescent="0.2">
      <c r="C270" s="296" t="s">
        <v>2792</v>
      </c>
      <c r="D270" s="297">
        <f>ROUND(SUM(Ｎ!D78:D89)/12,0)</f>
        <v>41091</v>
      </c>
      <c r="E270" s="298">
        <f>Ｎ!F270+Ｎ!G270</f>
        <v>35445</v>
      </c>
      <c r="F270" s="298">
        <f>Ｎ!D270-Ｎ!H270-Ｎ!G270</f>
        <v>33626</v>
      </c>
      <c r="G270" s="299">
        <f>ROUND(SUM(Ｎ!G78:G89)/12,0)</f>
        <v>1819</v>
      </c>
      <c r="H270" s="300">
        <f>ROUND(SUM(Ｎ!H78:H89)/12,0)</f>
        <v>5646</v>
      </c>
      <c r="I270" s="297">
        <f>ROUND(SUM(Ｎ!I78:I89)/12,0)</f>
        <v>81059</v>
      </c>
      <c r="J270" s="298">
        <f>ROUND(SUM(Ｎ!J78:J89)/12,0)</f>
        <v>69219</v>
      </c>
      <c r="K270" s="298">
        <f>ROUND(SUM(Ｎ!K78:K89)/12,0)</f>
        <v>49928</v>
      </c>
      <c r="L270" s="299">
        <f>ROUND(SUM(Ｎ!L78:L89)/12,0)</f>
        <v>19291</v>
      </c>
      <c r="M270" s="298">
        <f>ROUND(SUM(Ｎ!M78:M89)/12,0)</f>
        <v>11840</v>
      </c>
      <c r="N270" s="298">
        <f>ROUND(SUM(Ｎ!N78:N89)/12,0)</f>
        <v>8505</v>
      </c>
      <c r="O270" s="300">
        <f>ROUND(SUM(Ｎ!O78:O89)/12,0)</f>
        <v>3335</v>
      </c>
      <c r="P270" s="297">
        <f>ROUND(SUM(Ｎ!P78:P89)/12,0)</f>
        <v>104376</v>
      </c>
      <c r="Q270" s="298">
        <f>ROUND(SUM(Ｎ!Q78:Q89)/12,0)</f>
        <v>292347</v>
      </c>
      <c r="R270" s="301">
        <f>Ｎ!D270/Ｎ!P270</f>
        <v>0.39368245573695104</v>
      </c>
      <c r="S270" s="302">
        <f>Ｎ!I270/Ｎ!Q270</f>
        <v>0.27726981976897319</v>
      </c>
      <c r="T270" s="303">
        <f>Ｎ!M270/Ｎ!I270</f>
        <v>0.14606644542863839</v>
      </c>
    </row>
    <row r="271" spans="3:20" x14ac:dyDescent="0.2">
      <c r="C271" s="53">
        <v>5</v>
      </c>
      <c r="D271" s="48">
        <f>ROUND(SUM(Ｎ!D79:D90)/12,0)</f>
        <v>41253</v>
      </c>
      <c r="E271" s="45">
        <f>Ｎ!F271+Ｎ!G271</f>
        <v>35587</v>
      </c>
      <c r="F271" s="45">
        <f>Ｎ!D271-Ｎ!H271-Ｎ!G271</f>
        <v>33755</v>
      </c>
      <c r="G271" s="79">
        <f>ROUND(SUM(Ｎ!G79:G90)/12,0)</f>
        <v>1832</v>
      </c>
      <c r="H271" s="80">
        <f>ROUND(SUM(Ｎ!H79:H90)/12,0)</f>
        <v>5666</v>
      </c>
      <c r="I271" s="48">
        <f>ROUND(SUM(Ｎ!I79:I90)/12,0)</f>
        <v>81325</v>
      </c>
      <c r="J271" s="45">
        <f>ROUND(SUM(Ｎ!J79:J90)/12,0)</f>
        <v>69426</v>
      </c>
      <c r="K271" s="45">
        <f>ROUND(SUM(Ｎ!K79:K90)/12,0)</f>
        <v>50021</v>
      </c>
      <c r="L271" s="79">
        <f>ROUND(SUM(Ｎ!L79:L90)/12,0)</f>
        <v>19405</v>
      </c>
      <c r="M271" s="45">
        <f>ROUND(SUM(Ｎ!M79:M90)/12,0)</f>
        <v>11899</v>
      </c>
      <c r="N271" s="45">
        <f>ROUND(SUM(Ｎ!N79:N90)/12,0)</f>
        <v>8544</v>
      </c>
      <c r="O271" s="80">
        <f>ROUND(SUM(Ｎ!O79:O90)/12,0)</f>
        <v>3355</v>
      </c>
      <c r="P271" s="48">
        <f>ROUND(SUM(Ｎ!P79:P90)/12,0)</f>
        <v>104483</v>
      </c>
      <c r="Q271" s="45">
        <f>ROUND(SUM(Ｎ!Q79:Q90)/12,0)</f>
        <v>292379</v>
      </c>
      <c r="R271" s="50">
        <f>Ｎ!D271/Ｎ!P271</f>
        <v>0.39482978092129822</v>
      </c>
      <c r="S271" s="51">
        <f>Ｎ!I271/Ｎ!Q271</f>
        <v>0.27814925148522979</v>
      </c>
      <c r="T271" s="52">
        <f>Ｎ!M271/Ｎ!I271</f>
        <v>0.14631417153396864</v>
      </c>
    </row>
    <row r="272" spans="3:20" x14ac:dyDescent="0.2">
      <c r="C272" s="43">
        <v>6</v>
      </c>
      <c r="D272" s="48">
        <f>ROUND(SUM(Ｎ!D80:D91)/12,0)</f>
        <v>41413</v>
      </c>
      <c r="E272" s="45">
        <f>Ｎ!F272+Ｎ!G272</f>
        <v>35729</v>
      </c>
      <c r="F272" s="45">
        <f>Ｎ!D272-Ｎ!H272-Ｎ!G272</f>
        <v>33882</v>
      </c>
      <c r="G272" s="79">
        <f>ROUND(SUM(Ｎ!G80:G91)/12,0)</f>
        <v>1847</v>
      </c>
      <c r="H272" s="80">
        <f>ROUND(SUM(Ｎ!H80:H91)/12,0)</f>
        <v>5684</v>
      </c>
      <c r="I272" s="48">
        <f>ROUND(SUM(Ｎ!I80:I91)/12,0)</f>
        <v>81584</v>
      </c>
      <c r="J272" s="45">
        <f>ROUND(SUM(Ｎ!J80:J91)/12,0)</f>
        <v>69628</v>
      </c>
      <c r="K272" s="45">
        <f>ROUND(SUM(Ｎ!K80:K91)/12,0)</f>
        <v>50113</v>
      </c>
      <c r="L272" s="79">
        <f>ROUND(SUM(Ｎ!L80:L91)/12,0)</f>
        <v>19515</v>
      </c>
      <c r="M272" s="45">
        <f>ROUND(SUM(Ｎ!M80:M91)/12,0)</f>
        <v>11956</v>
      </c>
      <c r="N272" s="45">
        <f>ROUND(SUM(Ｎ!N80:N91)/12,0)</f>
        <v>8583</v>
      </c>
      <c r="O272" s="80">
        <f>ROUND(SUM(Ｎ!O80:O91)/12,0)</f>
        <v>3373</v>
      </c>
      <c r="P272" s="48">
        <f>ROUND(SUM(Ｎ!P80:P91)/12,0)</f>
        <v>104595</v>
      </c>
      <c r="Q272" s="45">
        <f>ROUND(SUM(Ｎ!Q80:Q91)/12,0)</f>
        <v>292417</v>
      </c>
      <c r="R272" s="50">
        <f>Ｎ!D272/Ｎ!P272</f>
        <v>0.39593670825565275</v>
      </c>
      <c r="S272" s="51">
        <f>Ｎ!I272/Ｎ!Q272</f>
        <v>0.27899882701758105</v>
      </c>
      <c r="T272" s="52">
        <f>Ｎ!M272/Ｎ!I272</f>
        <v>0.14654834281231613</v>
      </c>
    </row>
    <row r="273" spans="2:20" x14ac:dyDescent="0.2">
      <c r="C273" s="43">
        <v>7</v>
      </c>
      <c r="D273" s="48">
        <f>ROUND(SUM(Ｎ!D81:D92)/12,0)</f>
        <v>41569</v>
      </c>
      <c r="E273" s="55">
        <f>Ｎ!F273+Ｎ!G273</f>
        <v>35871</v>
      </c>
      <c r="F273" s="55">
        <f>Ｎ!D273-Ｎ!H273-Ｎ!G273</f>
        <v>34010</v>
      </c>
      <c r="G273" s="89">
        <f>ROUND(SUM(Ｎ!G81:G92)/12,0)</f>
        <v>1861</v>
      </c>
      <c r="H273" s="90">
        <f>ROUND(SUM(Ｎ!H81:H92)/12,0)</f>
        <v>5698</v>
      </c>
      <c r="I273" s="58">
        <f>ROUND(SUM(Ｎ!I81:I92)/12,0)</f>
        <v>81832</v>
      </c>
      <c r="J273" s="55">
        <f>ROUND(SUM(Ｎ!J81:J92)/12,0)</f>
        <v>69825</v>
      </c>
      <c r="K273" s="55">
        <f>ROUND(SUM(Ｎ!K81:K92)/12,0)</f>
        <v>50197</v>
      </c>
      <c r="L273" s="89">
        <f>ROUND(SUM(Ｎ!L81:L92)/12,0)</f>
        <v>19627</v>
      </c>
      <c r="M273" s="55">
        <f>ROUND(SUM(Ｎ!M81:M92)/12,0)</f>
        <v>12007</v>
      </c>
      <c r="N273" s="55">
        <f>ROUND(SUM(Ｎ!N81:N92)/12,0)</f>
        <v>8614</v>
      </c>
      <c r="O273" s="90">
        <f>ROUND(SUM(Ｎ!O81:O92)/12,0)</f>
        <v>3393</v>
      </c>
      <c r="P273" s="58">
        <f>ROUND(SUM(Ｎ!P81:P92)/12,0)</f>
        <v>104709</v>
      </c>
      <c r="Q273" s="55">
        <f>ROUND(SUM(Ｎ!Q81:Q92)/12,0)</f>
        <v>292462</v>
      </c>
      <c r="R273" s="60">
        <f>Ｎ!D273/Ｎ!P273</f>
        <v>0.396995482718773</v>
      </c>
      <c r="S273" s="61">
        <f>Ｎ!I273/Ｎ!Q273</f>
        <v>0.2798038719560148</v>
      </c>
      <c r="T273" s="62">
        <f>Ｎ!M273/Ｎ!I273</f>
        <v>0.14672744158764298</v>
      </c>
    </row>
    <row r="274" spans="2:20" x14ac:dyDescent="0.2">
      <c r="C274" s="53">
        <v>8</v>
      </c>
      <c r="D274" s="48">
        <f>ROUND(SUM(Ｎ!D82:D93)/12,0)</f>
        <v>41725</v>
      </c>
      <c r="E274" s="55">
        <f>Ｎ!F274+Ｎ!G274</f>
        <v>36009</v>
      </c>
      <c r="F274" s="55">
        <f>Ｎ!D274-Ｎ!H274-Ｎ!G274</f>
        <v>34134</v>
      </c>
      <c r="G274" s="89">
        <f>ROUND(SUM(Ｎ!G82:G93)/12,0)</f>
        <v>1875</v>
      </c>
      <c r="H274" s="90">
        <f>ROUND(SUM(Ｎ!H82:H93)/12,0)</f>
        <v>5716</v>
      </c>
      <c r="I274" s="58">
        <f>ROUND(SUM(Ｎ!I82:I93)/12,0)</f>
        <v>82069</v>
      </c>
      <c r="J274" s="55">
        <f>ROUND(SUM(Ｎ!J82:J93)/12,0)</f>
        <v>70007</v>
      </c>
      <c r="K274" s="55">
        <f>ROUND(SUM(Ｎ!K82:K93)/12,0)</f>
        <v>50264</v>
      </c>
      <c r="L274" s="89">
        <f>ROUND(SUM(Ｎ!L82:L93)/12,0)</f>
        <v>19743</v>
      </c>
      <c r="M274" s="55">
        <f>ROUND(SUM(Ｎ!M82:M93)/12,0)</f>
        <v>12062</v>
      </c>
      <c r="N274" s="55">
        <f>ROUND(SUM(Ｎ!N82:N93)/12,0)</f>
        <v>8649</v>
      </c>
      <c r="O274" s="90">
        <f>ROUND(SUM(Ｎ!O82:O93)/12,0)</f>
        <v>3413</v>
      </c>
      <c r="P274" s="58">
        <f>ROUND(SUM(Ｎ!P82:P93)/12,0)</f>
        <v>104831</v>
      </c>
      <c r="Q274" s="55">
        <f>ROUND(SUM(Ｎ!Q82:Q93)/12,0)</f>
        <v>292512</v>
      </c>
      <c r="R274" s="60">
        <f>Ｎ!D274/Ｎ!P274</f>
        <v>0.39802157758678253</v>
      </c>
      <c r="S274" s="61">
        <f>Ｎ!I274/Ｎ!Q274</f>
        <v>0.2805662673668089</v>
      </c>
      <c r="T274" s="62">
        <f>Ｎ!M274/Ｎ!I274</f>
        <v>0.14697388782609755</v>
      </c>
    </row>
    <row r="275" spans="2:20" x14ac:dyDescent="0.2">
      <c r="C275" s="53">
        <v>9</v>
      </c>
      <c r="D275" s="58">
        <f>ROUND(SUM(Ｎ!D83:D94)/12,0)</f>
        <v>41879</v>
      </c>
      <c r="E275" s="55">
        <f>Ｎ!F275+Ｎ!G275</f>
        <v>36146</v>
      </c>
      <c r="F275" s="55">
        <f>Ｎ!D275-Ｎ!H275-Ｎ!G275</f>
        <v>34257</v>
      </c>
      <c r="G275" s="89">
        <f>ROUND(SUM(Ｎ!G83:G94)/12,0)</f>
        <v>1889</v>
      </c>
      <c r="H275" s="90">
        <f>ROUND(SUM(Ｎ!H83:H94)/12,0)</f>
        <v>5733</v>
      </c>
      <c r="I275" s="58">
        <f>ROUND(SUM(Ｎ!I83:I94)/12,0)</f>
        <v>82305</v>
      </c>
      <c r="J275" s="55">
        <f>ROUND(SUM(Ｎ!J83:J94)/12,0)</f>
        <v>70187</v>
      </c>
      <c r="K275" s="55">
        <f>ROUND(SUM(Ｎ!K83:K94)/12,0)</f>
        <v>50327</v>
      </c>
      <c r="L275" s="89">
        <f>ROUND(SUM(Ｎ!L83:L94)/12,0)</f>
        <v>19859</v>
      </c>
      <c r="M275" s="55">
        <f>ROUND(SUM(Ｎ!M83:M94)/12,0)</f>
        <v>12119</v>
      </c>
      <c r="N275" s="55">
        <f>ROUND(SUM(Ｎ!N83:N94)/12,0)</f>
        <v>8684</v>
      </c>
      <c r="O275" s="90">
        <f>ROUND(SUM(Ｎ!O83:O94)/12,0)</f>
        <v>3434</v>
      </c>
      <c r="P275" s="58">
        <f>ROUND(SUM(Ｎ!P83:P94)/12,0)</f>
        <v>104949</v>
      </c>
      <c r="Q275" s="55">
        <f>ROUND(SUM(Ｎ!Q83:Q94)/12,0)</f>
        <v>292557</v>
      </c>
      <c r="R275" s="60">
        <f>Ｎ!D275/Ｎ!P275</f>
        <v>0.39904143917521845</v>
      </c>
      <c r="S275" s="61">
        <f>Ｎ!I275/Ｎ!Q275</f>
        <v>0.28132979214306958</v>
      </c>
      <c r="T275" s="62">
        <f>Ｎ!M275/Ｎ!I275</f>
        <v>0.14724500334123078</v>
      </c>
    </row>
    <row r="276" spans="2:20" x14ac:dyDescent="0.2">
      <c r="C276" s="53">
        <v>10</v>
      </c>
      <c r="D276" s="48">
        <f>ROUND(SUM(Ｎ!D84:D95)/12,0)</f>
        <v>42039</v>
      </c>
      <c r="E276" s="45">
        <f>Ｎ!F276+Ｎ!G276</f>
        <v>36290</v>
      </c>
      <c r="F276" s="45">
        <f>Ｎ!D276-Ｎ!H276-Ｎ!G276</f>
        <v>34385</v>
      </c>
      <c r="G276" s="79">
        <f>ROUND(SUM(Ｎ!G84:G95)/12,0)</f>
        <v>1905</v>
      </c>
      <c r="H276" s="80">
        <f>ROUND(SUM(Ｎ!H84:H95)/12,0)</f>
        <v>5749</v>
      </c>
      <c r="I276" s="48">
        <f>ROUND(SUM(Ｎ!I84:I95)/12,0)</f>
        <v>82554</v>
      </c>
      <c r="J276" s="45">
        <f>ROUND(SUM(Ｎ!J84:J95)/12,0)</f>
        <v>70378</v>
      </c>
      <c r="K276" s="45">
        <f>ROUND(SUM(Ｎ!K84:K95)/12,0)</f>
        <v>50400</v>
      </c>
      <c r="L276" s="79">
        <f>ROUND(SUM(Ｎ!L84:L95)/12,0)</f>
        <v>19978</v>
      </c>
      <c r="M276" s="45">
        <f>ROUND(SUM(Ｎ!M84:M95)/12,0)</f>
        <v>12176</v>
      </c>
      <c r="N276" s="45">
        <f>ROUND(SUM(Ｎ!N84:N95)/12,0)</f>
        <v>8719</v>
      </c>
      <c r="O276" s="80">
        <f>ROUND(SUM(Ｎ!O84:O95)/12,0)</f>
        <v>3457</v>
      </c>
      <c r="P276" s="48">
        <f>ROUND(SUM(Ｎ!P84:P95)/12,0)</f>
        <v>105073</v>
      </c>
      <c r="Q276" s="45">
        <f>ROUND(SUM(Ｎ!Q84:Q95)/12,0)</f>
        <v>292611</v>
      </c>
      <c r="R276" s="50">
        <f>Ｎ!D276/Ｎ!P276</f>
        <v>0.40009326848952631</v>
      </c>
      <c r="S276" s="51">
        <f>Ｎ!I276/Ｎ!Q276</f>
        <v>0.28212883316074927</v>
      </c>
      <c r="T276" s="52">
        <f>Ｎ!M276/Ｎ!I276</f>
        <v>0.14749133900234998</v>
      </c>
    </row>
    <row r="277" spans="2:20" x14ac:dyDescent="0.2">
      <c r="C277" s="43">
        <v>11</v>
      </c>
      <c r="D277" s="48">
        <f>ROUND(SUM(Ｎ!D85:D96)/12,0)</f>
        <v>42200</v>
      </c>
      <c r="E277" s="45">
        <f>Ｎ!F277+Ｎ!G277</f>
        <v>36433</v>
      </c>
      <c r="F277" s="45">
        <f>Ｎ!D277-Ｎ!H277-Ｎ!G277</f>
        <v>34513</v>
      </c>
      <c r="G277" s="79">
        <f>ROUND(SUM(Ｎ!G85:G96)/12,0)</f>
        <v>1920</v>
      </c>
      <c r="H277" s="80">
        <f>ROUND(SUM(Ｎ!H85:H96)/12,0)</f>
        <v>5767</v>
      </c>
      <c r="I277" s="48">
        <f>ROUND(SUM(Ｎ!I85:I96)/12,0)</f>
        <v>82808</v>
      </c>
      <c r="J277" s="45">
        <f>ROUND(SUM(Ｎ!J85:J96)/12,0)</f>
        <v>70572</v>
      </c>
      <c r="K277" s="45">
        <f>ROUND(SUM(Ｎ!K85:K96)/12,0)</f>
        <v>50475</v>
      </c>
      <c r="L277" s="79">
        <f>ROUND(SUM(Ｎ!L85:L96)/12,0)</f>
        <v>20097</v>
      </c>
      <c r="M277" s="45">
        <f>ROUND(SUM(Ｎ!M85:M96)/12,0)</f>
        <v>12236</v>
      </c>
      <c r="N277" s="45">
        <f>ROUND(SUM(Ｎ!N85:N96)/12,0)</f>
        <v>8756</v>
      </c>
      <c r="O277" s="80">
        <f>ROUND(SUM(Ｎ!O85:O96)/12,0)</f>
        <v>3480</v>
      </c>
      <c r="P277" s="48">
        <f>ROUND(SUM(Ｎ!P85:P96)/12,0)</f>
        <v>105203</v>
      </c>
      <c r="Q277" s="45">
        <f>ROUND(SUM(Ｎ!Q85:Q96)/12,0)</f>
        <v>292674</v>
      </c>
      <c r="R277" s="50">
        <f>Ｎ!D277/Ｎ!P277</f>
        <v>0.40112924536372535</v>
      </c>
      <c r="S277" s="51">
        <f>Ｎ!I277/Ｎ!Q277</f>
        <v>0.28293596288020118</v>
      </c>
      <c r="T277" s="52">
        <f>Ｎ!M277/Ｎ!I277</f>
        <v>0.14776350111100378</v>
      </c>
    </row>
    <row r="278" spans="2:20" x14ac:dyDescent="0.2">
      <c r="C278" s="43">
        <v>12</v>
      </c>
      <c r="D278" s="48">
        <f>ROUND(SUM(Ｎ!D86:D97)/12,0)</f>
        <v>42365</v>
      </c>
      <c r="E278" s="55">
        <f>Ｎ!F278+Ｎ!G278</f>
        <v>36581</v>
      </c>
      <c r="F278" s="55">
        <f>Ｎ!D278-Ｎ!H278-Ｎ!G278</f>
        <v>34647</v>
      </c>
      <c r="G278" s="89">
        <f>ROUND(SUM(Ｎ!G86:G97)/12,0)</f>
        <v>1934</v>
      </c>
      <c r="H278" s="90">
        <f>ROUND(SUM(Ｎ!H86:H97)/12,0)</f>
        <v>5784</v>
      </c>
      <c r="I278" s="58">
        <f>ROUND(SUM(Ｎ!I86:I97)/12,0)</f>
        <v>83064</v>
      </c>
      <c r="J278" s="55">
        <f>ROUND(SUM(Ｎ!J86:J97)/12,0)</f>
        <v>70771</v>
      </c>
      <c r="K278" s="55">
        <f>ROUND(SUM(Ｎ!K86:K97)/12,0)</f>
        <v>50554</v>
      </c>
      <c r="L278" s="89">
        <f>ROUND(SUM(Ｎ!L86:L97)/12,0)</f>
        <v>20217</v>
      </c>
      <c r="M278" s="55">
        <f>ROUND(SUM(Ｎ!M86:M97)/12,0)</f>
        <v>12293</v>
      </c>
      <c r="N278" s="55">
        <f>ROUND(SUM(Ｎ!N86:N97)/12,0)</f>
        <v>8788</v>
      </c>
      <c r="O278" s="90">
        <f>ROUND(SUM(Ｎ!O86:O97)/12,0)</f>
        <v>3505</v>
      </c>
      <c r="P278" s="58">
        <f>ROUND(SUM(Ｎ!P86:P97)/12,0)</f>
        <v>105336</v>
      </c>
      <c r="Q278" s="55">
        <f>ROUND(SUM(Ｎ!Q86:Q97)/12,0)</f>
        <v>292740</v>
      </c>
      <c r="R278" s="60">
        <f>Ｎ!D278/Ｎ!P278</f>
        <v>0.40218918508392193</v>
      </c>
      <c r="S278" s="61">
        <f>Ｎ!I278/Ｎ!Q278</f>
        <v>0.28374666939946708</v>
      </c>
      <c r="T278" s="62">
        <f>Ｎ!M278/Ｎ!I278</f>
        <v>0.147994317634595</v>
      </c>
    </row>
    <row r="279" spans="2:20" x14ac:dyDescent="0.2">
      <c r="C279" s="53">
        <v>1</v>
      </c>
      <c r="D279" s="48">
        <f>ROUND(SUM(Ｎ!D87:D98)/12,0)</f>
        <v>42535</v>
      </c>
      <c r="E279" s="45">
        <f>Ｎ!F279+Ｎ!G279</f>
        <v>36733</v>
      </c>
      <c r="F279" s="45">
        <f>Ｎ!D279-Ｎ!H279-Ｎ!G279</f>
        <v>34787</v>
      </c>
      <c r="G279" s="79">
        <f>ROUND(SUM(Ｎ!G87:G98)/12,0)</f>
        <v>1946</v>
      </c>
      <c r="H279" s="80">
        <f>ROUND(SUM(Ｎ!H87:H98)/12,0)</f>
        <v>5802</v>
      </c>
      <c r="I279" s="48">
        <f>ROUND(SUM(Ｎ!I87:I98)/12,0)</f>
        <v>83335</v>
      </c>
      <c r="J279" s="45">
        <f>ROUND(SUM(Ｎ!J87:J98)/12,0)</f>
        <v>70984</v>
      </c>
      <c r="K279" s="45">
        <f>ROUND(SUM(Ｎ!K87:K98)/12,0)</f>
        <v>50638</v>
      </c>
      <c r="L279" s="79">
        <f>ROUND(SUM(Ｎ!L87:L98)/12,0)</f>
        <v>20346</v>
      </c>
      <c r="M279" s="45">
        <f>ROUND(SUM(Ｎ!M87:M98)/12,0)</f>
        <v>12351</v>
      </c>
      <c r="N279" s="45">
        <f>ROUND(SUM(Ｎ!N87:N98)/12,0)</f>
        <v>8822</v>
      </c>
      <c r="O279" s="80">
        <f>ROUND(SUM(Ｎ!O87:O98)/12,0)</f>
        <v>3529</v>
      </c>
      <c r="P279" s="48">
        <f>ROUND(SUM(Ｎ!P87:P98)/12,0)</f>
        <v>105472</v>
      </c>
      <c r="Q279" s="45">
        <f>ROUND(SUM(Ｎ!Q87:Q98)/12,0)</f>
        <v>292816</v>
      </c>
      <c r="R279" s="50">
        <f>Ｎ!D279/Ｎ!P279</f>
        <v>0.40328238774271846</v>
      </c>
      <c r="S279" s="51">
        <f>Ｎ!I279/Ｎ!Q279</f>
        <v>0.28459851920660073</v>
      </c>
      <c r="T279" s="52">
        <f>Ｎ!M279/Ｎ!I279</f>
        <v>0.1482090358192836</v>
      </c>
    </row>
    <row r="280" spans="2:20" x14ac:dyDescent="0.2">
      <c r="C280" s="43">
        <v>2</v>
      </c>
      <c r="D280" s="48">
        <f>ROUND(SUM(Ｎ!D88:D99)/12,0)</f>
        <v>42692</v>
      </c>
      <c r="E280" s="45">
        <f>Ｎ!F280+Ｎ!G280</f>
        <v>36871</v>
      </c>
      <c r="F280" s="45">
        <f>Ｎ!D280-Ｎ!H280-Ｎ!G280</f>
        <v>34914</v>
      </c>
      <c r="G280" s="79">
        <f>ROUND(SUM(Ｎ!G88:G99)/12,0)</f>
        <v>1957</v>
      </c>
      <c r="H280" s="80">
        <f>ROUND(SUM(Ｎ!H88:H99)/12,0)</f>
        <v>5821</v>
      </c>
      <c r="I280" s="48">
        <f>ROUND(SUM(Ｎ!I88:I99)/12,0)</f>
        <v>83589</v>
      </c>
      <c r="J280" s="45">
        <f>ROUND(SUM(Ｎ!J88:J99)/12,0)</f>
        <v>71181</v>
      </c>
      <c r="K280" s="45">
        <f>ROUND(SUM(Ｎ!K88:K99)/12,0)</f>
        <v>50706</v>
      </c>
      <c r="L280" s="79">
        <f>ROUND(SUM(Ｎ!L88:L99)/12,0)</f>
        <v>20476</v>
      </c>
      <c r="M280" s="45">
        <f>ROUND(SUM(Ｎ!M88:M99)/12,0)</f>
        <v>12408</v>
      </c>
      <c r="N280" s="45">
        <f>ROUND(SUM(Ｎ!N88:N99)/12,0)</f>
        <v>8854</v>
      </c>
      <c r="O280" s="80">
        <f>ROUND(SUM(Ｎ!O88:O99)/12,0)</f>
        <v>3554</v>
      </c>
      <c r="P280" s="48">
        <f>ROUND(SUM(Ｎ!P88:P99)/12,0)</f>
        <v>105599</v>
      </c>
      <c r="Q280" s="45">
        <f>ROUND(SUM(Ｎ!Q88:Q99)/12,0)</f>
        <v>292885</v>
      </c>
      <c r="R280" s="50">
        <f>Ｎ!D280/Ｎ!P280</f>
        <v>0.40428413147851777</v>
      </c>
      <c r="S280" s="51">
        <f>Ｎ!I280/Ｎ!Q280</f>
        <v>0.28539870597674855</v>
      </c>
      <c r="T280" s="52">
        <f>Ｎ!M280/Ｎ!I280</f>
        <v>0.14844058428740622</v>
      </c>
    </row>
    <row r="281" spans="2:20" x14ac:dyDescent="0.2">
      <c r="C281" s="91">
        <v>3</v>
      </c>
      <c r="D281" s="92">
        <f>ROUND(SUM(Ｎ!D89:D100)/12,0)</f>
        <v>42852</v>
      </c>
      <c r="E281" s="289">
        <f>Ｎ!F281+Ｎ!G281</f>
        <v>37003</v>
      </c>
      <c r="F281" s="289">
        <f>Ｎ!D281-Ｎ!H281-Ｎ!G281</f>
        <v>35034</v>
      </c>
      <c r="G281" s="290">
        <f>ROUND(SUM(Ｎ!G89:G100)/12,0)</f>
        <v>1969</v>
      </c>
      <c r="H281" s="291">
        <f>ROUND(SUM(Ｎ!H89:H100)/12,0)</f>
        <v>5849</v>
      </c>
      <c r="I281" s="292">
        <f>ROUND(SUM(Ｎ!I89:I100)/12,0)</f>
        <v>83848</v>
      </c>
      <c r="J281" s="289">
        <f>ROUND(SUM(Ｎ!J89:J100)/12,0)</f>
        <v>71367</v>
      </c>
      <c r="K281" s="289">
        <f>ROUND(SUM(Ｎ!K89:K100)/12,0)</f>
        <v>50764</v>
      </c>
      <c r="L281" s="290">
        <f>ROUND(SUM(Ｎ!L89:L100)/12,0)</f>
        <v>20603</v>
      </c>
      <c r="M281" s="289">
        <f>ROUND(SUM(Ｎ!M89:M100)/12,0)</f>
        <v>12481</v>
      </c>
      <c r="N281" s="289">
        <f>ROUND(SUM(Ｎ!N89:N100)/12,0)</f>
        <v>8898</v>
      </c>
      <c r="O281" s="291">
        <f>ROUND(SUM(Ｎ!O89:O100)/12,0)</f>
        <v>3583</v>
      </c>
      <c r="P281" s="292">
        <f>ROUND(SUM(Ｎ!P89:P100)/12,0)</f>
        <v>105725</v>
      </c>
      <c r="Q281" s="289">
        <f>ROUND(SUM(Ｎ!Q89:Q100)/12,0)</f>
        <v>292959</v>
      </c>
      <c r="R281" s="293">
        <f>Ｎ!D281/Ｎ!P281</f>
        <v>0.40531567746512176</v>
      </c>
      <c r="S281" s="294">
        <f>Ｎ!I281/Ｎ!Q281</f>
        <v>0.28621069842537694</v>
      </c>
      <c r="T281" s="295">
        <f>Ｎ!M281/Ｎ!I281</f>
        <v>0.14885268581242247</v>
      </c>
    </row>
    <row r="283" spans="2:20" x14ac:dyDescent="0.2">
      <c r="B283" s="206" t="s">
        <v>2793</v>
      </c>
    </row>
    <row r="284" spans="2:20" x14ac:dyDescent="0.2">
      <c r="B284" s="206" t="str">
        <f>IF(+Ｎ!M284=(Ｎ!N284+Ｎ!O284),"○","")</f>
        <v>○</v>
      </c>
      <c r="C284" s="304" t="s">
        <v>2794</v>
      </c>
      <c r="D284" s="305">
        <f>ROUND(SUM(Ｎ!D5:D28)/24,0)</f>
        <v>34656</v>
      </c>
      <c r="E284" s="306">
        <f>Ｎ!F284+Ｎ!G284</f>
        <v>29818</v>
      </c>
      <c r="F284" s="306">
        <f>Ｎ!D284-Ｎ!H284-Ｎ!G284</f>
        <v>28435</v>
      </c>
      <c r="G284" s="307">
        <f>ROUND(SUM(Ｎ!G5:G28)/24,0)</f>
        <v>1383</v>
      </c>
      <c r="H284" s="308">
        <f>ROUND(SUM(Ｎ!H5:H28)/24,0)</f>
        <v>4838</v>
      </c>
      <c r="I284" s="305">
        <f>ROUND(SUM(Ｎ!I5:I28)/24,0)</f>
        <v>73362</v>
      </c>
      <c r="J284" s="306">
        <f>ROUND(SUM(Ｎ!J5:J28)/24,0)</f>
        <v>63559</v>
      </c>
      <c r="K284" s="306">
        <f>ROUND(SUM(Ｎ!K5:K28)/24,0)</f>
        <v>50192</v>
      </c>
      <c r="L284" s="307">
        <f>ROUND(SUM(Ｎ!L5:L28)/24,0)</f>
        <v>13367</v>
      </c>
      <c r="M284" s="306">
        <f>ROUND(SUM(Ｎ!M5:M28)/24,0)</f>
        <v>9804</v>
      </c>
      <c r="N284" s="306">
        <f>ROUND(SUM(Ｎ!N5:N28)/24,0)</f>
        <v>7071</v>
      </c>
      <c r="O284" s="308">
        <f>ROUND(SUM(Ｎ!O5:O28)/24,0)</f>
        <v>2733</v>
      </c>
      <c r="P284" s="305">
        <f>ROUND(SUM(Ｎ!P5:P28)/24,0)</f>
        <v>95230</v>
      </c>
      <c r="Q284" s="306">
        <f>ROUND(SUM(Ｎ!Q5:Q28)/24,0)</f>
        <v>283967</v>
      </c>
      <c r="R284" s="309">
        <f>Ｎ!D284/Ｎ!P284</f>
        <v>0.36391893310931428</v>
      </c>
      <c r="S284" s="310">
        <f>Ｎ!I284/Ｎ!Q284</f>
        <v>0.25834692059288578</v>
      </c>
      <c r="T284" s="311">
        <f>Ｎ!M284/Ｎ!I284</f>
        <v>0.13363866852048745</v>
      </c>
    </row>
    <row r="285" spans="2:20" x14ac:dyDescent="0.2">
      <c r="B285" s="206" t="str">
        <f>IF(+Ｎ!M285=(Ｎ!N285+Ｎ!O285),"○","")</f>
        <v>○</v>
      </c>
      <c r="C285" s="296" t="s">
        <v>2795</v>
      </c>
      <c r="D285" s="297">
        <f>ROUND(SUM(Ｎ!D6:D29)/24,0)</f>
        <v>34709</v>
      </c>
      <c r="E285" s="298">
        <f>Ｎ!F285+Ｎ!G285</f>
        <v>29861</v>
      </c>
      <c r="F285" s="298">
        <f>Ｎ!D285-Ｎ!H285-Ｎ!G285</f>
        <v>28474</v>
      </c>
      <c r="G285" s="299">
        <f>ROUND(SUM(Ｎ!G6:G29)/24,0)</f>
        <v>1387</v>
      </c>
      <c r="H285" s="300">
        <f>ROUND(SUM(Ｎ!H6:H29)/24,0)</f>
        <v>4848</v>
      </c>
      <c r="I285" s="297">
        <f>ROUND(SUM(Ｎ!I6:I29)/24,0)</f>
        <v>73370</v>
      </c>
      <c r="J285" s="298">
        <f>ROUND(SUM(Ｎ!J6:J29)/24,0)</f>
        <v>63542</v>
      </c>
      <c r="K285" s="298">
        <f>ROUND(SUM(Ｎ!K6:K29)/24,0)</f>
        <v>50117</v>
      </c>
      <c r="L285" s="299">
        <f>ROUND(SUM(Ｎ!L6:L29)/24,0)</f>
        <v>13425</v>
      </c>
      <c r="M285" s="298">
        <f>ROUND(SUM(Ｎ!M6:M29)/24,0)</f>
        <v>9827</v>
      </c>
      <c r="N285" s="298">
        <f>ROUND(SUM(Ｎ!N6:N29)/24,0)</f>
        <v>7089</v>
      </c>
      <c r="O285" s="300">
        <f>ROUND(SUM(Ｎ!O6:O29)/24,0)</f>
        <v>2738</v>
      </c>
      <c r="P285" s="297">
        <f>ROUND(SUM(Ｎ!P6:P29)/24,0)</f>
        <v>95368</v>
      </c>
      <c r="Q285" s="298">
        <f>ROUND(SUM(Ｎ!Q6:Q29)/24,0)</f>
        <v>284128</v>
      </c>
      <c r="R285" s="301">
        <f>Ｎ!D285/Ｎ!P285</f>
        <v>0.36394807482593744</v>
      </c>
      <c r="S285" s="302">
        <f>Ｎ!I285/Ｎ!Q285</f>
        <v>0.25822868566279988</v>
      </c>
      <c r="T285" s="303">
        <f>Ｎ!M285/Ｎ!I285</f>
        <v>0.13393757666621234</v>
      </c>
    </row>
    <row r="286" spans="2:20" x14ac:dyDescent="0.2">
      <c r="C286" s="53">
        <v>5</v>
      </c>
      <c r="D286" s="48">
        <f>ROUND(SUM(Ｎ!D7:D30)/24,0)</f>
        <v>34763</v>
      </c>
      <c r="E286" s="45">
        <f>Ｎ!F286+Ｎ!G286</f>
        <v>29906</v>
      </c>
      <c r="F286" s="45">
        <f>Ｎ!D286-Ｎ!H286-Ｎ!G286</f>
        <v>28516</v>
      </c>
      <c r="G286" s="79">
        <f>ROUND(SUM(Ｎ!G7:G30)/24,0)</f>
        <v>1390</v>
      </c>
      <c r="H286" s="80">
        <f>ROUND(SUM(Ｎ!H7:H30)/24,0)</f>
        <v>4857</v>
      </c>
      <c r="I286" s="48">
        <f>ROUND(SUM(Ｎ!I7:I30)/24,0)</f>
        <v>73383</v>
      </c>
      <c r="J286" s="45">
        <f>ROUND(SUM(Ｎ!J7:J30)/24,0)</f>
        <v>63532</v>
      </c>
      <c r="K286" s="45">
        <f>ROUND(SUM(Ｎ!K7:K30)/24,0)</f>
        <v>50048</v>
      </c>
      <c r="L286" s="79">
        <f>ROUND(SUM(Ｎ!L7:L30)/24,0)</f>
        <v>13484</v>
      </c>
      <c r="M286" s="45">
        <f>ROUND(SUM(Ｎ!M7:M30)/24,0)</f>
        <v>9851</v>
      </c>
      <c r="N286" s="45">
        <f>ROUND(SUM(Ｎ!N7:N30)/24,0)</f>
        <v>7108</v>
      </c>
      <c r="O286" s="80">
        <f>ROUND(SUM(Ｎ!O7:O30)/24,0)</f>
        <v>2744</v>
      </c>
      <c r="P286" s="48">
        <f>ROUND(SUM(Ｎ!P7:P30)/24,0)</f>
        <v>95502</v>
      </c>
      <c r="Q286" s="45">
        <f>ROUND(SUM(Ｎ!Q7:Q30)/24,0)</f>
        <v>284283</v>
      </c>
      <c r="R286" s="50">
        <f>Ｎ!D286/Ｎ!P286</f>
        <v>0.36400284810789302</v>
      </c>
      <c r="S286" s="51">
        <f>Ｎ!I286/Ｎ!Q286</f>
        <v>0.25813362037124976</v>
      </c>
      <c r="T286" s="52">
        <f>Ｎ!M286/Ｎ!I286</f>
        <v>0.13424090048103784</v>
      </c>
    </row>
    <row r="287" spans="2:20" x14ac:dyDescent="0.2">
      <c r="C287" s="43">
        <v>6</v>
      </c>
      <c r="D287" s="48">
        <f>ROUND(SUM(Ｎ!D8:D31)/24,0)</f>
        <v>34818</v>
      </c>
      <c r="E287" s="45">
        <f>Ｎ!F287+Ｎ!G287</f>
        <v>29952</v>
      </c>
      <c r="F287" s="45">
        <f>Ｎ!D287-Ｎ!H287-Ｎ!G287</f>
        <v>28558</v>
      </c>
      <c r="G287" s="79">
        <f>ROUND(SUM(Ｎ!G8:G31)/24,0)</f>
        <v>1394</v>
      </c>
      <c r="H287" s="80">
        <f>ROUND(SUM(Ｎ!H8:H31)/24,0)</f>
        <v>4866</v>
      </c>
      <c r="I287" s="48">
        <f>ROUND(SUM(Ｎ!I8:I31)/24,0)</f>
        <v>73397</v>
      </c>
      <c r="J287" s="45">
        <f>ROUND(SUM(Ｎ!J8:J31)/24,0)</f>
        <v>63523</v>
      </c>
      <c r="K287" s="45">
        <f>ROUND(SUM(Ｎ!K8:K31)/24,0)</f>
        <v>49979</v>
      </c>
      <c r="L287" s="79">
        <f>ROUND(SUM(Ｎ!L8:L31)/24,0)</f>
        <v>13544</v>
      </c>
      <c r="M287" s="45">
        <f>ROUND(SUM(Ｎ!M8:M31)/24,0)</f>
        <v>9874</v>
      </c>
      <c r="N287" s="45">
        <f>ROUND(SUM(Ｎ!N8:N31)/24,0)</f>
        <v>7125</v>
      </c>
      <c r="O287" s="80">
        <f>ROUND(SUM(Ｎ!O8:O31)/24,0)</f>
        <v>2749</v>
      </c>
      <c r="P287" s="48">
        <f>ROUND(SUM(Ｎ!P8:P31)/24,0)</f>
        <v>95637</v>
      </c>
      <c r="Q287" s="45">
        <f>ROUND(SUM(Ｎ!Q8:Q31)/24,0)</f>
        <v>284440</v>
      </c>
      <c r="R287" s="50">
        <f>Ｎ!D287/Ｎ!P287</f>
        <v>0.36406411744408546</v>
      </c>
      <c r="S287" s="51">
        <f>Ｎ!I287/Ｎ!Q287</f>
        <v>0.25804036000562508</v>
      </c>
      <c r="T287" s="52">
        <f>Ｎ!M287/Ｎ!I287</f>
        <v>0.13452865920950446</v>
      </c>
    </row>
    <row r="288" spans="2:20" x14ac:dyDescent="0.2">
      <c r="C288" s="43">
        <v>7</v>
      </c>
      <c r="D288" s="48">
        <f>ROUND(SUM(Ｎ!D9:D32)/24,0)</f>
        <v>34874</v>
      </c>
      <c r="E288" s="55">
        <f>Ｎ!F288+Ｎ!G288</f>
        <v>29999</v>
      </c>
      <c r="F288" s="55">
        <f>Ｎ!D288-Ｎ!H288-Ｎ!G288</f>
        <v>28601</v>
      </c>
      <c r="G288" s="89">
        <f>ROUND(SUM(Ｎ!G9:G32)/24,0)</f>
        <v>1398</v>
      </c>
      <c r="H288" s="90">
        <f>ROUND(SUM(Ｎ!H9:H32)/24,0)</f>
        <v>4875</v>
      </c>
      <c r="I288" s="58">
        <f>ROUND(SUM(Ｎ!I9:I32)/24,0)</f>
        <v>73416</v>
      </c>
      <c r="J288" s="55">
        <f>ROUND(SUM(Ｎ!J9:J32)/24,0)</f>
        <v>63519</v>
      </c>
      <c r="K288" s="55">
        <f>ROUND(SUM(Ｎ!K9:K32)/24,0)</f>
        <v>49913</v>
      </c>
      <c r="L288" s="89">
        <f>ROUND(SUM(Ｎ!L9:L32)/24,0)</f>
        <v>13606</v>
      </c>
      <c r="M288" s="55">
        <f>ROUND(SUM(Ｎ!M9:M32)/24,0)</f>
        <v>9897</v>
      </c>
      <c r="N288" s="55">
        <f>ROUND(SUM(Ｎ!N9:N32)/24,0)</f>
        <v>7143</v>
      </c>
      <c r="O288" s="90">
        <f>ROUND(SUM(Ｎ!O9:O32)/24,0)</f>
        <v>2754</v>
      </c>
      <c r="P288" s="58">
        <f>ROUND(SUM(Ｎ!P9:P32)/24,0)</f>
        <v>95777</v>
      </c>
      <c r="Q288" s="55">
        <f>ROUND(SUM(Ｎ!Q9:Q32)/24,0)</f>
        <v>284603</v>
      </c>
      <c r="R288" s="60">
        <f>Ｎ!D288/Ｎ!P288</f>
        <v>0.36411664595884191</v>
      </c>
      <c r="S288" s="61">
        <f>Ｎ!I288/Ｎ!Q288</f>
        <v>0.25795933282502292</v>
      </c>
      <c r="T288" s="62">
        <f>Ｎ!M288/Ｎ!I288</f>
        <v>0.134807126511932</v>
      </c>
    </row>
    <row r="289" spans="3:20" x14ac:dyDescent="0.2">
      <c r="C289" s="53">
        <v>8</v>
      </c>
      <c r="D289" s="48">
        <f>ROUND(SUM(Ｎ!D10:D33)/24,0)</f>
        <v>34931</v>
      </c>
      <c r="E289" s="55">
        <f>Ｎ!F289+Ｎ!G289</f>
        <v>30048</v>
      </c>
      <c r="F289" s="55">
        <f>Ｎ!D289-Ｎ!H289-Ｎ!G289</f>
        <v>28646</v>
      </c>
      <c r="G289" s="89">
        <f>ROUND(SUM(Ｎ!G10:G33)/24,0)</f>
        <v>1402</v>
      </c>
      <c r="H289" s="90">
        <f>ROUND(SUM(Ｎ!H10:H33)/24,0)</f>
        <v>4883</v>
      </c>
      <c r="I289" s="58">
        <f>ROUND(SUM(Ｎ!I10:I33)/24,0)</f>
        <v>73435</v>
      </c>
      <c r="J289" s="55">
        <f>ROUND(SUM(Ｎ!J10:J33)/24,0)</f>
        <v>63517</v>
      </c>
      <c r="K289" s="55">
        <f>ROUND(SUM(Ｎ!K10:K33)/24,0)</f>
        <v>49850</v>
      </c>
      <c r="L289" s="89">
        <f>ROUND(SUM(Ｎ!L10:L33)/24,0)</f>
        <v>13667</v>
      </c>
      <c r="M289" s="55">
        <f>ROUND(SUM(Ｎ!M10:M33)/24,0)</f>
        <v>9919</v>
      </c>
      <c r="N289" s="55">
        <f>ROUND(SUM(Ｎ!N10:N33)/24,0)</f>
        <v>7160</v>
      </c>
      <c r="O289" s="90">
        <f>ROUND(SUM(Ｎ!O10:O33)/24,0)</f>
        <v>2758</v>
      </c>
      <c r="P289" s="58">
        <f>ROUND(SUM(Ｎ!P10:P33)/24,0)</f>
        <v>95918</v>
      </c>
      <c r="Q289" s="55">
        <f>ROUND(SUM(Ｎ!Q10:Q33)/24,0)</f>
        <v>284759</v>
      </c>
      <c r="R289" s="60">
        <f>Ｎ!D289/Ｎ!P289</f>
        <v>0.36417565003440439</v>
      </c>
      <c r="S289" s="61">
        <f>Ｎ!I289/Ｎ!Q289</f>
        <v>0.25788473762023323</v>
      </c>
      <c r="T289" s="62">
        <f>Ｎ!M289/Ｎ!I289</f>
        <v>0.13507183223258665</v>
      </c>
    </row>
    <row r="290" spans="3:20" x14ac:dyDescent="0.2">
      <c r="C290" s="53">
        <v>9</v>
      </c>
      <c r="D290" s="58">
        <f>ROUND(SUM(Ｎ!D11:D34)/24,0)</f>
        <v>34989</v>
      </c>
      <c r="E290" s="55">
        <f>Ｎ!F290+Ｎ!G290</f>
        <v>30097</v>
      </c>
      <c r="F290" s="55">
        <f>Ｎ!D290-Ｎ!H290-Ｎ!G290</f>
        <v>28691</v>
      </c>
      <c r="G290" s="89">
        <f>ROUND(SUM(Ｎ!G11:G34)/24,0)</f>
        <v>1406</v>
      </c>
      <c r="H290" s="90">
        <f>ROUND(SUM(Ｎ!H11:H34)/24,0)</f>
        <v>4892</v>
      </c>
      <c r="I290" s="58">
        <f>ROUND(SUM(Ｎ!I11:I34)/24,0)</f>
        <v>73452</v>
      </c>
      <c r="J290" s="55">
        <f>ROUND(SUM(Ｎ!J11:J34)/24,0)</f>
        <v>63512</v>
      </c>
      <c r="K290" s="55">
        <f>ROUND(SUM(Ｎ!K11:K34)/24,0)</f>
        <v>49784</v>
      </c>
      <c r="L290" s="89">
        <f>ROUND(SUM(Ｎ!L11:L34)/24,0)</f>
        <v>13728</v>
      </c>
      <c r="M290" s="55">
        <f>ROUND(SUM(Ｎ!M11:M34)/24,0)</f>
        <v>9940</v>
      </c>
      <c r="N290" s="55">
        <f>ROUND(SUM(Ｎ!N11:N34)/24,0)</f>
        <v>7176</v>
      </c>
      <c r="O290" s="90">
        <f>ROUND(SUM(Ｎ!O11:O34)/24,0)</f>
        <v>2764</v>
      </c>
      <c r="P290" s="58">
        <f>ROUND(SUM(Ｎ!P11:P34)/24,0)</f>
        <v>96057</v>
      </c>
      <c r="Q290" s="55">
        <f>ROUND(SUM(Ｎ!Q11:Q34)/24,0)</f>
        <v>284906</v>
      </c>
      <c r="R290" s="60">
        <f>Ｎ!D290/Ｎ!P290</f>
        <v>0.36425247509291359</v>
      </c>
      <c r="S290" s="61">
        <f>Ｎ!I290/Ｎ!Q290</f>
        <v>0.25781134830435304</v>
      </c>
      <c r="T290" s="62">
        <f>Ｎ!M290/Ｎ!I290</f>
        <v>0.13532647170941567</v>
      </c>
    </row>
    <row r="291" spans="3:20" x14ac:dyDescent="0.2">
      <c r="C291" s="53">
        <v>10</v>
      </c>
      <c r="D291" s="48">
        <f>ROUND(SUM(Ｎ!D12:D35)/24,0)</f>
        <v>35049</v>
      </c>
      <c r="E291" s="45">
        <f>Ｎ!F291+Ｎ!G291</f>
        <v>30149</v>
      </c>
      <c r="F291" s="45">
        <f>Ｎ!D291-Ｎ!H291-Ｎ!G291</f>
        <v>28740</v>
      </c>
      <c r="G291" s="79">
        <f>ROUND(SUM(Ｎ!G12:G35)/24,0)</f>
        <v>1409</v>
      </c>
      <c r="H291" s="80">
        <f>ROUND(SUM(Ｎ!H12:H35)/24,0)</f>
        <v>4900</v>
      </c>
      <c r="I291" s="48">
        <f>ROUND(SUM(Ｎ!I12:I35)/24,0)</f>
        <v>73475</v>
      </c>
      <c r="J291" s="45">
        <f>ROUND(SUM(Ｎ!J12:J35)/24,0)</f>
        <v>63513</v>
      </c>
      <c r="K291" s="45">
        <f>ROUND(SUM(Ｎ!K12:K35)/24,0)</f>
        <v>49723</v>
      </c>
      <c r="L291" s="79">
        <f>ROUND(SUM(Ｎ!L12:L35)/24,0)</f>
        <v>13791</v>
      </c>
      <c r="M291" s="45">
        <f>ROUND(SUM(Ｎ!M12:M35)/24,0)</f>
        <v>9961</v>
      </c>
      <c r="N291" s="45">
        <f>ROUND(SUM(Ｎ!N12:N35)/24,0)</f>
        <v>7193</v>
      </c>
      <c r="O291" s="80">
        <f>ROUND(SUM(Ｎ!O12:O35)/24,0)</f>
        <v>2769</v>
      </c>
      <c r="P291" s="48">
        <f>ROUND(SUM(Ｎ!P12:P35)/24,0)</f>
        <v>96198</v>
      </c>
      <c r="Q291" s="45">
        <f>ROUND(SUM(Ｎ!Q12:Q35)/24,0)</f>
        <v>285058</v>
      </c>
      <c r="R291" s="50">
        <f>Ｎ!D291/Ｎ!P291</f>
        <v>0.36434229401858664</v>
      </c>
      <c r="S291" s="51">
        <f>Ｎ!I291/Ｎ!Q291</f>
        <v>0.25775456222944104</v>
      </c>
      <c r="T291" s="52">
        <f>Ｎ!M291/Ｎ!I291</f>
        <v>0.13556992174208915</v>
      </c>
    </row>
    <row r="292" spans="3:20" x14ac:dyDescent="0.2">
      <c r="C292" s="43">
        <v>11</v>
      </c>
      <c r="D292" s="48">
        <f>ROUND(SUM(Ｎ!D13:D36)/24,0)</f>
        <v>35111</v>
      </c>
      <c r="E292" s="45">
        <f>Ｎ!F292+Ｎ!G292</f>
        <v>30202</v>
      </c>
      <c r="F292" s="45">
        <f>Ｎ!D292-Ｎ!H292-Ｎ!G292</f>
        <v>28790</v>
      </c>
      <c r="G292" s="79">
        <f>ROUND(SUM(Ｎ!G13:G36)/24,0)</f>
        <v>1412</v>
      </c>
      <c r="H292" s="80">
        <f>ROUND(SUM(Ｎ!H13:H36)/24,0)</f>
        <v>4909</v>
      </c>
      <c r="I292" s="48">
        <f>ROUND(SUM(Ｎ!I13:I36)/24,0)</f>
        <v>73502</v>
      </c>
      <c r="J292" s="45">
        <f>ROUND(SUM(Ｎ!J13:J36)/24,0)</f>
        <v>63519</v>
      </c>
      <c r="K292" s="45">
        <f>ROUND(SUM(Ｎ!K13:K36)/24,0)</f>
        <v>49663</v>
      </c>
      <c r="L292" s="79">
        <f>ROUND(SUM(Ｎ!L13:L36)/24,0)</f>
        <v>13856</v>
      </c>
      <c r="M292" s="45">
        <f>ROUND(SUM(Ｎ!M13:M36)/24,0)</f>
        <v>9983</v>
      </c>
      <c r="N292" s="45">
        <f>ROUND(SUM(Ｎ!N13:N36)/24,0)</f>
        <v>7209</v>
      </c>
      <c r="O292" s="80">
        <f>ROUND(SUM(Ｎ!O13:O36)/24,0)</f>
        <v>2774</v>
      </c>
      <c r="P292" s="48">
        <f>ROUND(SUM(Ｎ!P13:P36)/24,0)</f>
        <v>96342</v>
      </c>
      <c r="Q292" s="45">
        <f>ROUND(SUM(Ｎ!Q13:Q36)/24,0)</f>
        <v>285216</v>
      </c>
      <c r="R292" s="50">
        <f>Ｎ!D292/Ｎ!P292</f>
        <v>0.36444126133981025</v>
      </c>
      <c r="S292" s="51">
        <f>Ｎ!I292/Ｎ!Q292</f>
        <v>0.2577064400314148</v>
      </c>
      <c r="T292" s="52">
        <f>Ｎ!M292/Ｎ!I292</f>
        <v>0.13581943348480313</v>
      </c>
    </row>
    <row r="293" spans="3:20" x14ac:dyDescent="0.2">
      <c r="C293" s="43">
        <v>12</v>
      </c>
      <c r="D293" s="48">
        <f>ROUND(SUM(Ｎ!D14:D37)/24,0)</f>
        <v>35170</v>
      </c>
      <c r="E293" s="55">
        <f>Ｎ!F293+Ｎ!G293</f>
        <v>30252</v>
      </c>
      <c r="F293" s="55">
        <f>Ｎ!D293-Ｎ!H293-Ｎ!G293</f>
        <v>28836</v>
      </c>
      <c r="G293" s="89">
        <f>ROUND(SUM(Ｎ!G14:G37)/24,0)</f>
        <v>1416</v>
      </c>
      <c r="H293" s="90">
        <f>ROUND(SUM(Ｎ!H14:H37)/24,0)</f>
        <v>4918</v>
      </c>
      <c r="I293" s="58">
        <f>ROUND(SUM(Ｎ!I14:I37)/24,0)</f>
        <v>73533</v>
      </c>
      <c r="J293" s="55">
        <f>ROUND(SUM(Ｎ!J14:J37)/24,0)</f>
        <v>63528</v>
      </c>
      <c r="K293" s="55">
        <f>ROUND(SUM(Ｎ!K14:K37)/24,0)</f>
        <v>49607</v>
      </c>
      <c r="L293" s="89">
        <f>ROUND(SUM(Ｎ!L14:L37)/24,0)</f>
        <v>13921</v>
      </c>
      <c r="M293" s="55">
        <f>ROUND(SUM(Ｎ!M14:M37)/24,0)</f>
        <v>10005</v>
      </c>
      <c r="N293" s="55">
        <f>ROUND(SUM(Ｎ!N14:N37)/24,0)</f>
        <v>7225</v>
      </c>
      <c r="O293" s="90">
        <f>ROUND(SUM(Ｎ!O14:O37)/24,0)</f>
        <v>2779</v>
      </c>
      <c r="P293" s="58">
        <f>ROUND(SUM(Ｎ!P14:P37)/24,0)</f>
        <v>96484</v>
      </c>
      <c r="Q293" s="55">
        <f>ROUND(SUM(Ｎ!Q14:Q37)/24,0)</f>
        <v>285373</v>
      </c>
      <c r="R293" s="60">
        <f>Ｎ!D293/Ｎ!P293</f>
        <v>0.36451639650097428</v>
      </c>
      <c r="S293" s="61">
        <f>Ｎ!I293/Ｎ!Q293</f>
        <v>0.25767329074579587</v>
      </c>
      <c r="T293" s="62">
        <f>Ｎ!M293/Ｎ!I293</f>
        <v>0.13606136020562196</v>
      </c>
    </row>
    <row r="294" spans="3:20" x14ac:dyDescent="0.2">
      <c r="C294" s="53">
        <v>1</v>
      </c>
      <c r="D294" s="48">
        <f>ROUND(SUM(Ｎ!D15:D38)/24,0)</f>
        <v>35229</v>
      </c>
      <c r="E294" s="45">
        <f>Ｎ!F294+Ｎ!G294</f>
        <v>30304</v>
      </c>
      <c r="F294" s="45">
        <f>Ｎ!D294-Ｎ!H294-Ｎ!G294</f>
        <v>28884</v>
      </c>
      <c r="G294" s="79">
        <f>ROUND(SUM(Ｎ!G15:G38)/24,0)</f>
        <v>1420</v>
      </c>
      <c r="H294" s="80">
        <f>ROUND(SUM(Ｎ!H15:H38)/24,0)</f>
        <v>4925</v>
      </c>
      <c r="I294" s="48">
        <f>ROUND(SUM(Ｎ!I15:I38)/24,0)</f>
        <v>73564</v>
      </c>
      <c r="J294" s="45">
        <f>ROUND(SUM(Ｎ!J15:J38)/24,0)</f>
        <v>63538</v>
      </c>
      <c r="K294" s="45">
        <f>ROUND(SUM(Ｎ!K15:K38)/24,0)</f>
        <v>49551</v>
      </c>
      <c r="L294" s="79">
        <f>ROUND(SUM(Ｎ!L15:L38)/24,0)</f>
        <v>13987</v>
      </c>
      <c r="M294" s="45">
        <f>ROUND(SUM(Ｎ!M15:M38)/24,0)</f>
        <v>10026</v>
      </c>
      <c r="N294" s="45">
        <f>ROUND(SUM(Ｎ!N15:N38)/24,0)</f>
        <v>7241</v>
      </c>
      <c r="O294" s="80">
        <f>ROUND(SUM(Ｎ!O15:O38)/24,0)</f>
        <v>2785</v>
      </c>
      <c r="P294" s="48">
        <f>ROUND(SUM(Ｎ!P15:P38)/24,0)</f>
        <v>96628</v>
      </c>
      <c r="Q294" s="45">
        <f>ROUND(SUM(Ｎ!Q15:Q38)/24,0)</f>
        <v>285538</v>
      </c>
      <c r="R294" s="50">
        <f>Ｎ!D294/Ｎ!P294</f>
        <v>0.36458376454029889</v>
      </c>
      <c r="S294" s="51">
        <f>Ｎ!I294/Ｎ!Q294</f>
        <v>0.25763295953603371</v>
      </c>
      <c r="T294" s="52">
        <f>Ｎ!M294/Ｎ!I294</f>
        <v>0.13628948942417488</v>
      </c>
    </row>
    <row r="295" spans="3:20" x14ac:dyDescent="0.2">
      <c r="C295" s="43">
        <v>2</v>
      </c>
      <c r="D295" s="48">
        <f>ROUND(SUM(Ｎ!D16:D39)/24,0)</f>
        <v>35288</v>
      </c>
      <c r="E295" s="45">
        <f>Ｎ!F295+Ｎ!G295</f>
        <v>30354</v>
      </c>
      <c r="F295" s="45">
        <f>Ｎ!D295-Ｎ!H295-Ｎ!G295</f>
        <v>28931</v>
      </c>
      <c r="G295" s="79">
        <f>ROUND(SUM(Ｎ!G16:G39)/24,0)</f>
        <v>1423</v>
      </c>
      <c r="H295" s="80">
        <f>ROUND(SUM(Ｎ!H16:H39)/24,0)</f>
        <v>4934</v>
      </c>
      <c r="I295" s="48">
        <f>ROUND(SUM(Ｎ!I16:I39)/24,0)</f>
        <v>73588</v>
      </c>
      <c r="J295" s="45">
        <f>ROUND(SUM(Ｎ!J16:J39)/24,0)</f>
        <v>63543</v>
      </c>
      <c r="K295" s="45">
        <f>ROUND(SUM(Ｎ!K16:K39)/24,0)</f>
        <v>49489</v>
      </c>
      <c r="L295" s="79">
        <f>ROUND(SUM(Ｎ!L16:L39)/24,0)</f>
        <v>14054</v>
      </c>
      <c r="M295" s="45">
        <f>ROUND(SUM(Ｎ!M16:M39)/24,0)</f>
        <v>10045</v>
      </c>
      <c r="N295" s="45">
        <f>ROUND(SUM(Ｎ!N16:N39)/24,0)</f>
        <v>7256</v>
      </c>
      <c r="O295" s="80">
        <f>ROUND(SUM(Ｎ!O16:O39)/24,0)</f>
        <v>2789</v>
      </c>
      <c r="P295" s="48">
        <f>ROUND(SUM(Ｎ!P16:P39)/24,0)</f>
        <v>96776</v>
      </c>
      <c r="Q295" s="45">
        <f>ROUND(SUM(Ｎ!Q16:Q39)/24,0)</f>
        <v>285706</v>
      </c>
      <c r="R295" s="50">
        <f>Ｎ!D295/Ｎ!P295</f>
        <v>0.36463586013061089</v>
      </c>
      <c r="S295" s="51">
        <f>Ｎ!I295/Ｎ!Q295</f>
        <v>0.25756546939861258</v>
      </c>
      <c r="T295" s="52">
        <f>Ｎ!M295/Ｎ!I295</f>
        <v>0.13650323422297114</v>
      </c>
    </row>
    <row r="296" spans="3:20" x14ac:dyDescent="0.2">
      <c r="C296" s="91">
        <v>3</v>
      </c>
      <c r="D296" s="92">
        <f>ROUND(SUM(Ｎ!D17:D40)/24,0)</f>
        <v>35350</v>
      </c>
      <c r="E296" s="289">
        <f>Ｎ!F296+Ｎ!G296</f>
        <v>30411</v>
      </c>
      <c r="F296" s="289">
        <f>Ｎ!D296-Ｎ!H296-Ｎ!G296</f>
        <v>28984</v>
      </c>
      <c r="G296" s="290">
        <f>ROUND(SUM(Ｎ!G17:G40)/24,0)</f>
        <v>1427</v>
      </c>
      <c r="H296" s="291">
        <f>ROUND(SUM(Ｎ!H17:H40)/24,0)</f>
        <v>4939</v>
      </c>
      <c r="I296" s="292">
        <f>ROUND(SUM(Ｎ!I17:I40)/24,0)</f>
        <v>73618</v>
      </c>
      <c r="J296" s="289">
        <f>ROUND(SUM(Ｎ!J17:J40)/24,0)</f>
        <v>63557</v>
      </c>
      <c r="K296" s="289">
        <f>ROUND(SUM(Ｎ!K17:K40)/24,0)</f>
        <v>49434</v>
      </c>
      <c r="L296" s="290">
        <f>ROUND(SUM(Ｎ!L17:L40)/24,0)</f>
        <v>14123</v>
      </c>
      <c r="M296" s="289">
        <f>ROUND(SUM(Ｎ!M17:M40)/24,0)</f>
        <v>10062</v>
      </c>
      <c r="N296" s="289">
        <f>ROUND(SUM(Ｎ!N17:N40)/24,0)</f>
        <v>7268</v>
      </c>
      <c r="O296" s="291">
        <f>ROUND(SUM(Ｎ!O17:O40)/24,0)</f>
        <v>2794</v>
      </c>
      <c r="P296" s="292">
        <f>ROUND(SUM(Ｎ!P17:P40)/24,0)</f>
        <v>96924</v>
      </c>
      <c r="Q296" s="289">
        <f>ROUND(SUM(Ｎ!Q17:Q40)/24,0)</f>
        <v>285871</v>
      </c>
      <c r="R296" s="293">
        <f>Ｎ!D296/Ｎ!P296</f>
        <v>0.36471874871032972</v>
      </c>
      <c r="S296" s="294">
        <f>Ｎ!I296/Ｎ!Q296</f>
        <v>0.25752174932049771</v>
      </c>
      <c r="T296" s="295">
        <f>Ｎ!M296/Ｎ!I296</f>
        <v>0.13667852970740851</v>
      </c>
    </row>
    <row r="297" spans="3:20" x14ac:dyDescent="0.2">
      <c r="C297" s="296" t="s">
        <v>2796</v>
      </c>
      <c r="D297" s="297">
        <f>ROUND(SUM(Ｎ!D18:D41)/24,0)</f>
        <v>35412</v>
      </c>
      <c r="E297" s="298">
        <f>Ｎ!F297+Ｎ!G297</f>
        <v>30466</v>
      </c>
      <c r="F297" s="298">
        <f>Ｎ!D297-Ｎ!H297-Ｎ!G297</f>
        <v>29036</v>
      </c>
      <c r="G297" s="299">
        <f>ROUND(SUM(Ｎ!G18:G41)/24,0)</f>
        <v>1430</v>
      </c>
      <c r="H297" s="300">
        <f>ROUND(SUM(Ｎ!H18:H41)/24,0)</f>
        <v>4946</v>
      </c>
      <c r="I297" s="297">
        <f>ROUND(SUM(Ｎ!I18:I41)/24,0)</f>
        <v>73651</v>
      </c>
      <c r="J297" s="298">
        <f>ROUND(SUM(Ｎ!J18:J41)/24,0)</f>
        <v>63571</v>
      </c>
      <c r="K297" s="298">
        <f>ROUND(SUM(Ｎ!K18:K41)/24,0)</f>
        <v>49378</v>
      </c>
      <c r="L297" s="299">
        <f>ROUND(SUM(Ｎ!L18:L41)/24,0)</f>
        <v>14193</v>
      </c>
      <c r="M297" s="298">
        <f>ROUND(SUM(Ｎ!M18:M41)/24,0)</f>
        <v>10080</v>
      </c>
      <c r="N297" s="298">
        <f>ROUND(SUM(Ｎ!N18:N41)/24,0)</f>
        <v>7281</v>
      </c>
      <c r="O297" s="300">
        <f>ROUND(SUM(Ｎ!O18:O41)/24,0)</f>
        <v>2800</v>
      </c>
      <c r="P297" s="297">
        <f>ROUND(SUM(Ｎ!P18:P41)/24,0)</f>
        <v>97074</v>
      </c>
      <c r="Q297" s="298">
        <f>ROUND(SUM(Ｎ!Q18:Q41)/24,0)</f>
        <v>286042</v>
      </c>
      <c r="R297" s="301">
        <f>Ｎ!D297/Ｎ!P297</f>
        <v>0.36479386859509239</v>
      </c>
      <c r="S297" s="302">
        <f>Ｎ!I297/Ｎ!Q297</f>
        <v>0.25748316680767158</v>
      </c>
      <c r="T297" s="303">
        <f>Ｎ!M297/Ｎ!I297</f>
        <v>0.13686168551682937</v>
      </c>
    </row>
    <row r="298" spans="3:20" x14ac:dyDescent="0.2">
      <c r="C298" s="53">
        <v>5</v>
      </c>
      <c r="D298" s="48">
        <f>ROUND(SUM(Ｎ!D19:D42)/24,0)</f>
        <v>35477</v>
      </c>
      <c r="E298" s="45">
        <f>Ｎ!F298+Ｎ!G298</f>
        <v>30523</v>
      </c>
      <c r="F298" s="45">
        <f>Ｎ!D298-Ｎ!H298-Ｎ!G298</f>
        <v>29089</v>
      </c>
      <c r="G298" s="79">
        <f>ROUND(SUM(Ｎ!G19:G42)/24,0)</f>
        <v>1434</v>
      </c>
      <c r="H298" s="80">
        <f>ROUND(SUM(Ｎ!H19:H42)/24,0)</f>
        <v>4954</v>
      </c>
      <c r="I298" s="48">
        <f>ROUND(SUM(Ｎ!I19:I42)/24,0)</f>
        <v>73690</v>
      </c>
      <c r="J298" s="45">
        <f>ROUND(SUM(Ｎ!J19:J42)/24,0)</f>
        <v>63590</v>
      </c>
      <c r="K298" s="45">
        <f>ROUND(SUM(Ｎ!K19:K42)/24,0)</f>
        <v>49324</v>
      </c>
      <c r="L298" s="79">
        <f>ROUND(SUM(Ｎ!L19:L42)/24,0)</f>
        <v>14266</v>
      </c>
      <c r="M298" s="45">
        <f>ROUND(SUM(Ｎ!M19:M42)/24,0)</f>
        <v>10100</v>
      </c>
      <c r="N298" s="45">
        <f>ROUND(SUM(Ｎ!N19:N42)/24,0)</f>
        <v>7294</v>
      </c>
      <c r="O298" s="80">
        <f>ROUND(SUM(Ｎ!O19:O42)/24,0)</f>
        <v>2806</v>
      </c>
      <c r="P298" s="48">
        <f>ROUND(SUM(Ｎ!P19:P42)/24,0)</f>
        <v>97224</v>
      </c>
      <c r="Q298" s="45">
        <f>ROUND(SUM(Ｎ!Q19:Q42)/24,0)</f>
        <v>286215</v>
      </c>
      <c r="R298" s="50">
        <f>Ｎ!D298/Ｎ!P298</f>
        <v>0.36489961326421461</v>
      </c>
      <c r="S298" s="51">
        <f>Ｎ!I298/Ｎ!Q298</f>
        <v>0.25746379469978864</v>
      </c>
      <c r="T298" s="52">
        <f>Ｎ!M298/Ｎ!I298</f>
        <v>0.13706065951960916</v>
      </c>
    </row>
    <row r="299" spans="3:20" x14ac:dyDescent="0.2">
      <c r="C299" s="43">
        <v>6</v>
      </c>
      <c r="D299" s="48">
        <f>ROUND(SUM(Ｎ!D20:D43)/24,0)</f>
        <v>35544</v>
      </c>
      <c r="E299" s="45">
        <f>Ｎ!F299+Ｎ!G299</f>
        <v>30581</v>
      </c>
      <c r="F299" s="45">
        <f>Ｎ!D299-Ｎ!H299-Ｎ!G299</f>
        <v>29144</v>
      </c>
      <c r="G299" s="79">
        <f>ROUND(SUM(Ｎ!G20:G43)/24,0)</f>
        <v>1437</v>
      </c>
      <c r="H299" s="80">
        <f>ROUND(SUM(Ｎ!H20:H43)/24,0)</f>
        <v>4963</v>
      </c>
      <c r="I299" s="48">
        <f>ROUND(SUM(Ｎ!I20:I43)/24,0)</f>
        <v>73736</v>
      </c>
      <c r="J299" s="45">
        <f>ROUND(SUM(Ｎ!J20:J43)/24,0)</f>
        <v>63614</v>
      </c>
      <c r="K299" s="45">
        <f>ROUND(SUM(Ｎ!K20:K43)/24,0)</f>
        <v>49274</v>
      </c>
      <c r="L299" s="79">
        <f>ROUND(SUM(Ｎ!L20:L43)/24,0)</f>
        <v>14340</v>
      </c>
      <c r="M299" s="45">
        <f>ROUND(SUM(Ｎ!M20:M43)/24,0)</f>
        <v>10122</v>
      </c>
      <c r="N299" s="45">
        <f>ROUND(SUM(Ｎ!N20:N43)/24,0)</f>
        <v>7310</v>
      </c>
      <c r="O299" s="80">
        <f>ROUND(SUM(Ｎ!O20:O43)/24,0)</f>
        <v>2812</v>
      </c>
      <c r="P299" s="48">
        <f>ROUND(SUM(Ｎ!P20:P43)/24,0)</f>
        <v>97373</v>
      </c>
      <c r="Q299" s="45">
        <f>ROUND(SUM(Ｎ!Q20:Q43)/24,0)</f>
        <v>286389</v>
      </c>
      <c r="R299" s="50">
        <f>Ｎ!D299/Ｎ!P299</f>
        <v>0.36502932024277779</v>
      </c>
      <c r="S299" s="51">
        <f>Ｎ!I299/Ｎ!Q299</f>
        <v>0.25746798934316611</v>
      </c>
      <c r="T299" s="52">
        <f>Ｎ!M299/Ｎ!I299</f>
        <v>0.13727351632852339</v>
      </c>
    </row>
    <row r="300" spans="3:20" x14ac:dyDescent="0.2">
      <c r="C300" s="43">
        <v>7</v>
      </c>
      <c r="D300" s="48">
        <f>ROUND(SUM(Ｎ!D21:D44)/24,0)</f>
        <v>35612</v>
      </c>
      <c r="E300" s="55">
        <f>Ｎ!F300+Ｎ!G300</f>
        <v>30642</v>
      </c>
      <c r="F300" s="55">
        <f>Ｎ!D300-Ｎ!H300-Ｎ!G300</f>
        <v>29200</v>
      </c>
      <c r="G300" s="89">
        <f>ROUND(SUM(Ｎ!G21:G44)/24,0)</f>
        <v>1442</v>
      </c>
      <c r="H300" s="90">
        <f>ROUND(SUM(Ｎ!H21:H44)/24,0)</f>
        <v>4970</v>
      </c>
      <c r="I300" s="58">
        <f>ROUND(SUM(Ｎ!I21:I44)/24,0)</f>
        <v>73780</v>
      </c>
      <c r="J300" s="55">
        <f>ROUND(SUM(Ｎ!J21:J44)/24,0)</f>
        <v>63638</v>
      </c>
      <c r="K300" s="55">
        <f>ROUND(SUM(Ｎ!K21:K44)/24,0)</f>
        <v>49222</v>
      </c>
      <c r="L300" s="89">
        <f>ROUND(SUM(Ｎ!L21:L44)/24,0)</f>
        <v>14415</v>
      </c>
      <c r="M300" s="55">
        <f>ROUND(SUM(Ｎ!M21:M44)/24,0)</f>
        <v>10142</v>
      </c>
      <c r="N300" s="55">
        <f>ROUND(SUM(Ｎ!N21:N44)/24,0)</f>
        <v>7325</v>
      </c>
      <c r="O300" s="90">
        <f>ROUND(SUM(Ｎ!O21:O44)/24,0)</f>
        <v>2818</v>
      </c>
      <c r="P300" s="58">
        <f>ROUND(SUM(Ｎ!P21:P44)/24,0)</f>
        <v>97519</v>
      </c>
      <c r="Q300" s="55">
        <f>ROUND(SUM(Ｎ!Q21:Q44)/24,0)</f>
        <v>286552</v>
      </c>
      <c r="R300" s="60">
        <f>Ｎ!D300/Ｎ!P300</f>
        <v>0.36518011874609052</v>
      </c>
      <c r="S300" s="61">
        <f>Ｎ!I300/Ｎ!Q300</f>
        <v>0.25747508305647843</v>
      </c>
      <c r="T300" s="62">
        <f>Ｎ!M300/Ｎ!I300</f>
        <v>0.13746272702629439</v>
      </c>
    </row>
    <row r="301" spans="3:20" x14ac:dyDescent="0.2">
      <c r="C301" s="53">
        <v>8</v>
      </c>
      <c r="D301" s="48">
        <f>ROUND(SUM(Ｎ!D22:D45)/24,0)</f>
        <v>35680</v>
      </c>
      <c r="E301" s="55">
        <f>Ｎ!F301+Ｎ!G301</f>
        <v>30701</v>
      </c>
      <c r="F301" s="55">
        <f>Ｎ!D301-Ｎ!H301-Ｎ!G301</f>
        <v>29255</v>
      </c>
      <c r="G301" s="89">
        <f>ROUND(SUM(Ｎ!G22:G45)/24,0)</f>
        <v>1446</v>
      </c>
      <c r="H301" s="90">
        <f>ROUND(SUM(Ｎ!H22:H45)/24,0)</f>
        <v>4979</v>
      </c>
      <c r="I301" s="58">
        <f>ROUND(SUM(Ｎ!I22:I45)/24,0)</f>
        <v>73825</v>
      </c>
      <c r="J301" s="55">
        <f>ROUND(SUM(Ｎ!J22:J45)/24,0)</f>
        <v>63661</v>
      </c>
      <c r="K301" s="55">
        <f>ROUND(SUM(Ｎ!K22:K45)/24,0)</f>
        <v>49171</v>
      </c>
      <c r="L301" s="89">
        <f>ROUND(SUM(Ｎ!L22:L45)/24,0)</f>
        <v>14491</v>
      </c>
      <c r="M301" s="55">
        <f>ROUND(SUM(Ｎ!M22:M45)/24,0)</f>
        <v>10164</v>
      </c>
      <c r="N301" s="55">
        <f>ROUND(SUM(Ｎ!N22:N45)/24,0)</f>
        <v>7340</v>
      </c>
      <c r="O301" s="90">
        <f>ROUND(SUM(Ｎ!O22:O45)/24,0)</f>
        <v>2824</v>
      </c>
      <c r="P301" s="58">
        <f>ROUND(SUM(Ｎ!P22:P45)/24,0)</f>
        <v>97663</v>
      </c>
      <c r="Q301" s="55">
        <f>ROUND(SUM(Ｎ!Q22:Q45)/24,0)</f>
        <v>286708</v>
      </c>
      <c r="R301" s="60">
        <f>Ｎ!D301/Ｎ!P301</f>
        <v>0.36533794784104523</v>
      </c>
      <c r="S301" s="61">
        <f>Ｎ!I301/Ｎ!Q301</f>
        <v>0.25749194302216888</v>
      </c>
      <c r="T301" s="62">
        <f>Ｎ!M301/Ｎ!I301</f>
        <v>0.13767693870640027</v>
      </c>
    </row>
    <row r="302" spans="3:20" x14ac:dyDescent="0.2">
      <c r="C302" s="53">
        <v>9</v>
      </c>
      <c r="D302" s="58">
        <f>ROUND(SUM(Ｎ!D23:D46)/24,0)</f>
        <v>35751</v>
      </c>
      <c r="E302" s="55">
        <f>Ｎ!F302+Ｎ!G302</f>
        <v>30766</v>
      </c>
      <c r="F302" s="55">
        <f>Ｎ!D302-Ｎ!H302-Ｎ!G302</f>
        <v>29315</v>
      </c>
      <c r="G302" s="89">
        <f>ROUND(SUM(Ｎ!G23:G46)/24,0)</f>
        <v>1451</v>
      </c>
      <c r="H302" s="90">
        <f>ROUND(SUM(Ｎ!H23:H46)/24,0)</f>
        <v>4985</v>
      </c>
      <c r="I302" s="58">
        <f>ROUND(SUM(Ｎ!I23:I46)/24,0)</f>
        <v>73876</v>
      </c>
      <c r="J302" s="55">
        <f>ROUND(SUM(Ｎ!J23:J46)/24,0)</f>
        <v>63694</v>
      </c>
      <c r="K302" s="55">
        <f>ROUND(SUM(Ｎ!K23:K46)/24,0)</f>
        <v>49128</v>
      </c>
      <c r="L302" s="89">
        <f>ROUND(SUM(Ｎ!L23:L46)/24,0)</f>
        <v>14567</v>
      </c>
      <c r="M302" s="55">
        <f>ROUND(SUM(Ｎ!M23:M46)/24,0)</f>
        <v>10181</v>
      </c>
      <c r="N302" s="55">
        <f>ROUND(SUM(Ｎ!N23:N46)/24,0)</f>
        <v>7353</v>
      </c>
      <c r="O302" s="90">
        <f>ROUND(SUM(Ｎ!O23:O46)/24,0)</f>
        <v>2828</v>
      </c>
      <c r="P302" s="58">
        <f>ROUND(SUM(Ｎ!P23:P46)/24,0)</f>
        <v>97809</v>
      </c>
      <c r="Q302" s="55">
        <f>ROUND(SUM(Ｎ!Q23:Q46)/24,0)</f>
        <v>286868</v>
      </c>
      <c r="R302" s="60">
        <f>Ｎ!D302/Ｎ!P302</f>
        <v>0.3655185105665123</v>
      </c>
      <c r="S302" s="61">
        <f>Ｎ!I302/Ｎ!Q302</f>
        <v>0.25752610956955813</v>
      </c>
      <c r="T302" s="62">
        <f>Ｎ!M302/Ｎ!I302</f>
        <v>0.13781200931290269</v>
      </c>
    </row>
    <row r="303" spans="3:20" x14ac:dyDescent="0.2">
      <c r="C303" s="53">
        <v>10</v>
      </c>
      <c r="D303" s="48">
        <f>ROUND(SUM(Ｎ!D24:D47)/24,0)</f>
        <v>35824</v>
      </c>
      <c r="E303" s="45">
        <f>Ｎ!F303+Ｎ!G303</f>
        <v>30833</v>
      </c>
      <c r="F303" s="45">
        <f>Ｎ!D303-Ｎ!H303-Ｎ!G303</f>
        <v>29378</v>
      </c>
      <c r="G303" s="79">
        <f>ROUND(SUM(Ｎ!G24:G47)/24,0)</f>
        <v>1455</v>
      </c>
      <c r="H303" s="80">
        <f>ROUND(SUM(Ｎ!H24:H47)/24,0)</f>
        <v>4991</v>
      </c>
      <c r="I303" s="48">
        <f>ROUND(SUM(Ｎ!I24:I47)/24,0)</f>
        <v>73934</v>
      </c>
      <c r="J303" s="45">
        <f>ROUND(SUM(Ｎ!J24:J47)/24,0)</f>
        <v>63734</v>
      </c>
      <c r="K303" s="45">
        <f>ROUND(SUM(Ｎ!K24:K47)/24,0)</f>
        <v>49089</v>
      </c>
      <c r="L303" s="79">
        <f>ROUND(SUM(Ｎ!L24:L47)/24,0)</f>
        <v>14644</v>
      </c>
      <c r="M303" s="45">
        <f>ROUND(SUM(Ｎ!M24:M47)/24,0)</f>
        <v>10200</v>
      </c>
      <c r="N303" s="45">
        <f>ROUND(SUM(Ｎ!N24:N47)/24,0)</f>
        <v>7367</v>
      </c>
      <c r="O303" s="80">
        <f>ROUND(SUM(Ｎ!O24:O47)/24,0)</f>
        <v>2834</v>
      </c>
      <c r="P303" s="48">
        <f>ROUND(SUM(Ｎ!P24:P47)/24,0)</f>
        <v>97958</v>
      </c>
      <c r="Q303" s="45">
        <f>ROUND(SUM(Ｎ!Q24:Q47)/24,0)</f>
        <v>287034</v>
      </c>
      <c r="R303" s="50">
        <f>Ｎ!D303/Ｎ!P303</f>
        <v>0.36570775230200697</v>
      </c>
      <c r="S303" s="51">
        <f>Ｎ!I303/Ｎ!Q303</f>
        <v>0.2575792414835873</v>
      </c>
      <c r="T303" s="52">
        <f>Ｎ!M303/Ｎ!I303</f>
        <v>0.13796088403170395</v>
      </c>
    </row>
    <row r="304" spans="3:20" x14ac:dyDescent="0.2">
      <c r="C304" s="43">
        <v>11</v>
      </c>
      <c r="D304" s="48">
        <f>ROUND(SUM(Ｎ!D25:D48)/24,0)</f>
        <v>35899</v>
      </c>
      <c r="E304" s="45">
        <f>Ｎ!F304+Ｎ!G304</f>
        <v>30902</v>
      </c>
      <c r="F304" s="45">
        <f>Ｎ!D304-Ｎ!H304-Ｎ!G304</f>
        <v>29442</v>
      </c>
      <c r="G304" s="79">
        <f>ROUND(SUM(Ｎ!G25:G48)/24,0)</f>
        <v>1460</v>
      </c>
      <c r="H304" s="80">
        <f>ROUND(SUM(Ｎ!H25:H48)/24,0)</f>
        <v>4997</v>
      </c>
      <c r="I304" s="48">
        <f>ROUND(SUM(Ｎ!I25:I48)/24,0)</f>
        <v>73996</v>
      </c>
      <c r="J304" s="45">
        <f>ROUND(SUM(Ｎ!J25:J48)/24,0)</f>
        <v>63780</v>
      </c>
      <c r="K304" s="45">
        <f>ROUND(SUM(Ｎ!K25:K48)/24,0)</f>
        <v>49055</v>
      </c>
      <c r="L304" s="79">
        <f>ROUND(SUM(Ｎ!L25:L48)/24,0)</f>
        <v>14725</v>
      </c>
      <c r="M304" s="45">
        <f>ROUND(SUM(Ｎ!M25:M48)/24,0)</f>
        <v>10216</v>
      </c>
      <c r="N304" s="45">
        <f>ROUND(SUM(Ｎ!N25:N48)/24,0)</f>
        <v>7378</v>
      </c>
      <c r="O304" s="80">
        <f>ROUND(SUM(Ｎ!O25:O48)/24,0)</f>
        <v>2838</v>
      </c>
      <c r="P304" s="48">
        <f>ROUND(SUM(Ｎ!P25:P48)/24,0)</f>
        <v>98108</v>
      </c>
      <c r="Q304" s="45">
        <f>ROUND(SUM(Ｎ!Q25:Q48)/24,0)</f>
        <v>287197</v>
      </c>
      <c r="R304" s="50">
        <f>Ｎ!D304/Ｎ!P304</f>
        <v>0.36591307538630896</v>
      </c>
      <c r="S304" s="51">
        <f>Ｎ!I304/Ｎ!Q304</f>
        <v>0.25764893087323337</v>
      </c>
      <c r="T304" s="52">
        <f>Ｎ!M304/Ｎ!I304</f>
        <v>0.13806151683874804</v>
      </c>
    </row>
    <row r="305" spans="3:20" x14ac:dyDescent="0.2">
      <c r="C305" s="43">
        <v>12</v>
      </c>
      <c r="D305" s="48">
        <f>ROUND(SUM(Ｎ!D26:D49)/24,0)</f>
        <v>35971</v>
      </c>
      <c r="E305" s="55">
        <f>Ｎ!F305+Ｎ!G305</f>
        <v>30969</v>
      </c>
      <c r="F305" s="55">
        <f>Ｎ!D305-Ｎ!H305-Ｎ!G305</f>
        <v>29505</v>
      </c>
      <c r="G305" s="89">
        <f>ROUND(SUM(Ｎ!G26:G49)/24,0)</f>
        <v>1464</v>
      </c>
      <c r="H305" s="90">
        <f>ROUND(SUM(Ｎ!H26:H49)/24,0)</f>
        <v>5002</v>
      </c>
      <c r="I305" s="58">
        <f>ROUND(SUM(Ｎ!I26:I49)/24,0)</f>
        <v>74055</v>
      </c>
      <c r="J305" s="55">
        <f>ROUND(SUM(Ｎ!J26:J49)/24,0)</f>
        <v>63824</v>
      </c>
      <c r="K305" s="55">
        <f>ROUND(SUM(Ｎ!K26:K49)/24,0)</f>
        <v>49016</v>
      </c>
      <c r="L305" s="89">
        <f>ROUND(SUM(Ｎ!L26:L49)/24,0)</f>
        <v>14808</v>
      </c>
      <c r="M305" s="55">
        <f>ROUND(SUM(Ｎ!M26:M49)/24,0)</f>
        <v>10231</v>
      </c>
      <c r="N305" s="55">
        <f>ROUND(SUM(Ｎ!N26:N49)/24,0)</f>
        <v>7389</v>
      </c>
      <c r="O305" s="90">
        <f>ROUND(SUM(Ｎ!O26:O49)/24,0)</f>
        <v>2842</v>
      </c>
      <c r="P305" s="58">
        <f>ROUND(SUM(Ｎ!P26:P49)/24,0)</f>
        <v>98253</v>
      </c>
      <c r="Q305" s="55">
        <f>ROUND(SUM(Ｎ!Q26:Q49)/24,0)</f>
        <v>287350</v>
      </c>
      <c r="R305" s="60">
        <f>Ｎ!D305/Ｎ!P305</f>
        <v>0.36610586954087915</v>
      </c>
      <c r="S305" s="61">
        <f>Ｎ!I305/Ｎ!Q305</f>
        <v>0.25771706977553505</v>
      </c>
      <c r="T305" s="62">
        <f>Ｎ!M305/Ｎ!I305</f>
        <v>0.13815407467422861</v>
      </c>
    </row>
    <row r="306" spans="3:20" x14ac:dyDescent="0.2">
      <c r="C306" s="53">
        <v>1</v>
      </c>
      <c r="D306" s="48">
        <f>ROUND(SUM(Ｎ!D27:D50)/24,0)</f>
        <v>36045</v>
      </c>
      <c r="E306" s="45">
        <f>Ｎ!F306+Ｎ!G306</f>
        <v>31037</v>
      </c>
      <c r="F306" s="45">
        <f>Ｎ!D306-Ｎ!H306-Ｎ!G306</f>
        <v>29568</v>
      </c>
      <c r="G306" s="79">
        <f>ROUND(SUM(Ｎ!G27:G50)/24,0)</f>
        <v>1469</v>
      </c>
      <c r="H306" s="80">
        <f>ROUND(SUM(Ｎ!H27:H50)/24,0)</f>
        <v>5008</v>
      </c>
      <c r="I306" s="48">
        <f>ROUND(SUM(Ｎ!I27:I50)/24,0)</f>
        <v>74116</v>
      </c>
      <c r="J306" s="45">
        <f>ROUND(SUM(Ｎ!J27:J50)/24,0)</f>
        <v>63868</v>
      </c>
      <c r="K306" s="45">
        <f>ROUND(SUM(Ｎ!K27:K50)/24,0)</f>
        <v>48977</v>
      </c>
      <c r="L306" s="79">
        <f>ROUND(SUM(Ｎ!L27:L50)/24,0)</f>
        <v>14891</v>
      </c>
      <c r="M306" s="45">
        <f>ROUND(SUM(Ｎ!M27:M50)/24,0)</f>
        <v>10248</v>
      </c>
      <c r="N306" s="45">
        <f>ROUND(SUM(Ｎ!N27:N50)/24,0)</f>
        <v>7402</v>
      </c>
      <c r="O306" s="80">
        <f>ROUND(SUM(Ｎ!O27:O50)/24,0)</f>
        <v>2846</v>
      </c>
      <c r="P306" s="48">
        <f>ROUND(SUM(Ｎ!P27:P50)/24,0)</f>
        <v>98400</v>
      </c>
      <c r="Q306" s="45">
        <f>ROUND(SUM(Ｎ!Q27:Q50)/24,0)</f>
        <v>287506</v>
      </c>
      <c r="R306" s="50">
        <f>Ｎ!D306/Ｎ!P306</f>
        <v>0.36631097560975612</v>
      </c>
      <c r="S306" s="51">
        <f>Ｎ!I306/Ｎ!Q306</f>
        <v>0.25778940265594458</v>
      </c>
      <c r="T306" s="52">
        <f>Ｎ!M306/Ｎ!I306</f>
        <v>0.13826973932754061</v>
      </c>
    </row>
    <row r="307" spans="3:20" x14ac:dyDescent="0.2">
      <c r="C307" s="43">
        <v>2</v>
      </c>
      <c r="D307" s="48">
        <f>ROUND(SUM(Ｎ!D28:D51)/24,0)</f>
        <v>36119</v>
      </c>
      <c r="E307" s="45">
        <f>Ｎ!F307+Ｎ!G307</f>
        <v>31105</v>
      </c>
      <c r="F307" s="45">
        <f>Ｎ!D307-Ｎ!H307-Ｎ!G307</f>
        <v>29632</v>
      </c>
      <c r="G307" s="79">
        <f>ROUND(SUM(Ｎ!G28:G51)/24,0)</f>
        <v>1473</v>
      </c>
      <c r="H307" s="80">
        <f>ROUND(SUM(Ｎ!H28:H51)/24,0)</f>
        <v>5014</v>
      </c>
      <c r="I307" s="48">
        <f>ROUND(SUM(Ｎ!I28:I51)/24,0)</f>
        <v>74180</v>
      </c>
      <c r="J307" s="45">
        <f>ROUND(SUM(Ｎ!J28:J51)/24,0)</f>
        <v>63916</v>
      </c>
      <c r="K307" s="45">
        <f>ROUND(SUM(Ｎ!K28:K51)/24,0)</f>
        <v>48942</v>
      </c>
      <c r="L307" s="79">
        <f>ROUND(SUM(Ｎ!L28:L51)/24,0)</f>
        <v>14975</v>
      </c>
      <c r="M307" s="45">
        <f>ROUND(SUM(Ｎ!M28:M51)/24,0)</f>
        <v>10263</v>
      </c>
      <c r="N307" s="45">
        <f>ROUND(SUM(Ｎ!N28:N51)/24,0)</f>
        <v>7413</v>
      </c>
      <c r="O307" s="80">
        <f>ROUND(SUM(Ｎ!O28:O51)/24,0)</f>
        <v>2850</v>
      </c>
      <c r="P307" s="48">
        <f>ROUND(SUM(Ｎ!P28:P51)/24,0)</f>
        <v>98547</v>
      </c>
      <c r="Q307" s="45">
        <f>ROUND(SUM(Ｎ!Q28:Q51)/24,0)</f>
        <v>287659</v>
      </c>
      <c r="R307" s="50">
        <f>Ｎ!D307/Ｎ!P307</f>
        <v>0.36651546977584298</v>
      </c>
      <c r="S307" s="51">
        <f>Ｎ!I307/Ｎ!Q307</f>
        <v>0.25787477534163716</v>
      </c>
      <c r="T307" s="52">
        <f>Ｎ!M307/Ｎ!I307</f>
        <v>0.13835265570234564</v>
      </c>
    </row>
    <row r="308" spans="3:20" x14ac:dyDescent="0.2">
      <c r="C308" s="91">
        <v>3</v>
      </c>
      <c r="D308" s="92">
        <f>ROUND(SUM(Ｎ!D29:D52)/24,0)</f>
        <v>36195</v>
      </c>
      <c r="E308" s="289">
        <f>Ｎ!F308+Ｎ!G308</f>
        <v>31178</v>
      </c>
      <c r="F308" s="289">
        <f>Ｎ!D308-Ｎ!H308-Ｎ!G308</f>
        <v>29701</v>
      </c>
      <c r="G308" s="290">
        <f>ROUND(SUM(Ｎ!G29:G52)/24,0)</f>
        <v>1477</v>
      </c>
      <c r="H308" s="291">
        <f>ROUND(SUM(Ｎ!H29:H52)/24,0)</f>
        <v>5017</v>
      </c>
      <c r="I308" s="292">
        <f>ROUND(SUM(Ｎ!I29:I52)/24,0)</f>
        <v>74248</v>
      </c>
      <c r="J308" s="289">
        <f>ROUND(SUM(Ｎ!J29:J52)/24,0)</f>
        <v>63974</v>
      </c>
      <c r="K308" s="289">
        <f>ROUND(SUM(Ｎ!K29:K52)/24,0)</f>
        <v>48911</v>
      </c>
      <c r="L308" s="290">
        <f>ROUND(SUM(Ｎ!L29:L52)/24,0)</f>
        <v>15063</v>
      </c>
      <c r="M308" s="289">
        <f>ROUND(SUM(Ｎ!M29:M52)/24,0)</f>
        <v>10273</v>
      </c>
      <c r="N308" s="289">
        <f>ROUND(SUM(Ｎ!N29:N52)/24,0)</f>
        <v>7421</v>
      </c>
      <c r="O308" s="291">
        <f>ROUND(SUM(Ｎ!O29:O52)/24,0)</f>
        <v>2852</v>
      </c>
      <c r="P308" s="292">
        <f>ROUND(SUM(Ｎ!P29:P52)/24,0)</f>
        <v>98689</v>
      </c>
      <c r="Q308" s="289">
        <f>ROUND(SUM(Ｎ!Q29:Q52)/24,0)</f>
        <v>287801</v>
      </c>
      <c r="R308" s="293">
        <f>Ｎ!D308/Ｎ!P308</f>
        <v>0.36675820000202658</v>
      </c>
      <c r="S308" s="294">
        <f>Ｎ!I308/Ｎ!Q308</f>
        <v>0.25798381520564556</v>
      </c>
      <c r="T308" s="295">
        <f>Ｎ!M308/Ｎ!I308</f>
        <v>0.13836062924253853</v>
      </c>
    </row>
    <row r="309" spans="3:20" x14ac:dyDescent="0.2">
      <c r="C309" s="296" t="s">
        <v>2797</v>
      </c>
      <c r="D309" s="297">
        <f>ROUND(SUM(Ｎ!D30:D53)/24,0)</f>
        <v>36278</v>
      </c>
      <c r="E309" s="298">
        <f>Ｎ!F309+Ｎ!G309</f>
        <v>31254</v>
      </c>
      <c r="F309" s="298">
        <f>Ｎ!D309-Ｎ!H309-Ｎ!G309</f>
        <v>29774</v>
      </c>
      <c r="G309" s="299">
        <f>ROUND(SUM(Ｎ!G30:G53)/24,0)</f>
        <v>1480</v>
      </c>
      <c r="H309" s="300">
        <f>ROUND(SUM(Ｎ!H30:H53)/24,0)</f>
        <v>5024</v>
      </c>
      <c r="I309" s="297">
        <f>ROUND(SUM(Ｎ!I30:I53)/24,0)</f>
        <v>74327</v>
      </c>
      <c r="J309" s="298">
        <f>ROUND(SUM(Ｎ!J30:J53)/24,0)</f>
        <v>64037</v>
      </c>
      <c r="K309" s="298">
        <f>ROUND(SUM(Ｎ!K30:K53)/24,0)</f>
        <v>48883</v>
      </c>
      <c r="L309" s="299">
        <f>ROUND(SUM(Ｎ!L30:L53)/24,0)</f>
        <v>15154</v>
      </c>
      <c r="M309" s="298">
        <f>ROUND(SUM(Ｎ!M30:M53)/24,0)</f>
        <v>10289</v>
      </c>
      <c r="N309" s="298">
        <f>ROUND(SUM(Ｎ!N30:N53)/24,0)</f>
        <v>7433</v>
      </c>
      <c r="O309" s="300">
        <f>ROUND(SUM(Ｎ!O30:O53)/24,0)</f>
        <v>2857</v>
      </c>
      <c r="P309" s="297">
        <f>ROUND(SUM(Ｎ!P30:P53)/24,0)</f>
        <v>98834</v>
      </c>
      <c r="Q309" s="298">
        <f>ROUND(SUM(Ｎ!Q30:Q53)/24,0)</f>
        <v>287941</v>
      </c>
      <c r="R309" s="301">
        <f>Ｎ!D309/Ｎ!P309</f>
        <v>0.36705991865147619</v>
      </c>
      <c r="S309" s="302">
        <f>Ｎ!I309/Ｎ!Q309</f>
        <v>0.25813274247154799</v>
      </c>
      <c r="T309" s="303">
        <f>Ｎ!M309/Ｎ!I309</f>
        <v>0.13842883474376741</v>
      </c>
    </row>
    <row r="310" spans="3:20" x14ac:dyDescent="0.2">
      <c r="C310" s="53">
        <v>5</v>
      </c>
      <c r="D310" s="48">
        <f>ROUND(SUM(Ｎ!D31:D54)/24,0)</f>
        <v>36363</v>
      </c>
      <c r="E310" s="45">
        <f>Ｎ!F310+Ｎ!G310</f>
        <v>31332</v>
      </c>
      <c r="F310" s="45">
        <f>Ｎ!D310-Ｎ!H310-Ｎ!G310</f>
        <v>29849</v>
      </c>
      <c r="G310" s="79">
        <f>ROUND(SUM(Ｎ!G31:G54)/24,0)</f>
        <v>1483</v>
      </c>
      <c r="H310" s="80">
        <f>ROUND(SUM(Ｎ!H31:H54)/24,0)</f>
        <v>5031</v>
      </c>
      <c r="I310" s="48">
        <f>ROUND(SUM(Ｎ!I31:I54)/24,0)</f>
        <v>74409</v>
      </c>
      <c r="J310" s="45">
        <f>ROUND(SUM(Ｎ!J31:J54)/24,0)</f>
        <v>64104</v>
      </c>
      <c r="K310" s="45">
        <f>ROUND(SUM(Ｎ!K31:K54)/24,0)</f>
        <v>48857</v>
      </c>
      <c r="L310" s="79">
        <f>ROUND(SUM(Ｎ!L31:L54)/24,0)</f>
        <v>15247</v>
      </c>
      <c r="M310" s="45">
        <f>ROUND(SUM(Ｎ!M31:M54)/24,0)</f>
        <v>10305</v>
      </c>
      <c r="N310" s="45">
        <f>ROUND(SUM(Ｎ!N31:N54)/24,0)</f>
        <v>7444</v>
      </c>
      <c r="O310" s="80">
        <f>ROUND(SUM(Ｎ!O31:O54)/24,0)</f>
        <v>2861</v>
      </c>
      <c r="P310" s="48">
        <f>ROUND(SUM(Ｎ!P31:P54)/24,0)</f>
        <v>98985</v>
      </c>
      <c r="Q310" s="45">
        <f>ROUND(SUM(Ｎ!Q31:Q54)/24,0)</f>
        <v>288086</v>
      </c>
      <c r="R310" s="50">
        <f>Ｎ!D310/Ｎ!P310</f>
        <v>0.36735869071071375</v>
      </c>
      <c r="S310" s="51">
        <f>Ｎ!I310/Ｎ!Q310</f>
        <v>0.25828745582916213</v>
      </c>
      <c r="T310" s="52">
        <f>Ｎ!M310/Ｎ!I310</f>
        <v>0.13849131153489497</v>
      </c>
    </row>
    <row r="311" spans="3:20" x14ac:dyDescent="0.2">
      <c r="C311" s="43">
        <v>6</v>
      </c>
      <c r="D311" s="48">
        <f>ROUND(SUM(Ｎ!D32:D55)/24,0)</f>
        <v>36450</v>
      </c>
      <c r="E311" s="45">
        <f>Ｎ!F311+Ｎ!G311</f>
        <v>31412</v>
      </c>
      <c r="F311" s="45">
        <f>Ｎ!D311-Ｎ!H311-Ｎ!G311</f>
        <v>29925</v>
      </c>
      <c r="G311" s="79">
        <f>ROUND(SUM(Ｎ!G32:G55)/24,0)</f>
        <v>1487</v>
      </c>
      <c r="H311" s="80">
        <f>ROUND(SUM(Ｎ!H32:H55)/24,0)</f>
        <v>5038</v>
      </c>
      <c r="I311" s="48">
        <f>ROUND(SUM(Ｎ!I32:I55)/24,0)</f>
        <v>74498</v>
      </c>
      <c r="J311" s="45">
        <f>ROUND(SUM(Ｎ!J32:J55)/24,0)</f>
        <v>64176</v>
      </c>
      <c r="K311" s="45">
        <f>ROUND(SUM(Ｎ!K32:K55)/24,0)</f>
        <v>48835</v>
      </c>
      <c r="L311" s="79">
        <f>ROUND(SUM(Ｎ!L32:L55)/24,0)</f>
        <v>15341</v>
      </c>
      <c r="M311" s="45">
        <f>ROUND(SUM(Ｎ!M32:M55)/24,0)</f>
        <v>10321</v>
      </c>
      <c r="N311" s="45">
        <f>ROUND(SUM(Ｎ!N32:N55)/24,0)</f>
        <v>7456</v>
      </c>
      <c r="O311" s="80">
        <f>ROUND(SUM(Ｎ!O32:O55)/24,0)</f>
        <v>2865</v>
      </c>
      <c r="P311" s="48">
        <f>ROUND(SUM(Ｎ!P32:P55)/24,0)</f>
        <v>99139</v>
      </c>
      <c r="Q311" s="45">
        <f>ROUND(SUM(Ｎ!Q32:Q55)/24,0)</f>
        <v>288234</v>
      </c>
      <c r="R311" s="50">
        <f>Ｎ!D311/Ｎ!P311</f>
        <v>0.3676656008230868</v>
      </c>
      <c r="S311" s="51">
        <f>Ｎ!I311/Ｎ!Q311</f>
        <v>0.25846360942845048</v>
      </c>
      <c r="T311" s="52">
        <f>Ｎ!M311/Ｎ!I311</f>
        <v>0.13854063196327418</v>
      </c>
    </row>
    <row r="312" spans="3:20" x14ac:dyDescent="0.2">
      <c r="C312" s="43">
        <v>7</v>
      </c>
      <c r="D312" s="48">
        <f>ROUND(SUM(Ｎ!D33:D56)/24,0)</f>
        <v>36541</v>
      </c>
      <c r="E312" s="55">
        <f>Ｎ!F312+Ｎ!G312</f>
        <v>31496</v>
      </c>
      <c r="F312" s="55">
        <f>Ｎ!D312-Ｎ!H312-Ｎ!G312</f>
        <v>30005</v>
      </c>
      <c r="G312" s="89">
        <f>ROUND(SUM(Ｎ!G33:G56)/24,0)</f>
        <v>1491</v>
      </c>
      <c r="H312" s="90">
        <f>ROUND(SUM(Ｎ!H33:H56)/24,0)</f>
        <v>5045</v>
      </c>
      <c r="I312" s="58">
        <f>ROUND(SUM(Ｎ!I33:I56)/24,0)</f>
        <v>74591</v>
      </c>
      <c r="J312" s="55">
        <f>ROUND(SUM(Ｎ!J33:J56)/24,0)</f>
        <v>64252</v>
      </c>
      <c r="K312" s="55">
        <f>ROUND(SUM(Ｎ!K33:K56)/24,0)</f>
        <v>48817</v>
      </c>
      <c r="L312" s="89">
        <f>ROUND(SUM(Ｎ!L33:L56)/24,0)</f>
        <v>15436</v>
      </c>
      <c r="M312" s="55">
        <f>ROUND(SUM(Ｎ!M33:M56)/24,0)</f>
        <v>10339</v>
      </c>
      <c r="N312" s="55">
        <f>ROUND(SUM(Ｎ!N33:N56)/24,0)</f>
        <v>7469</v>
      </c>
      <c r="O312" s="90">
        <f>ROUND(SUM(Ｎ!O33:O56)/24,0)</f>
        <v>2870</v>
      </c>
      <c r="P312" s="58">
        <f>ROUND(SUM(Ｎ!P33:P56)/24,0)</f>
        <v>99294</v>
      </c>
      <c r="Q312" s="55">
        <f>ROUND(SUM(Ｎ!Q33:Q56)/24,0)</f>
        <v>288379</v>
      </c>
      <c r="R312" s="60">
        <f>Ｎ!D312/Ｎ!P312</f>
        <v>0.36800813745039984</v>
      </c>
      <c r="S312" s="61">
        <f>Ｎ!I312/Ｎ!Q312</f>
        <v>0.25865614347785382</v>
      </c>
      <c r="T312" s="62">
        <f>Ｎ!M312/Ｎ!I312</f>
        <v>0.13860921558901207</v>
      </c>
    </row>
    <row r="313" spans="3:20" x14ac:dyDescent="0.2">
      <c r="C313" s="53">
        <v>8</v>
      </c>
      <c r="D313" s="48">
        <f>ROUND(SUM(Ｎ!D34:D57)/24,0)</f>
        <v>36635</v>
      </c>
      <c r="E313" s="55">
        <f>Ｎ!F313+Ｎ!G313</f>
        <v>31582</v>
      </c>
      <c r="F313" s="55">
        <f>Ｎ!D313-Ｎ!H313-Ｎ!G313</f>
        <v>30088</v>
      </c>
      <c r="G313" s="89">
        <f>ROUND(SUM(Ｎ!G34:G57)/24,0)</f>
        <v>1494</v>
      </c>
      <c r="H313" s="90">
        <f>ROUND(SUM(Ｎ!H34:H57)/24,0)</f>
        <v>5053</v>
      </c>
      <c r="I313" s="58">
        <f>ROUND(SUM(Ｎ!I34:I57)/24,0)</f>
        <v>74692</v>
      </c>
      <c r="J313" s="55">
        <f>ROUND(SUM(Ｎ!J34:J57)/24,0)</f>
        <v>64337</v>
      </c>
      <c r="K313" s="55">
        <f>ROUND(SUM(Ｎ!K34:K57)/24,0)</f>
        <v>48805</v>
      </c>
      <c r="L313" s="89">
        <f>ROUND(SUM(Ｎ!L34:L57)/24,0)</f>
        <v>15532</v>
      </c>
      <c r="M313" s="55">
        <f>ROUND(SUM(Ｎ!M34:M57)/24,0)</f>
        <v>10355</v>
      </c>
      <c r="N313" s="55">
        <f>ROUND(SUM(Ｎ!N34:N57)/24,0)</f>
        <v>7481</v>
      </c>
      <c r="O313" s="90">
        <f>ROUND(SUM(Ｎ!O34:O57)/24,0)</f>
        <v>2874</v>
      </c>
      <c r="P313" s="58">
        <f>ROUND(SUM(Ｎ!P34:P57)/24,0)</f>
        <v>99446</v>
      </c>
      <c r="Q313" s="55">
        <f>ROUND(SUM(Ｎ!Q34:Q57)/24,0)</f>
        <v>288520</v>
      </c>
      <c r="R313" s="60">
        <f>Ｎ!D313/Ｎ!P313</f>
        <v>0.36839088550570159</v>
      </c>
      <c r="S313" s="61">
        <f>Ｎ!I313/Ｎ!Q313</f>
        <v>0.25887980036046027</v>
      </c>
      <c r="T313" s="62">
        <f>Ｎ!M313/Ｎ!I313</f>
        <v>0.13863599850050876</v>
      </c>
    </row>
    <row r="314" spans="3:20" x14ac:dyDescent="0.2">
      <c r="C314" s="53">
        <v>9</v>
      </c>
      <c r="D314" s="58">
        <f>ROUND(SUM(Ｎ!D35:D58)/24,0)</f>
        <v>36730</v>
      </c>
      <c r="E314" s="55">
        <f>Ｎ!F314+Ｎ!G314</f>
        <v>31667</v>
      </c>
      <c r="F314" s="55">
        <f>Ｎ!D314-Ｎ!H314-Ｎ!G314</f>
        <v>30170</v>
      </c>
      <c r="G314" s="89">
        <f>ROUND(SUM(Ｎ!G35:G58)/24,0)</f>
        <v>1497</v>
      </c>
      <c r="H314" s="90">
        <f>ROUND(SUM(Ｎ!H35:H58)/24,0)</f>
        <v>5063</v>
      </c>
      <c r="I314" s="58">
        <f>ROUND(SUM(Ｎ!I35:I58)/24,0)</f>
        <v>74794</v>
      </c>
      <c r="J314" s="55">
        <f>ROUND(SUM(Ｎ!J35:J58)/24,0)</f>
        <v>64421</v>
      </c>
      <c r="K314" s="55">
        <f>ROUND(SUM(Ｎ!K35:K58)/24,0)</f>
        <v>48791</v>
      </c>
      <c r="L314" s="89">
        <f>ROUND(SUM(Ｎ!L35:L58)/24,0)</f>
        <v>15630</v>
      </c>
      <c r="M314" s="55">
        <f>ROUND(SUM(Ｎ!M35:M58)/24,0)</f>
        <v>10374</v>
      </c>
      <c r="N314" s="55">
        <f>ROUND(SUM(Ｎ!N35:N58)/24,0)</f>
        <v>7495</v>
      </c>
      <c r="O314" s="90">
        <f>ROUND(SUM(Ｎ!O35:O58)/24,0)</f>
        <v>2879</v>
      </c>
      <c r="P314" s="58">
        <f>ROUND(SUM(Ｎ!P35:P58)/24,0)</f>
        <v>99596</v>
      </c>
      <c r="Q314" s="55">
        <f>ROUND(SUM(Ｎ!Q35:Q58)/24,0)</f>
        <v>288662</v>
      </c>
      <c r="R314" s="60">
        <f>Ｎ!D314/Ｎ!P314</f>
        <v>0.3687899112414153</v>
      </c>
      <c r="S314" s="61">
        <f>Ｎ!I314/Ｎ!Q314</f>
        <v>0.25910580540563011</v>
      </c>
      <c r="T314" s="62">
        <f>Ｎ!M314/Ｎ!I314</f>
        <v>0.13870096531807363</v>
      </c>
    </row>
    <row r="315" spans="3:20" x14ac:dyDescent="0.2">
      <c r="C315" s="53">
        <v>10</v>
      </c>
      <c r="D315" s="48">
        <f>ROUND(SUM(Ｎ!D36:D59)/24,0)</f>
        <v>36826</v>
      </c>
      <c r="E315" s="45">
        <f>Ｎ!F315+Ｎ!G315</f>
        <v>31754</v>
      </c>
      <c r="F315" s="45">
        <f>Ｎ!D315-Ｎ!H315-Ｎ!G315</f>
        <v>30254</v>
      </c>
      <c r="G315" s="79">
        <f>ROUND(SUM(Ｎ!G36:G59)/24,0)</f>
        <v>1500</v>
      </c>
      <c r="H315" s="80">
        <f>ROUND(SUM(Ｎ!H36:H59)/24,0)</f>
        <v>5072</v>
      </c>
      <c r="I315" s="48">
        <f>ROUND(SUM(Ｎ!I36:I59)/24,0)</f>
        <v>74899</v>
      </c>
      <c r="J315" s="45">
        <f>ROUND(SUM(Ｎ!J36:J59)/24,0)</f>
        <v>64508</v>
      </c>
      <c r="K315" s="45">
        <f>ROUND(SUM(Ｎ!K36:K59)/24,0)</f>
        <v>48778</v>
      </c>
      <c r="L315" s="79">
        <f>ROUND(SUM(Ｎ!L36:L59)/24,0)</f>
        <v>15729</v>
      </c>
      <c r="M315" s="45">
        <f>ROUND(SUM(Ｎ!M36:M59)/24,0)</f>
        <v>10392</v>
      </c>
      <c r="N315" s="45">
        <f>ROUND(SUM(Ｎ!N36:N59)/24,0)</f>
        <v>7507</v>
      </c>
      <c r="O315" s="80">
        <f>ROUND(SUM(Ｎ!O36:O59)/24,0)</f>
        <v>2884</v>
      </c>
      <c r="P315" s="48">
        <f>ROUND(SUM(Ｎ!P36:P59)/24,0)</f>
        <v>99744</v>
      </c>
      <c r="Q315" s="45">
        <f>ROUND(SUM(Ｎ!Q36:Q59)/24,0)</f>
        <v>288798</v>
      </c>
      <c r="R315" s="50">
        <f>Ｎ!D315/Ｎ!P315</f>
        <v>0.36920516522297081</v>
      </c>
      <c r="S315" s="51">
        <f>Ｎ!I315/Ｎ!Q315</f>
        <v>0.25934736390141205</v>
      </c>
      <c r="T315" s="52">
        <f>Ｎ!M315/Ｎ!I315</f>
        <v>0.13874684575227975</v>
      </c>
    </row>
    <row r="316" spans="3:20" x14ac:dyDescent="0.2">
      <c r="C316" s="43">
        <v>11</v>
      </c>
      <c r="D316" s="48">
        <f>ROUND(SUM(Ｎ!D37:D60)/24,0)</f>
        <v>36921</v>
      </c>
      <c r="E316" s="45">
        <f>Ｎ!F316+Ｎ!G316</f>
        <v>31839</v>
      </c>
      <c r="F316" s="45">
        <f>Ｎ!D316-Ｎ!H316-Ｎ!G316</f>
        <v>30337</v>
      </c>
      <c r="G316" s="79">
        <f>ROUND(SUM(Ｎ!G37:G60)/24,0)</f>
        <v>1502</v>
      </c>
      <c r="H316" s="80">
        <f>ROUND(SUM(Ｎ!H37:H60)/24,0)</f>
        <v>5082</v>
      </c>
      <c r="I316" s="48">
        <f>ROUND(SUM(Ｎ!I37:I60)/24,0)</f>
        <v>75006</v>
      </c>
      <c r="J316" s="45">
        <f>ROUND(SUM(Ｎ!J37:J60)/24,0)</f>
        <v>64593</v>
      </c>
      <c r="K316" s="45">
        <f>ROUND(SUM(Ｎ!K37:K60)/24,0)</f>
        <v>48766</v>
      </c>
      <c r="L316" s="79">
        <f>ROUND(SUM(Ｎ!L37:L60)/24,0)</f>
        <v>15828</v>
      </c>
      <c r="M316" s="45">
        <f>ROUND(SUM(Ｎ!M37:M60)/24,0)</f>
        <v>10412</v>
      </c>
      <c r="N316" s="45">
        <f>ROUND(SUM(Ｎ!N37:N60)/24,0)</f>
        <v>7522</v>
      </c>
      <c r="O316" s="80">
        <f>ROUND(SUM(Ｎ!O37:O60)/24,0)</f>
        <v>2891</v>
      </c>
      <c r="P316" s="48">
        <f>ROUND(SUM(Ｎ!P37:P60)/24,0)</f>
        <v>99889</v>
      </c>
      <c r="Q316" s="45">
        <f>ROUND(SUM(Ｎ!Q37:Q60)/24,0)</f>
        <v>288928</v>
      </c>
      <c r="R316" s="50">
        <f>Ｎ!D316/Ｎ!P316</f>
        <v>0.36962027850914514</v>
      </c>
      <c r="S316" s="51">
        <f>Ｎ!I316/Ｎ!Q316</f>
        <v>0.25960100786355078</v>
      </c>
      <c r="T316" s="52">
        <f>Ｎ!M316/Ｎ!I316</f>
        <v>0.13881556142175291</v>
      </c>
    </row>
    <row r="317" spans="3:20" x14ac:dyDescent="0.2">
      <c r="C317" s="43">
        <v>12</v>
      </c>
      <c r="D317" s="48">
        <f>ROUND(SUM(Ｎ!D38:D61)/24,0)</f>
        <v>37018</v>
      </c>
      <c r="E317" s="55">
        <f>Ｎ!F317+Ｎ!G317</f>
        <v>31925</v>
      </c>
      <c r="F317" s="55">
        <f>Ｎ!D317-Ｎ!H317-Ｎ!G317</f>
        <v>30420</v>
      </c>
      <c r="G317" s="89">
        <f>ROUND(SUM(Ｎ!G38:G61)/24,0)</f>
        <v>1505</v>
      </c>
      <c r="H317" s="90">
        <f>ROUND(SUM(Ｎ!H38:H61)/24,0)</f>
        <v>5093</v>
      </c>
      <c r="I317" s="58">
        <f>ROUND(SUM(Ｎ!I38:I61)/24,0)</f>
        <v>75115</v>
      </c>
      <c r="J317" s="55">
        <f>ROUND(SUM(Ｎ!J38:J61)/24,0)</f>
        <v>64681</v>
      </c>
      <c r="K317" s="55">
        <f>ROUND(SUM(Ｎ!K38:K61)/24,0)</f>
        <v>48756</v>
      </c>
      <c r="L317" s="89">
        <f>ROUND(SUM(Ｎ!L38:L61)/24,0)</f>
        <v>15925</v>
      </c>
      <c r="M317" s="55">
        <f>ROUND(SUM(Ｎ!M38:M61)/24,0)</f>
        <v>10435</v>
      </c>
      <c r="N317" s="55">
        <f>ROUND(SUM(Ｎ!N38:N61)/24,0)</f>
        <v>7537</v>
      </c>
      <c r="O317" s="90">
        <f>ROUND(SUM(Ｎ!O38:O61)/24,0)</f>
        <v>2898</v>
      </c>
      <c r="P317" s="58">
        <f>ROUND(SUM(Ｎ!P38:P61)/24,0)</f>
        <v>100035</v>
      </c>
      <c r="Q317" s="55">
        <f>ROUND(SUM(Ｎ!Q38:Q61)/24,0)</f>
        <v>289057</v>
      </c>
      <c r="R317" s="60">
        <f>Ｎ!D317/Ｎ!P317</f>
        <v>0.37005048233118409</v>
      </c>
      <c r="S317" s="61">
        <f>Ｎ!I317/Ｎ!Q317</f>
        <v>0.2598622417031935</v>
      </c>
      <c r="T317" s="62">
        <f>Ｎ!M317/Ｎ!I317</f>
        <v>0.13892032217266859</v>
      </c>
    </row>
    <row r="318" spans="3:20" x14ac:dyDescent="0.2">
      <c r="C318" s="53">
        <v>1</v>
      </c>
      <c r="D318" s="48">
        <f>ROUND(SUM(Ｎ!D39:D62)/24,0)</f>
        <v>37115</v>
      </c>
      <c r="E318" s="45">
        <f>Ｎ!F318+Ｎ!G318</f>
        <v>32011</v>
      </c>
      <c r="F318" s="45">
        <f>Ｎ!D318-Ｎ!H318-Ｎ!G318</f>
        <v>30503</v>
      </c>
      <c r="G318" s="79">
        <f>ROUND(SUM(Ｎ!G39:G62)/24,0)</f>
        <v>1508</v>
      </c>
      <c r="H318" s="80">
        <f>ROUND(SUM(Ｎ!H39:H62)/24,0)</f>
        <v>5104</v>
      </c>
      <c r="I318" s="48">
        <f>ROUND(SUM(Ｎ!I39:I62)/24,0)</f>
        <v>75224</v>
      </c>
      <c r="J318" s="45">
        <f>ROUND(SUM(Ｎ!J39:J62)/24,0)</f>
        <v>64768</v>
      </c>
      <c r="K318" s="45">
        <f>ROUND(SUM(Ｎ!K39:K62)/24,0)</f>
        <v>48747</v>
      </c>
      <c r="L318" s="79">
        <f>ROUND(SUM(Ｎ!L39:L62)/24,0)</f>
        <v>16021</v>
      </c>
      <c r="M318" s="45">
        <f>ROUND(SUM(Ｎ!M39:M62)/24,0)</f>
        <v>10456</v>
      </c>
      <c r="N318" s="45">
        <f>ROUND(SUM(Ｎ!N39:N62)/24,0)</f>
        <v>7551</v>
      </c>
      <c r="O318" s="80">
        <f>ROUND(SUM(Ｎ!O39:O62)/24,0)</f>
        <v>2904</v>
      </c>
      <c r="P318" s="48">
        <f>ROUND(SUM(Ｎ!P39:P62)/24,0)</f>
        <v>100178</v>
      </c>
      <c r="Q318" s="45">
        <f>ROUND(SUM(Ｎ!Q39:Q62)/24,0)</f>
        <v>289176</v>
      </c>
      <c r="R318" s="50">
        <f>Ｎ!D318/Ｎ!P318</f>
        <v>0.37049052686218531</v>
      </c>
      <c r="S318" s="51">
        <f>Ｎ!I318/Ｎ!Q318</f>
        <v>0.26013223780673361</v>
      </c>
      <c r="T318" s="52">
        <f>Ｎ!M318/Ｎ!I318</f>
        <v>0.1389981920663618</v>
      </c>
    </row>
    <row r="319" spans="3:20" x14ac:dyDescent="0.2">
      <c r="C319" s="43">
        <v>2</v>
      </c>
      <c r="D319" s="48">
        <f>ROUND(SUM(Ｎ!D40:D63)/24,0)</f>
        <v>37211</v>
      </c>
      <c r="E319" s="45">
        <f>Ｎ!F319+Ｎ!G319</f>
        <v>32096</v>
      </c>
      <c r="F319" s="45">
        <f>Ｎ!D319-Ｎ!H319-Ｎ!G319</f>
        <v>30584</v>
      </c>
      <c r="G319" s="79">
        <f>ROUND(SUM(Ｎ!G40:G63)/24,0)</f>
        <v>1512</v>
      </c>
      <c r="H319" s="80">
        <f>ROUND(SUM(Ｎ!H40:H63)/24,0)</f>
        <v>5115</v>
      </c>
      <c r="I319" s="48">
        <f>ROUND(SUM(Ｎ!I40:I63)/24,0)</f>
        <v>75335</v>
      </c>
      <c r="J319" s="45">
        <f>ROUND(SUM(Ｎ!J40:J63)/24,0)</f>
        <v>64856</v>
      </c>
      <c r="K319" s="45">
        <f>ROUND(SUM(Ｎ!K40:K63)/24,0)</f>
        <v>48740</v>
      </c>
      <c r="L319" s="79">
        <f>ROUND(SUM(Ｎ!L40:L63)/24,0)</f>
        <v>16116</v>
      </c>
      <c r="M319" s="45">
        <f>ROUND(SUM(Ｎ!M40:M63)/24,0)</f>
        <v>10479</v>
      </c>
      <c r="N319" s="45">
        <f>ROUND(SUM(Ｎ!N40:N63)/24,0)</f>
        <v>7567</v>
      </c>
      <c r="O319" s="80">
        <f>ROUND(SUM(Ｎ!O40:O63)/24,0)</f>
        <v>2912</v>
      </c>
      <c r="P319" s="48">
        <f>ROUND(SUM(Ｎ!P40:P63)/24,0)</f>
        <v>100317</v>
      </c>
      <c r="Q319" s="45">
        <f>ROUND(SUM(Ｎ!Q40:Q63)/24,0)</f>
        <v>289288</v>
      </c>
      <c r="R319" s="50">
        <f>Ｎ!D319/Ｎ!P319</f>
        <v>0.3709341387800672</v>
      </c>
      <c r="S319" s="51">
        <f>Ｎ!I319/Ｎ!Q319</f>
        <v>0.26041522634882885</v>
      </c>
      <c r="T319" s="52">
        <f>Ｎ!M319/Ｎ!I319</f>
        <v>0.13909869250680296</v>
      </c>
    </row>
    <row r="320" spans="3:20" x14ac:dyDescent="0.2">
      <c r="C320" s="91">
        <v>3</v>
      </c>
      <c r="D320" s="92">
        <f>ROUND(SUM(Ｎ!D41:D64)/24,0)</f>
        <v>37308</v>
      </c>
      <c r="E320" s="289">
        <f>Ｎ!F320+Ｎ!G320</f>
        <v>32179</v>
      </c>
      <c r="F320" s="289">
        <f>Ｎ!D320-Ｎ!H320-Ｎ!G320</f>
        <v>30664</v>
      </c>
      <c r="G320" s="290">
        <f>ROUND(SUM(Ｎ!G41:G64)/24,0)</f>
        <v>1515</v>
      </c>
      <c r="H320" s="291">
        <f>ROUND(SUM(Ｎ!H41:H64)/24,0)</f>
        <v>5129</v>
      </c>
      <c r="I320" s="292">
        <f>ROUND(SUM(Ｎ!I41:I64)/24,0)</f>
        <v>75449</v>
      </c>
      <c r="J320" s="289">
        <f>ROUND(SUM(Ｎ!J41:J64)/24,0)</f>
        <v>64942</v>
      </c>
      <c r="K320" s="289">
        <f>ROUND(SUM(Ｎ!K41:K64)/24,0)</f>
        <v>48732</v>
      </c>
      <c r="L320" s="290">
        <f>ROUND(SUM(Ｎ!L41:L64)/24,0)</f>
        <v>16211</v>
      </c>
      <c r="M320" s="289">
        <f>ROUND(SUM(Ｎ!M41:M64)/24,0)</f>
        <v>10507</v>
      </c>
      <c r="N320" s="289">
        <f>ROUND(SUM(Ｎ!N41:N64)/24,0)</f>
        <v>7586</v>
      </c>
      <c r="O320" s="291">
        <f>ROUND(SUM(Ｎ!O41:O64)/24,0)</f>
        <v>2921</v>
      </c>
      <c r="P320" s="292">
        <f>ROUND(SUM(Ｎ!P41:P64)/24,0)</f>
        <v>100452</v>
      </c>
      <c r="Q320" s="289">
        <f>ROUND(SUM(Ｎ!Q41:Q64)/24,0)</f>
        <v>289393</v>
      </c>
      <c r="R320" s="293">
        <f>Ｎ!D320/Ｎ!P320</f>
        <v>0.37140126627643055</v>
      </c>
      <c r="S320" s="294">
        <f>Ｎ!I320/Ｎ!Q320</f>
        <v>0.26071466828845202</v>
      </c>
      <c r="T320" s="295">
        <f>Ｎ!M320/Ｎ!I320</f>
        <v>0.13925963233442457</v>
      </c>
    </row>
    <row r="321" spans="3:20" x14ac:dyDescent="0.2">
      <c r="C321" s="296" t="s">
        <v>2798</v>
      </c>
      <c r="D321" s="297">
        <f>ROUND(SUM(Ｎ!D42:D65)/24,0)</f>
        <v>37411</v>
      </c>
      <c r="E321" s="298">
        <f>Ｎ!F321+Ｎ!G321</f>
        <v>32268</v>
      </c>
      <c r="F321" s="298">
        <f>Ｎ!D321-Ｎ!H321-Ｎ!G321</f>
        <v>30748</v>
      </c>
      <c r="G321" s="299">
        <f>ROUND(SUM(Ｎ!G42:G65)/24,0)</f>
        <v>1520</v>
      </c>
      <c r="H321" s="300">
        <f>ROUND(SUM(Ｎ!H42:H65)/24,0)</f>
        <v>5143</v>
      </c>
      <c r="I321" s="297">
        <f>ROUND(SUM(Ｎ!I42:I65)/24,0)</f>
        <v>75572</v>
      </c>
      <c r="J321" s="298">
        <f>ROUND(SUM(Ｎ!J42:J65)/24,0)</f>
        <v>65034</v>
      </c>
      <c r="K321" s="298">
        <f>ROUND(SUM(Ｎ!K42:K65)/24,0)</f>
        <v>48728</v>
      </c>
      <c r="L321" s="299">
        <f>ROUND(SUM(Ｎ!L42:L65)/24,0)</f>
        <v>16306</v>
      </c>
      <c r="M321" s="298">
        <f>ROUND(SUM(Ｎ!M42:M65)/24,0)</f>
        <v>10538</v>
      </c>
      <c r="N321" s="298">
        <f>ROUND(SUM(Ｎ!N42:N65)/24,0)</f>
        <v>7608</v>
      </c>
      <c r="O321" s="300">
        <f>ROUND(SUM(Ｎ!O42:O65)/24,0)</f>
        <v>2930</v>
      </c>
      <c r="P321" s="297">
        <f>ROUND(SUM(Ｎ!P42:P65)/24,0)</f>
        <v>100589</v>
      </c>
      <c r="Q321" s="298">
        <f>ROUND(SUM(Ｎ!Q42:Q65)/24,0)</f>
        <v>289496</v>
      </c>
      <c r="R321" s="301">
        <f>Ｎ!D321/Ｎ!P321</f>
        <v>0.3719193947648351</v>
      </c>
      <c r="S321" s="302">
        <f>Ｎ!I321/Ｎ!Q321</f>
        <v>0.26104678475695692</v>
      </c>
      <c r="T321" s="303">
        <f>Ｎ!M321/Ｎ!I321</f>
        <v>0.13944318001376171</v>
      </c>
    </row>
    <row r="322" spans="3:20" x14ac:dyDescent="0.2">
      <c r="C322" s="53">
        <v>5</v>
      </c>
      <c r="D322" s="48">
        <f>ROUND(SUM(Ｎ!D43:D66)/24,0)</f>
        <v>37514</v>
      </c>
      <c r="E322" s="45">
        <f>Ｎ!F322+Ｎ!G322</f>
        <v>32355</v>
      </c>
      <c r="F322" s="45">
        <f>Ｎ!D322-Ｎ!H322-Ｎ!G322</f>
        <v>30831</v>
      </c>
      <c r="G322" s="79">
        <f>ROUND(SUM(Ｎ!G43:G66)/24,0)</f>
        <v>1524</v>
      </c>
      <c r="H322" s="80">
        <f>ROUND(SUM(Ｎ!H43:H66)/24,0)</f>
        <v>5159</v>
      </c>
      <c r="I322" s="48">
        <f>ROUND(SUM(Ｎ!I43:I66)/24,0)</f>
        <v>75695</v>
      </c>
      <c r="J322" s="45">
        <f>ROUND(SUM(Ｎ!J43:J66)/24,0)</f>
        <v>65127</v>
      </c>
      <c r="K322" s="45">
        <f>ROUND(SUM(Ｎ!K43:K66)/24,0)</f>
        <v>48726</v>
      </c>
      <c r="L322" s="79">
        <f>ROUND(SUM(Ｎ!L43:L66)/24,0)</f>
        <v>16402</v>
      </c>
      <c r="M322" s="45">
        <f>ROUND(SUM(Ｎ!M43:M66)/24,0)</f>
        <v>10568</v>
      </c>
      <c r="N322" s="45">
        <f>ROUND(SUM(Ｎ!N43:N66)/24,0)</f>
        <v>7629</v>
      </c>
      <c r="O322" s="80">
        <f>ROUND(SUM(Ｎ!O43:O66)/24,0)</f>
        <v>2938</v>
      </c>
      <c r="P322" s="48">
        <f>ROUND(SUM(Ｎ!P43:P66)/24,0)</f>
        <v>100723</v>
      </c>
      <c r="Q322" s="45">
        <f>ROUND(SUM(Ｎ!Q43:Q66)/24,0)</f>
        <v>289598</v>
      </c>
      <c r="R322" s="50">
        <f>Ｎ!D322/Ｎ!P322</f>
        <v>0.37244720669559089</v>
      </c>
      <c r="S322" s="51">
        <f>Ｎ!I322/Ｎ!Q322</f>
        <v>0.26137956753844988</v>
      </c>
      <c r="T322" s="52">
        <f>Ｎ!M322/Ｎ!I322</f>
        <v>0.13961292027214478</v>
      </c>
    </row>
    <row r="323" spans="3:20" x14ac:dyDescent="0.2">
      <c r="C323" s="43">
        <v>6</v>
      </c>
      <c r="D323" s="48">
        <f>ROUND(SUM(Ｎ!D44:D67)/24,0)</f>
        <v>37617</v>
      </c>
      <c r="E323" s="45">
        <f>Ｎ!F323+Ｎ!G323</f>
        <v>32444</v>
      </c>
      <c r="F323" s="45">
        <f>Ｎ!D323-Ｎ!H323-Ｎ!G323</f>
        <v>30915</v>
      </c>
      <c r="G323" s="79">
        <f>ROUND(SUM(Ｎ!G44:G67)/24,0)</f>
        <v>1529</v>
      </c>
      <c r="H323" s="80">
        <f>ROUND(SUM(Ｎ!H44:H67)/24,0)</f>
        <v>5173</v>
      </c>
      <c r="I323" s="48">
        <f>ROUND(SUM(Ｎ!I44:I67)/24,0)</f>
        <v>75821</v>
      </c>
      <c r="J323" s="45">
        <f>ROUND(SUM(Ｎ!J44:J67)/24,0)</f>
        <v>65224</v>
      </c>
      <c r="K323" s="45">
        <f>ROUND(SUM(Ｎ!K44:K67)/24,0)</f>
        <v>48726</v>
      </c>
      <c r="L323" s="79">
        <f>ROUND(SUM(Ｎ!L44:L67)/24,0)</f>
        <v>16498</v>
      </c>
      <c r="M323" s="45">
        <f>ROUND(SUM(Ｎ!M44:M67)/24,0)</f>
        <v>10598</v>
      </c>
      <c r="N323" s="45">
        <f>ROUND(SUM(Ｎ!N44:N67)/24,0)</f>
        <v>7651</v>
      </c>
      <c r="O323" s="80">
        <f>ROUND(SUM(Ｎ!O44:O67)/24,0)</f>
        <v>2947</v>
      </c>
      <c r="P323" s="48">
        <f>ROUND(SUM(Ｎ!P44:P67)/24,0)</f>
        <v>100857</v>
      </c>
      <c r="Q323" s="45">
        <f>ROUND(SUM(Ｎ!Q44:Q67)/24,0)</f>
        <v>289693</v>
      </c>
      <c r="R323" s="50">
        <f>Ｎ!D323/Ｎ!P323</f>
        <v>0.37297361610993784</v>
      </c>
      <c r="S323" s="51">
        <f>Ｎ!I323/Ｎ!Q323</f>
        <v>0.26172879565609108</v>
      </c>
      <c r="T323" s="52">
        <f>Ｎ!M323/Ｎ!I323</f>
        <v>0.13977657904802099</v>
      </c>
    </row>
    <row r="324" spans="3:20" x14ac:dyDescent="0.2">
      <c r="C324" s="43">
        <v>7</v>
      </c>
      <c r="D324" s="48">
        <f>ROUND(SUM(Ｎ!D45:D68)/24,0)</f>
        <v>37721</v>
      </c>
      <c r="E324" s="55">
        <f>Ｎ!F324+Ｎ!G324</f>
        <v>32532</v>
      </c>
      <c r="F324" s="55">
        <f>Ｎ!D324-Ｎ!H324-Ｎ!G324</f>
        <v>30998</v>
      </c>
      <c r="G324" s="89">
        <f>ROUND(SUM(Ｎ!G45:G68)/24,0)</f>
        <v>1534</v>
      </c>
      <c r="H324" s="90">
        <f>ROUND(SUM(Ｎ!H45:H68)/24,0)</f>
        <v>5189</v>
      </c>
      <c r="I324" s="58">
        <f>ROUND(SUM(Ｎ!I45:I68)/24,0)</f>
        <v>75951</v>
      </c>
      <c r="J324" s="55">
        <f>ROUND(SUM(Ｎ!J45:J68)/24,0)</f>
        <v>65321</v>
      </c>
      <c r="K324" s="55">
        <f>ROUND(SUM(Ｎ!K45:K68)/24,0)</f>
        <v>48727</v>
      </c>
      <c r="L324" s="89">
        <f>ROUND(SUM(Ｎ!L45:L68)/24,0)</f>
        <v>16593</v>
      </c>
      <c r="M324" s="55">
        <f>ROUND(SUM(Ｎ!M45:M68)/24,0)</f>
        <v>10631</v>
      </c>
      <c r="N324" s="55">
        <f>ROUND(SUM(Ｎ!N45:N68)/24,0)</f>
        <v>7674</v>
      </c>
      <c r="O324" s="90">
        <f>ROUND(SUM(Ｎ!O45:O68)/24,0)</f>
        <v>2957</v>
      </c>
      <c r="P324" s="58">
        <f>ROUND(SUM(Ｎ!P45:P68)/24,0)</f>
        <v>100988</v>
      </c>
      <c r="Q324" s="55">
        <f>ROUND(SUM(Ｎ!Q45:Q68)/24,0)</f>
        <v>289793</v>
      </c>
      <c r="R324" s="60">
        <f>Ｎ!D324/Ｎ!P324</f>
        <v>0.37351962609418943</v>
      </c>
      <c r="S324" s="61">
        <f>Ｎ!I324/Ｎ!Q324</f>
        <v>0.26208707594731412</v>
      </c>
      <c r="T324" s="62">
        <f>Ｎ!M324/Ｎ!I324</f>
        <v>0.13997182393911864</v>
      </c>
    </row>
    <row r="325" spans="3:20" x14ac:dyDescent="0.2">
      <c r="C325" s="53">
        <v>8</v>
      </c>
      <c r="D325" s="48">
        <f>ROUND(SUM(Ｎ!D46:D69)/24,0)</f>
        <v>37828</v>
      </c>
      <c r="E325" s="55">
        <f>Ｎ!F325+Ｎ!G325</f>
        <v>32624</v>
      </c>
      <c r="F325" s="55">
        <f>Ｎ!D325-Ｎ!H325-Ｎ!G325</f>
        <v>31085</v>
      </c>
      <c r="G325" s="89">
        <f>ROUND(SUM(Ｎ!G46:G69)/24,0)</f>
        <v>1539</v>
      </c>
      <c r="H325" s="90">
        <f>ROUND(SUM(Ｎ!H46:H69)/24,0)</f>
        <v>5204</v>
      </c>
      <c r="I325" s="58">
        <f>ROUND(SUM(Ｎ!I46:I69)/24,0)</f>
        <v>76085</v>
      </c>
      <c r="J325" s="55">
        <f>ROUND(SUM(Ｎ!J46:J69)/24,0)</f>
        <v>65422</v>
      </c>
      <c r="K325" s="55">
        <f>ROUND(SUM(Ｎ!K46:K69)/24,0)</f>
        <v>48731</v>
      </c>
      <c r="L325" s="89">
        <f>ROUND(SUM(Ｎ!L46:L69)/24,0)</f>
        <v>16692</v>
      </c>
      <c r="M325" s="55">
        <f>ROUND(SUM(Ｎ!M46:M69)/24,0)</f>
        <v>10662</v>
      </c>
      <c r="N325" s="55">
        <f>ROUND(SUM(Ｎ!N46:N69)/24,0)</f>
        <v>7696</v>
      </c>
      <c r="O325" s="90">
        <f>ROUND(SUM(Ｎ!O46:O69)/24,0)</f>
        <v>2966</v>
      </c>
      <c r="P325" s="58">
        <f>ROUND(SUM(Ｎ!P46:P69)/24,0)</f>
        <v>101116</v>
      </c>
      <c r="Q325" s="55">
        <f>ROUND(SUM(Ｎ!Q46:Q69)/24,0)</f>
        <v>289891</v>
      </c>
      <c r="R325" s="60">
        <f>Ｎ!D325/Ｎ!P325</f>
        <v>0.37410498833023459</v>
      </c>
      <c r="S325" s="61">
        <f>Ｎ!I325/Ｎ!Q325</f>
        <v>0.26246071799400467</v>
      </c>
      <c r="T325" s="62">
        <f>Ｎ!M325/Ｎ!I325</f>
        <v>0.14013274627061839</v>
      </c>
    </row>
    <row r="326" spans="3:20" x14ac:dyDescent="0.2">
      <c r="C326" s="53">
        <v>9</v>
      </c>
      <c r="D326" s="58">
        <f>ROUND(SUM(Ｎ!D47:D70)/24,0)</f>
        <v>37935</v>
      </c>
      <c r="E326" s="55">
        <f>Ｎ!F326+Ｎ!G326</f>
        <v>32714</v>
      </c>
      <c r="F326" s="55">
        <f>Ｎ!D326-Ｎ!H326-Ｎ!G326</f>
        <v>31169</v>
      </c>
      <c r="G326" s="89">
        <f>ROUND(SUM(Ｎ!G47:G70)/24,0)</f>
        <v>1545</v>
      </c>
      <c r="H326" s="90">
        <f>ROUND(SUM(Ｎ!H47:H70)/24,0)</f>
        <v>5221</v>
      </c>
      <c r="I326" s="58">
        <f>ROUND(SUM(Ｎ!I47:I70)/24,0)</f>
        <v>76220</v>
      </c>
      <c r="J326" s="55">
        <f>ROUND(SUM(Ｎ!J47:J70)/24,0)</f>
        <v>65520</v>
      </c>
      <c r="K326" s="55">
        <f>ROUND(SUM(Ｎ!K47:K70)/24,0)</f>
        <v>48729</v>
      </c>
      <c r="L326" s="89">
        <f>ROUND(SUM(Ｎ!L47:L70)/24,0)</f>
        <v>16791</v>
      </c>
      <c r="M326" s="55">
        <f>ROUND(SUM(Ｎ!M47:M70)/24,0)</f>
        <v>10699</v>
      </c>
      <c r="N326" s="55">
        <f>ROUND(SUM(Ｎ!N47:N70)/24,0)</f>
        <v>7721</v>
      </c>
      <c r="O326" s="90">
        <f>ROUND(SUM(Ｎ!O47:O70)/24,0)</f>
        <v>2978</v>
      </c>
      <c r="P326" s="58">
        <f>ROUND(SUM(Ｎ!P47:P70)/24,0)</f>
        <v>101244</v>
      </c>
      <c r="Q326" s="55">
        <f>ROUND(SUM(Ｎ!Q47:Q70)/24,0)</f>
        <v>289991</v>
      </c>
      <c r="R326" s="60">
        <f>Ｎ!D326/Ｎ!P326</f>
        <v>0.37468887045158233</v>
      </c>
      <c r="S326" s="61">
        <f>Ｎ!I326/Ｎ!Q326</f>
        <v>0.26283574317823655</v>
      </c>
      <c r="T326" s="62">
        <f>Ｎ!M326/Ｎ!I326</f>
        <v>0.14036998163211756</v>
      </c>
    </row>
    <row r="327" spans="3:20" x14ac:dyDescent="0.2">
      <c r="C327" s="53">
        <v>10</v>
      </c>
      <c r="D327" s="48">
        <f>ROUND(SUM(Ｎ!D48:D71)/24,0)</f>
        <v>38041</v>
      </c>
      <c r="E327" s="45">
        <f>Ｎ!F327+Ｎ!G327</f>
        <v>32803</v>
      </c>
      <c r="F327" s="45">
        <f>Ｎ!D327-Ｎ!H327-Ｎ!G327</f>
        <v>31253</v>
      </c>
      <c r="G327" s="79">
        <f>ROUND(SUM(Ｎ!G48:G71)/24,0)</f>
        <v>1550</v>
      </c>
      <c r="H327" s="80">
        <f>ROUND(SUM(Ｎ!H48:H71)/24,0)</f>
        <v>5238</v>
      </c>
      <c r="I327" s="48">
        <f>ROUND(SUM(Ｎ!I48:I71)/24,0)</f>
        <v>76355</v>
      </c>
      <c r="J327" s="45">
        <f>ROUND(SUM(Ｎ!J48:J71)/24,0)</f>
        <v>65619</v>
      </c>
      <c r="K327" s="45">
        <f>ROUND(SUM(Ｎ!K48:K71)/24,0)</f>
        <v>48730</v>
      </c>
      <c r="L327" s="79">
        <f>ROUND(SUM(Ｎ!L48:L71)/24,0)</f>
        <v>16889</v>
      </c>
      <c r="M327" s="45">
        <f>ROUND(SUM(Ｎ!M48:M71)/24,0)</f>
        <v>10735</v>
      </c>
      <c r="N327" s="45">
        <f>ROUND(SUM(Ｎ!N48:N71)/24,0)</f>
        <v>7745</v>
      </c>
      <c r="O327" s="80">
        <f>ROUND(SUM(Ｎ!O48:O71)/24,0)</f>
        <v>2990</v>
      </c>
      <c r="P327" s="48">
        <f>ROUND(SUM(Ｎ!P48:P71)/24,0)</f>
        <v>101370</v>
      </c>
      <c r="Q327" s="45">
        <f>ROUND(SUM(Ｎ!Q48:Q71)/24,0)</f>
        <v>290085</v>
      </c>
      <c r="R327" s="50">
        <f>Ｎ!D327/Ｎ!P327</f>
        <v>0.37526881720430105</v>
      </c>
      <c r="S327" s="51">
        <f>Ｎ!I327/Ｎ!Q327</f>
        <v>0.26321595394453351</v>
      </c>
      <c r="T327" s="52">
        <f>Ｎ!M327/Ｎ!I327</f>
        <v>0.14059328138301355</v>
      </c>
    </row>
    <row r="328" spans="3:20" x14ac:dyDescent="0.2">
      <c r="C328" s="43">
        <v>11</v>
      </c>
      <c r="D328" s="48">
        <f>ROUND(SUM(Ｎ!D49:D72)/24,0)</f>
        <v>38148</v>
      </c>
      <c r="E328" s="45">
        <f>Ｎ!F328+Ｎ!G328</f>
        <v>32894</v>
      </c>
      <c r="F328" s="45">
        <f>Ｎ!D328-Ｎ!H328-Ｎ!G328</f>
        <v>31338</v>
      </c>
      <c r="G328" s="79">
        <f>ROUND(SUM(Ｎ!G49:G72)/24,0)</f>
        <v>1556</v>
      </c>
      <c r="H328" s="80">
        <f>ROUND(SUM(Ｎ!H49:H72)/24,0)</f>
        <v>5254</v>
      </c>
      <c r="I328" s="48">
        <f>ROUND(SUM(Ｎ!I49:I72)/24,0)</f>
        <v>76491</v>
      </c>
      <c r="J328" s="45">
        <f>ROUND(SUM(Ｎ!J49:J72)/24,0)</f>
        <v>65721</v>
      </c>
      <c r="K328" s="45">
        <f>ROUND(SUM(Ｎ!K49:K72)/24,0)</f>
        <v>48735</v>
      </c>
      <c r="L328" s="79">
        <f>ROUND(SUM(Ｎ!L49:L72)/24,0)</f>
        <v>16986</v>
      </c>
      <c r="M328" s="45">
        <f>ROUND(SUM(Ｎ!M49:M72)/24,0)</f>
        <v>10771</v>
      </c>
      <c r="N328" s="45">
        <f>ROUND(SUM(Ｎ!N49:N72)/24,0)</f>
        <v>7769</v>
      </c>
      <c r="O328" s="80">
        <f>ROUND(SUM(Ｎ!O49:O72)/24,0)</f>
        <v>3002</v>
      </c>
      <c r="P328" s="48">
        <f>ROUND(SUM(Ｎ!P49:P72)/24,0)</f>
        <v>101497</v>
      </c>
      <c r="Q328" s="45">
        <f>ROUND(SUM(Ｎ!Q49:Q72)/24,0)</f>
        <v>290182</v>
      </c>
      <c r="R328" s="50">
        <f>Ｎ!D328/Ｎ!P328</f>
        <v>0.37585347350167986</v>
      </c>
      <c r="S328" s="51">
        <f>Ｎ!I328/Ｎ!Q328</f>
        <v>0.26359663935047661</v>
      </c>
      <c r="T328" s="52">
        <f>Ｎ!M328/Ｎ!I328</f>
        <v>0.1408139519682054</v>
      </c>
    </row>
    <row r="329" spans="3:20" x14ac:dyDescent="0.2">
      <c r="C329" s="43">
        <v>12</v>
      </c>
      <c r="D329" s="48">
        <f>ROUND(SUM(Ｎ!D50:D73)/24,0)</f>
        <v>38257</v>
      </c>
      <c r="E329" s="55">
        <f>Ｎ!F329+Ｎ!G329</f>
        <v>32987</v>
      </c>
      <c r="F329" s="55">
        <f>Ｎ!D329-Ｎ!H329-Ｎ!G329</f>
        <v>31424</v>
      </c>
      <c r="G329" s="89">
        <f>ROUND(SUM(Ｎ!G50:G73)/24,0)</f>
        <v>1563</v>
      </c>
      <c r="H329" s="90">
        <f>ROUND(SUM(Ｎ!H50:H73)/24,0)</f>
        <v>5270</v>
      </c>
      <c r="I329" s="58">
        <f>ROUND(SUM(Ｎ!I50:I73)/24,0)</f>
        <v>76630</v>
      </c>
      <c r="J329" s="55">
        <f>ROUND(SUM(Ｎ!J50:J73)/24,0)</f>
        <v>65822</v>
      </c>
      <c r="K329" s="55">
        <f>ROUND(SUM(Ｎ!K50:K73)/24,0)</f>
        <v>48740</v>
      </c>
      <c r="L329" s="89">
        <f>ROUND(SUM(Ｎ!L50:L73)/24,0)</f>
        <v>17082</v>
      </c>
      <c r="M329" s="55">
        <f>ROUND(SUM(Ｎ!M50:M73)/24,0)</f>
        <v>10808</v>
      </c>
      <c r="N329" s="55">
        <f>ROUND(SUM(Ｎ!N50:N73)/24,0)</f>
        <v>7795</v>
      </c>
      <c r="O329" s="90">
        <f>ROUND(SUM(Ｎ!O50:O73)/24,0)</f>
        <v>3013</v>
      </c>
      <c r="P329" s="58">
        <f>ROUND(SUM(Ｎ!P50:P73)/24,0)</f>
        <v>101628</v>
      </c>
      <c r="Q329" s="55">
        <f>ROUND(SUM(Ｎ!Q50:Q73)/24,0)</f>
        <v>290288</v>
      </c>
      <c r="R329" s="60">
        <f>Ｎ!D329/Ｎ!P329</f>
        <v>0.37644153186129808</v>
      </c>
      <c r="S329" s="61">
        <f>Ｎ!I329/Ｎ!Q329</f>
        <v>0.263979220636058</v>
      </c>
      <c r="T329" s="62">
        <f>Ｎ!M329/Ｎ!I329</f>
        <v>0.14104136761059638</v>
      </c>
    </row>
    <row r="330" spans="3:20" x14ac:dyDescent="0.2">
      <c r="C330" s="53">
        <v>1</v>
      </c>
      <c r="D330" s="48">
        <f>ROUND(SUM(Ｎ!D51:D74)/24,0)</f>
        <v>38367</v>
      </c>
      <c r="E330" s="45">
        <f>Ｎ!F330+Ｎ!G330</f>
        <v>33081</v>
      </c>
      <c r="F330" s="45">
        <f>Ｎ!D330-Ｎ!H330-Ｎ!G330</f>
        <v>31511</v>
      </c>
      <c r="G330" s="79">
        <f>ROUND(SUM(Ｎ!G51:G74)/24,0)</f>
        <v>1570</v>
      </c>
      <c r="H330" s="80">
        <f>ROUND(SUM(Ｎ!H51:H74)/24,0)</f>
        <v>5286</v>
      </c>
      <c r="I330" s="48">
        <f>ROUND(SUM(Ｎ!I51:I74)/24,0)</f>
        <v>76772</v>
      </c>
      <c r="J330" s="45">
        <f>ROUND(SUM(Ｎ!J51:J74)/24,0)</f>
        <v>65928</v>
      </c>
      <c r="K330" s="45">
        <f>ROUND(SUM(Ｎ!K51:K74)/24,0)</f>
        <v>48752</v>
      </c>
      <c r="L330" s="79">
        <f>ROUND(SUM(Ｎ!L51:L74)/24,0)</f>
        <v>17176</v>
      </c>
      <c r="M330" s="45">
        <f>ROUND(SUM(Ｎ!M51:M74)/24,0)</f>
        <v>10844</v>
      </c>
      <c r="N330" s="45">
        <f>ROUND(SUM(Ｎ!N51:N74)/24,0)</f>
        <v>7819</v>
      </c>
      <c r="O330" s="80">
        <f>ROUND(SUM(Ｎ!O51:O74)/24,0)</f>
        <v>3024</v>
      </c>
      <c r="P330" s="48">
        <f>ROUND(SUM(Ｎ!P51:P74)/24,0)</f>
        <v>101757</v>
      </c>
      <c r="Q330" s="45">
        <f>ROUND(SUM(Ｎ!Q51:Q74)/24,0)</f>
        <v>290392</v>
      </c>
      <c r="R330" s="50">
        <f>Ｎ!D330/Ｎ!P330</f>
        <v>0.37704531383590317</v>
      </c>
      <c r="S330" s="51">
        <f>Ｎ!I330/Ｎ!Q330</f>
        <v>0.26437367420590097</v>
      </c>
      <c r="T330" s="52">
        <f>Ｎ!M330/Ｎ!I330</f>
        <v>0.14124941384879905</v>
      </c>
    </row>
    <row r="331" spans="3:20" x14ac:dyDescent="0.2">
      <c r="C331" s="43">
        <v>2</v>
      </c>
      <c r="D331" s="48">
        <f>ROUND(SUM(Ｎ!D52:D75)/24,0)</f>
        <v>38479</v>
      </c>
      <c r="E331" s="45">
        <f>Ｎ!F331+Ｎ!G331</f>
        <v>33176</v>
      </c>
      <c r="F331" s="45">
        <f>Ｎ!D331-Ｎ!H331-Ｎ!G331</f>
        <v>31599</v>
      </c>
      <c r="G331" s="79">
        <f>ROUND(SUM(Ｎ!G52:G75)/24,0)</f>
        <v>1577</v>
      </c>
      <c r="H331" s="80">
        <f>ROUND(SUM(Ｎ!H52:H75)/24,0)</f>
        <v>5303</v>
      </c>
      <c r="I331" s="48">
        <f>ROUND(SUM(Ｎ!I52:I75)/24,0)</f>
        <v>76919</v>
      </c>
      <c r="J331" s="45">
        <f>ROUND(SUM(Ｎ!J52:J75)/24,0)</f>
        <v>66037</v>
      </c>
      <c r="K331" s="45">
        <f>ROUND(SUM(Ｎ!K52:K75)/24,0)</f>
        <v>48765</v>
      </c>
      <c r="L331" s="79">
        <f>ROUND(SUM(Ｎ!L52:L75)/24,0)</f>
        <v>17271</v>
      </c>
      <c r="M331" s="45">
        <f>ROUND(SUM(Ｎ!M52:M75)/24,0)</f>
        <v>10882</v>
      </c>
      <c r="N331" s="45">
        <f>ROUND(SUM(Ｎ!N52:N75)/24,0)</f>
        <v>7846</v>
      </c>
      <c r="O331" s="80">
        <f>ROUND(SUM(Ｎ!O52:O75)/24,0)</f>
        <v>3037</v>
      </c>
      <c r="P331" s="48">
        <f>ROUND(SUM(Ｎ!P52:P75)/24,0)</f>
        <v>101889</v>
      </c>
      <c r="Q331" s="45">
        <f>ROUND(SUM(Ｎ!Q52:Q75)/24,0)</f>
        <v>290498</v>
      </c>
      <c r="R331" s="50">
        <f>Ｎ!D331/Ｎ!P331</f>
        <v>0.37765607671093054</v>
      </c>
      <c r="S331" s="51">
        <f>Ｎ!I331/Ｎ!Q331</f>
        <v>0.26478323430798145</v>
      </c>
      <c r="T331" s="52">
        <f>Ｎ!M331/Ｎ!I331</f>
        <v>0.14147349809539905</v>
      </c>
    </row>
    <row r="332" spans="3:20" x14ac:dyDescent="0.2">
      <c r="C332" s="91">
        <v>3</v>
      </c>
      <c r="D332" s="92">
        <f>ROUND(SUM(Ｎ!D53:D76)/24,0)</f>
        <v>38592</v>
      </c>
      <c r="E332" s="289">
        <f>Ｎ!F332+Ｎ!G332</f>
        <v>33269</v>
      </c>
      <c r="F332" s="289">
        <f>Ｎ!D332-Ｎ!H332-Ｎ!G332</f>
        <v>31684</v>
      </c>
      <c r="G332" s="290">
        <f>ROUND(SUM(Ｎ!G53:G76)/24,0)</f>
        <v>1585</v>
      </c>
      <c r="H332" s="291">
        <f>ROUND(SUM(Ｎ!H53:H76)/24,0)</f>
        <v>5323</v>
      </c>
      <c r="I332" s="292">
        <f>ROUND(SUM(Ｎ!I53:I76)/24,0)</f>
        <v>77067</v>
      </c>
      <c r="J332" s="289">
        <f>ROUND(SUM(Ｎ!J53:J76)/24,0)</f>
        <v>66139</v>
      </c>
      <c r="K332" s="289">
        <f>ROUND(SUM(Ｎ!K53:K76)/24,0)</f>
        <v>48773</v>
      </c>
      <c r="L332" s="290">
        <f>ROUND(SUM(Ｎ!L53:L76)/24,0)</f>
        <v>17365</v>
      </c>
      <c r="M332" s="289">
        <f>ROUND(SUM(Ｎ!M53:M76)/24,0)</f>
        <v>10928</v>
      </c>
      <c r="N332" s="289">
        <f>ROUND(SUM(Ｎ!N53:N76)/24,0)</f>
        <v>7876</v>
      </c>
      <c r="O332" s="291">
        <f>ROUND(SUM(Ｎ!O53:O76)/24,0)</f>
        <v>3052</v>
      </c>
      <c r="P332" s="292">
        <f>ROUND(SUM(Ｎ!P53:P76)/24,0)</f>
        <v>102027</v>
      </c>
      <c r="Q332" s="289">
        <f>ROUND(SUM(Ｎ!Q53:Q76)/24,0)</f>
        <v>290608</v>
      </c>
      <c r="R332" s="293">
        <f>Ｎ!D332/Ｎ!P332</f>
        <v>0.37825281543120937</v>
      </c>
      <c r="S332" s="294">
        <f>Ｎ!I332/Ｎ!Q332</f>
        <v>0.26519228651654464</v>
      </c>
      <c r="T332" s="295">
        <f>Ｎ!M332/Ｎ!I332</f>
        <v>0.14179869464232422</v>
      </c>
    </row>
    <row r="333" spans="3:20" x14ac:dyDescent="0.2">
      <c r="C333" s="296" t="s">
        <v>2799</v>
      </c>
      <c r="D333" s="297">
        <f>ROUND(SUM(Ｎ!D54:D77)/24,0)</f>
        <v>38705</v>
      </c>
      <c r="E333" s="298">
        <f>Ｎ!F333+Ｎ!G333</f>
        <v>33364</v>
      </c>
      <c r="F333" s="298">
        <f>Ｎ!D333-Ｎ!H333-Ｎ!G333</f>
        <v>31770</v>
      </c>
      <c r="G333" s="299">
        <f>ROUND(SUM(Ｎ!G54:G77)/24,0)</f>
        <v>1594</v>
      </c>
      <c r="H333" s="300">
        <f>ROUND(SUM(Ｎ!H54:H77)/24,0)</f>
        <v>5341</v>
      </c>
      <c r="I333" s="297">
        <f>ROUND(SUM(Ｎ!I54:I77)/24,0)</f>
        <v>77224</v>
      </c>
      <c r="J333" s="298">
        <f>ROUND(SUM(Ｎ!J54:J77)/24,0)</f>
        <v>66251</v>
      </c>
      <c r="K333" s="298">
        <f>ROUND(SUM(Ｎ!K54:K77)/24,0)</f>
        <v>48790</v>
      </c>
      <c r="L333" s="299">
        <f>ROUND(SUM(Ｎ!L54:L77)/24,0)</f>
        <v>17460</v>
      </c>
      <c r="M333" s="298">
        <f>ROUND(SUM(Ｎ!M54:M77)/24,0)</f>
        <v>10974</v>
      </c>
      <c r="N333" s="298">
        <f>ROUND(SUM(Ｎ!N54:N77)/24,0)</f>
        <v>7907</v>
      </c>
      <c r="O333" s="300">
        <f>ROUND(SUM(Ｎ!O54:O77)/24,0)</f>
        <v>3066</v>
      </c>
      <c r="P333" s="297">
        <f>ROUND(SUM(Ｎ!P54:P77)/24,0)</f>
        <v>102164</v>
      </c>
      <c r="Q333" s="298">
        <f>ROUND(SUM(Ｎ!Q54:Q77)/24,0)</f>
        <v>290719</v>
      </c>
      <c r="R333" s="301">
        <f>Ｎ!D333/Ｎ!P333</f>
        <v>0.37885165028777262</v>
      </c>
      <c r="S333" s="302">
        <f>Ｎ!I333/Ｎ!Q333</f>
        <v>0.2656310733044624</v>
      </c>
      <c r="T333" s="303">
        <f>Ｎ!M333/Ｎ!I333</f>
        <v>0.14210608101108463</v>
      </c>
    </row>
    <row r="334" spans="3:20" x14ac:dyDescent="0.2">
      <c r="C334" s="53">
        <v>5</v>
      </c>
      <c r="D334" s="48">
        <f>ROUND(SUM(Ｎ!D55:D78)/24,0)</f>
        <v>38821</v>
      </c>
      <c r="E334" s="45">
        <f>Ｎ!F334+Ｎ!G334</f>
        <v>33463</v>
      </c>
      <c r="F334" s="45">
        <f>Ｎ!D334-Ｎ!H334-Ｎ!G334</f>
        <v>31859</v>
      </c>
      <c r="G334" s="79">
        <f>ROUND(SUM(Ｎ!G55:G78)/24,0)</f>
        <v>1604</v>
      </c>
      <c r="H334" s="80">
        <f>ROUND(SUM(Ｎ!H55:H78)/24,0)</f>
        <v>5358</v>
      </c>
      <c r="I334" s="48">
        <f>ROUND(SUM(Ｎ!I55:I78)/24,0)</f>
        <v>77390</v>
      </c>
      <c r="J334" s="45">
        <f>ROUND(SUM(Ｎ!J55:J78)/24,0)</f>
        <v>66372</v>
      </c>
      <c r="K334" s="45">
        <f>ROUND(SUM(Ｎ!K55:K78)/24,0)</f>
        <v>48816</v>
      </c>
      <c r="L334" s="79">
        <f>ROUND(SUM(Ｎ!L55:L78)/24,0)</f>
        <v>17556</v>
      </c>
      <c r="M334" s="45">
        <f>ROUND(SUM(Ｎ!M55:M78)/24,0)</f>
        <v>11018</v>
      </c>
      <c r="N334" s="45">
        <f>ROUND(SUM(Ｎ!N55:N78)/24,0)</f>
        <v>7938</v>
      </c>
      <c r="O334" s="80">
        <f>ROUND(SUM(Ｎ!O55:O78)/24,0)</f>
        <v>3080</v>
      </c>
      <c r="P334" s="48">
        <f>ROUND(SUM(Ｎ!P55:P78)/24,0)</f>
        <v>102296</v>
      </c>
      <c r="Q334" s="45">
        <f>ROUND(SUM(Ｎ!Q55:Q78)/24,0)</f>
        <v>290828</v>
      </c>
      <c r="R334" s="50">
        <f>Ｎ!D334/Ｎ!P334</f>
        <v>0.3794967545163056</v>
      </c>
      <c r="S334" s="51">
        <f>Ｎ!I334/Ｎ!Q334</f>
        <v>0.2661023010164083</v>
      </c>
      <c r="T334" s="52">
        <f>Ｎ!M334/Ｎ!I334</f>
        <v>0.14236981522160486</v>
      </c>
    </row>
    <row r="335" spans="3:20" x14ac:dyDescent="0.2">
      <c r="C335" s="43">
        <v>6</v>
      </c>
      <c r="D335" s="48">
        <f>ROUND(SUM(Ｎ!D56:D79)/24,0)</f>
        <v>38939</v>
      </c>
      <c r="E335" s="45">
        <f>Ｎ!F335+Ｎ!G335</f>
        <v>33563</v>
      </c>
      <c r="F335" s="45">
        <f>Ｎ!D335-Ｎ!H335-Ｎ!G335</f>
        <v>31950</v>
      </c>
      <c r="G335" s="79">
        <f>ROUND(SUM(Ｎ!G56:G79)/24,0)</f>
        <v>1613</v>
      </c>
      <c r="H335" s="80">
        <f>ROUND(SUM(Ｎ!H56:H79)/24,0)</f>
        <v>5376</v>
      </c>
      <c r="I335" s="48">
        <f>ROUND(SUM(Ｎ!I56:I79)/24,0)</f>
        <v>77562</v>
      </c>
      <c r="J335" s="45">
        <f>ROUND(SUM(Ｎ!J56:J79)/24,0)</f>
        <v>66500</v>
      </c>
      <c r="K335" s="45">
        <f>ROUND(SUM(Ｎ!K56:K79)/24,0)</f>
        <v>48846</v>
      </c>
      <c r="L335" s="79">
        <f>ROUND(SUM(Ｎ!L56:L79)/24,0)</f>
        <v>17654</v>
      </c>
      <c r="M335" s="45">
        <f>ROUND(SUM(Ｎ!M56:M79)/24,0)</f>
        <v>11062</v>
      </c>
      <c r="N335" s="45">
        <f>ROUND(SUM(Ｎ!N56:N79)/24,0)</f>
        <v>7967</v>
      </c>
      <c r="O335" s="80">
        <f>ROUND(SUM(Ｎ!O56:O79)/24,0)</f>
        <v>3095</v>
      </c>
      <c r="P335" s="48">
        <f>ROUND(SUM(Ｎ!P56:P79)/24,0)</f>
        <v>102423</v>
      </c>
      <c r="Q335" s="45">
        <f>ROUND(SUM(Ｎ!Q56:Q79)/24,0)</f>
        <v>290931</v>
      </c>
      <c r="R335" s="50">
        <f>Ｎ!D335/Ｎ!P335</f>
        <v>0.38017828026908018</v>
      </c>
      <c r="S335" s="51">
        <f>Ｎ!I335/Ｎ!Q335</f>
        <v>0.26659929674046423</v>
      </c>
      <c r="T335" s="52">
        <f>Ｎ!M335/Ｎ!I335</f>
        <v>0.1426213867615585</v>
      </c>
    </row>
    <row r="336" spans="3:20" x14ac:dyDescent="0.2">
      <c r="C336" s="43">
        <v>7</v>
      </c>
      <c r="D336" s="48">
        <f>ROUND(SUM(Ｎ!D57:D80)/24,0)</f>
        <v>39060</v>
      </c>
      <c r="E336" s="55">
        <f>Ｎ!F336+Ｎ!G336</f>
        <v>33666</v>
      </c>
      <c r="F336" s="55">
        <f>Ｎ!D336-Ｎ!H336-Ｎ!G336</f>
        <v>32043</v>
      </c>
      <c r="G336" s="89">
        <f>ROUND(SUM(Ｎ!G57:G80)/24,0)</f>
        <v>1623</v>
      </c>
      <c r="H336" s="90">
        <f>ROUND(SUM(Ｎ!H57:H80)/24,0)</f>
        <v>5394</v>
      </c>
      <c r="I336" s="58">
        <f>ROUND(SUM(Ｎ!I57:I80)/24,0)</f>
        <v>77744</v>
      </c>
      <c r="J336" s="55">
        <f>ROUND(SUM(Ｎ!J57:J80)/24,0)</f>
        <v>66636</v>
      </c>
      <c r="K336" s="55">
        <f>ROUND(SUM(Ｎ!K57:K80)/24,0)</f>
        <v>48884</v>
      </c>
      <c r="L336" s="89">
        <f>ROUND(SUM(Ｎ!L57:L80)/24,0)</f>
        <v>17752</v>
      </c>
      <c r="M336" s="55">
        <f>ROUND(SUM(Ｎ!M57:M80)/24,0)</f>
        <v>11109</v>
      </c>
      <c r="N336" s="55">
        <f>ROUND(SUM(Ｎ!N57:N80)/24,0)</f>
        <v>7999</v>
      </c>
      <c r="O336" s="90">
        <f>ROUND(SUM(Ｎ!O57:O80)/24,0)</f>
        <v>3110</v>
      </c>
      <c r="P336" s="58">
        <f>ROUND(SUM(Ｎ!P57:P80)/24,0)</f>
        <v>102545</v>
      </c>
      <c r="Q336" s="55">
        <f>ROUND(SUM(Ｎ!Q57:Q80)/24,0)</f>
        <v>291026</v>
      </c>
      <c r="R336" s="60">
        <f>Ｎ!D336/Ｎ!P336</f>
        <v>0.38090594373202008</v>
      </c>
      <c r="S336" s="61">
        <f>Ｎ!I336/Ｎ!Q336</f>
        <v>0.26713764405929369</v>
      </c>
      <c r="T336" s="62">
        <f>Ｎ!M336/Ｎ!I336</f>
        <v>0.14289205597859642</v>
      </c>
    </row>
    <row r="337" spans="3:20" x14ac:dyDescent="0.2">
      <c r="C337" s="53">
        <v>8</v>
      </c>
      <c r="D337" s="48">
        <f>ROUND(SUM(Ｎ!D58:D81)/24,0)</f>
        <v>39180</v>
      </c>
      <c r="E337" s="55">
        <f>Ｎ!F337+Ｎ!G337</f>
        <v>33768</v>
      </c>
      <c r="F337" s="55">
        <f>Ｎ!D337-Ｎ!H337-Ｎ!G337</f>
        <v>32134</v>
      </c>
      <c r="G337" s="89">
        <f>ROUND(SUM(Ｎ!G58:G81)/24,0)</f>
        <v>1634</v>
      </c>
      <c r="H337" s="90">
        <f>ROUND(SUM(Ｎ!H58:H81)/24,0)</f>
        <v>5412</v>
      </c>
      <c r="I337" s="58">
        <f>ROUND(SUM(Ｎ!I58:I81)/24,0)</f>
        <v>77929</v>
      </c>
      <c r="J337" s="55">
        <f>ROUND(SUM(Ｎ!J58:J81)/24,0)</f>
        <v>66772</v>
      </c>
      <c r="K337" s="55">
        <f>ROUND(SUM(Ｎ!K58:K81)/24,0)</f>
        <v>48923</v>
      </c>
      <c r="L337" s="89">
        <f>ROUND(SUM(Ｎ!L58:L81)/24,0)</f>
        <v>17849</v>
      </c>
      <c r="M337" s="55">
        <f>ROUND(SUM(Ｎ!M58:M81)/24,0)</f>
        <v>11157</v>
      </c>
      <c r="N337" s="55">
        <f>ROUND(SUM(Ｎ!N58:N81)/24,0)</f>
        <v>8032</v>
      </c>
      <c r="O337" s="90">
        <f>ROUND(SUM(Ｎ!O58:O81)/24,0)</f>
        <v>3125</v>
      </c>
      <c r="P337" s="58">
        <f>ROUND(SUM(Ｎ!P58:P81)/24,0)</f>
        <v>102664</v>
      </c>
      <c r="Q337" s="55">
        <f>ROUND(SUM(Ｎ!Q58:Q81)/24,0)</f>
        <v>291120</v>
      </c>
      <c r="R337" s="60">
        <f>Ｎ!D337/Ｎ!P337</f>
        <v>0.38163328917634226</v>
      </c>
      <c r="S337" s="61">
        <f>Ｎ!I337/Ｎ!Q337</f>
        <v>0.26768686452322066</v>
      </c>
      <c r="T337" s="62">
        <f>Ｎ!M337/Ｎ!I337</f>
        <v>0.14316878183987988</v>
      </c>
    </row>
    <row r="338" spans="3:20" x14ac:dyDescent="0.2">
      <c r="C338" s="53">
        <v>9</v>
      </c>
      <c r="D338" s="58">
        <f>ROUND(SUM(Ｎ!D59:D82)/24,0)</f>
        <v>39303</v>
      </c>
      <c r="E338" s="55">
        <f>Ｎ!F338+Ｎ!G338</f>
        <v>33873</v>
      </c>
      <c r="F338" s="55">
        <f>Ｎ!D338-Ｎ!H338-Ｎ!G338</f>
        <v>32227</v>
      </c>
      <c r="G338" s="89">
        <f>ROUND(SUM(Ｎ!G59:G82)/24,0)</f>
        <v>1646</v>
      </c>
      <c r="H338" s="90">
        <f>ROUND(SUM(Ｎ!H59:H82)/24,0)</f>
        <v>5430</v>
      </c>
      <c r="I338" s="58">
        <f>ROUND(SUM(Ｎ!I59:I82)/24,0)</f>
        <v>78125</v>
      </c>
      <c r="J338" s="55">
        <f>ROUND(SUM(Ｎ!J59:J82)/24,0)</f>
        <v>66919</v>
      </c>
      <c r="K338" s="55">
        <f>ROUND(SUM(Ｎ!K59:K82)/24,0)</f>
        <v>48972</v>
      </c>
      <c r="L338" s="89">
        <f>ROUND(SUM(Ｎ!L59:L82)/24,0)</f>
        <v>17947</v>
      </c>
      <c r="M338" s="55">
        <f>ROUND(SUM(Ｎ!M59:M82)/24,0)</f>
        <v>11206</v>
      </c>
      <c r="N338" s="55">
        <f>ROUND(SUM(Ｎ!N59:N82)/24,0)</f>
        <v>8066</v>
      </c>
      <c r="O338" s="90">
        <f>ROUND(SUM(Ｎ!O59:O82)/24,0)</f>
        <v>3140</v>
      </c>
      <c r="P338" s="58">
        <f>ROUND(SUM(Ｎ!P59:P82)/24,0)</f>
        <v>102787</v>
      </c>
      <c r="Q338" s="55">
        <f>ROUND(SUM(Ｎ!Q59:Q82)/24,0)</f>
        <v>291216</v>
      </c>
      <c r="R338" s="60">
        <f>Ｎ!D338/Ｎ!P338</f>
        <v>0.3823732573185325</v>
      </c>
      <c r="S338" s="61">
        <f>Ｎ!I338/Ｎ!Q338</f>
        <v>0.26827166089775289</v>
      </c>
      <c r="T338" s="62">
        <f>Ｎ!M338/Ｎ!I338</f>
        <v>0.1434368</v>
      </c>
    </row>
    <row r="339" spans="3:20" x14ac:dyDescent="0.2">
      <c r="C339" s="53">
        <v>10</v>
      </c>
      <c r="D339" s="48">
        <f>ROUND(SUM(Ｎ!D60:D83)/24,0)</f>
        <v>39427</v>
      </c>
      <c r="E339" s="45">
        <f>Ｎ!F339+Ｎ!G339</f>
        <v>33979</v>
      </c>
      <c r="F339" s="45">
        <f>Ｎ!D339-Ｎ!H339-Ｎ!G339</f>
        <v>32321</v>
      </c>
      <c r="G339" s="79">
        <f>ROUND(SUM(Ｎ!G60:G83)/24,0)</f>
        <v>1658</v>
      </c>
      <c r="H339" s="80">
        <f>ROUND(SUM(Ｎ!H60:H83)/24,0)</f>
        <v>5448</v>
      </c>
      <c r="I339" s="48">
        <f>ROUND(SUM(Ｎ!I60:I83)/24,0)</f>
        <v>78322</v>
      </c>
      <c r="J339" s="45">
        <f>ROUND(SUM(Ｎ!J60:J83)/24,0)</f>
        <v>67068</v>
      </c>
      <c r="K339" s="45">
        <f>ROUND(SUM(Ｎ!K60:K83)/24,0)</f>
        <v>49023</v>
      </c>
      <c r="L339" s="79">
        <f>ROUND(SUM(Ｎ!L60:L83)/24,0)</f>
        <v>18045</v>
      </c>
      <c r="M339" s="45">
        <f>ROUND(SUM(Ｎ!M60:M83)/24,0)</f>
        <v>11254</v>
      </c>
      <c r="N339" s="45">
        <f>ROUND(SUM(Ｎ!N60:N83)/24,0)</f>
        <v>8100</v>
      </c>
      <c r="O339" s="80">
        <f>ROUND(SUM(Ｎ!O60:O83)/24,0)</f>
        <v>3154</v>
      </c>
      <c r="P339" s="48">
        <f>ROUND(SUM(Ｎ!P60:P83)/24,0)</f>
        <v>102906</v>
      </c>
      <c r="Q339" s="45">
        <f>ROUND(SUM(Ｎ!Q60:Q83)/24,0)</f>
        <v>291309</v>
      </c>
      <c r="R339" s="50">
        <f>Ｎ!D339/Ｎ!P339</f>
        <v>0.38313606592424154</v>
      </c>
      <c r="S339" s="51">
        <f>Ｎ!I339/Ｎ!Q339</f>
        <v>0.26886227339354429</v>
      </c>
      <c r="T339" s="52">
        <f>Ｎ!M339/Ｎ!I339</f>
        <v>0.14368887413498124</v>
      </c>
    </row>
    <row r="340" spans="3:20" x14ac:dyDescent="0.2">
      <c r="C340" s="43">
        <v>11</v>
      </c>
      <c r="D340" s="48">
        <f>ROUND(SUM(Ｎ!D61:D84)/24,0)</f>
        <v>39552</v>
      </c>
      <c r="E340" s="45">
        <f>Ｎ!F340+Ｎ!G340</f>
        <v>34089</v>
      </c>
      <c r="F340" s="45">
        <f>Ｎ!D340-Ｎ!H340-Ｎ!G340</f>
        <v>32420</v>
      </c>
      <c r="G340" s="79">
        <f>ROUND(SUM(Ｎ!G61:G84)/24,0)</f>
        <v>1669</v>
      </c>
      <c r="H340" s="80">
        <f>ROUND(SUM(Ｎ!H61:H84)/24,0)</f>
        <v>5463</v>
      </c>
      <c r="I340" s="48">
        <f>ROUND(SUM(Ｎ!I61:I84)/24,0)</f>
        <v>78518</v>
      </c>
      <c r="J340" s="45">
        <f>ROUND(SUM(Ｎ!J61:J84)/24,0)</f>
        <v>67221</v>
      </c>
      <c r="K340" s="45">
        <f>ROUND(SUM(Ｎ!K61:K84)/24,0)</f>
        <v>49079</v>
      </c>
      <c r="L340" s="79">
        <f>ROUND(SUM(Ｎ!L61:L84)/24,0)</f>
        <v>18142</v>
      </c>
      <c r="M340" s="45">
        <f>ROUND(SUM(Ｎ!M61:M84)/24,0)</f>
        <v>11297</v>
      </c>
      <c r="N340" s="45">
        <f>ROUND(SUM(Ｎ!N61:N84)/24,0)</f>
        <v>8130</v>
      </c>
      <c r="O340" s="80">
        <f>ROUND(SUM(Ｎ!O61:O84)/24,0)</f>
        <v>3167</v>
      </c>
      <c r="P340" s="48">
        <f>ROUND(SUM(Ｎ!P61:P84)/24,0)</f>
        <v>103023</v>
      </c>
      <c r="Q340" s="45">
        <f>ROUND(SUM(Ｎ!Q61:Q84)/24,0)</f>
        <v>291394</v>
      </c>
      <c r="R340" s="50">
        <f>Ｎ!D340/Ｎ!P340</f>
        <v>0.38391427157042601</v>
      </c>
      <c r="S340" s="51">
        <f>Ｎ!I340/Ｎ!Q340</f>
        <v>0.26945647473866996</v>
      </c>
      <c r="T340" s="52">
        <f>Ｎ!M340/Ｎ!I340</f>
        <v>0.1438778369291118</v>
      </c>
    </row>
    <row r="341" spans="3:20" x14ac:dyDescent="0.2">
      <c r="C341" s="43">
        <v>12</v>
      </c>
      <c r="D341" s="48">
        <f>ROUND(SUM(Ｎ!D62:D85)/24,0)</f>
        <v>39679</v>
      </c>
      <c r="E341" s="55">
        <f>Ｎ!F341+Ｎ!G341</f>
        <v>34200</v>
      </c>
      <c r="F341" s="55">
        <f>Ｎ!D341-Ｎ!H341-Ｎ!G341</f>
        <v>32518</v>
      </c>
      <c r="G341" s="89">
        <f>ROUND(SUM(Ｎ!G62:G85)/24,0)</f>
        <v>1682</v>
      </c>
      <c r="H341" s="90">
        <f>ROUND(SUM(Ｎ!H62:H85)/24,0)</f>
        <v>5479</v>
      </c>
      <c r="I341" s="58">
        <f>ROUND(SUM(Ｎ!I62:I85)/24,0)</f>
        <v>78716</v>
      </c>
      <c r="J341" s="55">
        <f>ROUND(SUM(Ｎ!J62:J85)/24,0)</f>
        <v>67373</v>
      </c>
      <c r="K341" s="55">
        <f>ROUND(SUM(Ｎ!K62:K85)/24,0)</f>
        <v>49132</v>
      </c>
      <c r="L341" s="89">
        <f>ROUND(SUM(Ｎ!L62:L85)/24,0)</f>
        <v>18242</v>
      </c>
      <c r="M341" s="55">
        <f>ROUND(SUM(Ｎ!M62:M85)/24,0)</f>
        <v>11343</v>
      </c>
      <c r="N341" s="55">
        <f>ROUND(SUM(Ｎ!N62:N85)/24,0)</f>
        <v>8162</v>
      </c>
      <c r="O341" s="90">
        <f>ROUND(SUM(Ｎ!O62:O85)/24,0)</f>
        <v>3181</v>
      </c>
      <c r="P341" s="58">
        <f>ROUND(SUM(Ｎ!P62:P85)/24,0)</f>
        <v>103139</v>
      </c>
      <c r="Q341" s="55">
        <f>ROUND(SUM(Ｎ!Q62:Q85)/24,0)</f>
        <v>291474</v>
      </c>
      <c r="R341" s="60">
        <f>Ｎ!D341/Ｎ!P341</f>
        <v>0.38471383278876081</v>
      </c>
      <c r="S341" s="61">
        <f>Ｎ!I341/Ｎ!Q341</f>
        <v>0.27006182369611009</v>
      </c>
      <c r="T341" s="62">
        <f>Ｎ!M341/Ｎ!I341</f>
        <v>0.14410030997510037</v>
      </c>
    </row>
    <row r="342" spans="3:20" x14ac:dyDescent="0.2">
      <c r="C342" s="53">
        <v>1</v>
      </c>
      <c r="D342" s="48">
        <f>ROUND(SUM(Ｎ!D63:D86)/24,0)</f>
        <v>39809</v>
      </c>
      <c r="E342" s="45">
        <f>Ｎ!F342+Ｎ!G342</f>
        <v>34315</v>
      </c>
      <c r="F342" s="45">
        <f>Ｎ!D342-Ｎ!H342-Ｎ!G342</f>
        <v>32620</v>
      </c>
      <c r="G342" s="79">
        <f>ROUND(SUM(Ｎ!G63:G86)/24,0)</f>
        <v>1695</v>
      </c>
      <c r="H342" s="80">
        <f>ROUND(SUM(Ｎ!H63:H86)/24,0)</f>
        <v>5494</v>
      </c>
      <c r="I342" s="48">
        <f>ROUND(SUM(Ｎ!I63:I86)/24,0)</f>
        <v>78920</v>
      </c>
      <c r="J342" s="45">
        <f>ROUND(SUM(Ｎ!J63:J86)/24,0)</f>
        <v>67532</v>
      </c>
      <c r="K342" s="45">
        <f>ROUND(SUM(Ｎ!K63:K86)/24,0)</f>
        <v>49190</v>
      </c>
      <c r="L342" s="79">
        <f>ROUND(SUM(Ｎ!L63:L86)/24,0)</f>
        <v>18342</v>
      </c>
      <c r="M342" s="45">
        <f>ROUND(SUM(Ｎ!M63:M86)/24,0)</f>
        <v>11389</v>
      </c>
      <c r="N342" s="45">
        <f>ROUND(SUM(Ｎ!N63:N86)/24,0)</f>
        <v>8194</v>
      </c>
      <c r="O342" s="80">
        <f>ROUND(SUM(Ｎ!O63:O86)/24,0)</f>
        <v>3195</v>
      </c>
      <c r="P342" s="48">
        <f>ROUND(SUM(Ｎ!P63:P86)/24,0)</f>
        <v>103256</v>
      </c>
      <c r="Q342" s="45">
        <f>ROUND(SUM(Ｎ!Q63:Q86)/24,0)</f>
        <v>291557</v>
      </c>
      <c r="R342" s="50">
        <f>Ｎ!D342/Ｎ!P342</f>
        <v>0.38553691795149919</v>
      </c>
      <c r="S342" s="51">
        <f>Ｎ!I342/Ｎ!Q342</f>
        <v>0.27068463456545377</v>
      </c>
      <c r="T342" s="52">
        <f>Ｎ!M342/Ｎ!I342</f>
        <v>0.14431069437404967</v>
      </c>
    </row>
    <row r="343" spans="3:20" x14ac:dyDescent="0.2">
      <c r="C343" s="43">
        <v>2</v>
      </c>
      <c r="D343" s="48">
        <f>ROUND(SUM(Ｎ!D64:D87)/24,0)</f>
        <v>39945</v>
      </c>
      <c r="E343" s="45">
        <f>Ｎ!F343+Ｎ!G343</f>
        <v>34435</v>
      </c>
      <c r="F343" s="45">
        <f>Ｎ!D343-Ｎ!H343-Ｎ!G343</f>
        <v>32727</v>
      </c>
      <c r="G343" s="79">
        <f>ROUND(SUM(Ｎ!G64:G87)/24,0)</f>
        <v>1708</v>
      </c>
      <c r="H343" s="80">
        <f>ROUND(SUM(Ｎ!H64:H87)/24,0)</f>
        <v>5510</v>
      </c>
      <c r="I343" s="48">
        <f>ROUND(SUM(Ｎ!I64:I87)/24,0)</f>
        <v>79133</v>
      </c>
      <c r="J343" s="45">
        <f>ROUND(SUM(Ｎ!J64:J87)/24,0)</f>
        <v>67698</v>
      </c>
      <c r="K343" s="45">
        <f>ROUND(SUM(Ｎ!K64:K87)/24,0)</f>
        <v>49253</v>
      </c>
      <c r="L343" s="79">
        <f>ROUND(SUM(Ｎ!L64:L87)/24,0)</f>
        <v>18445</v>
      </c>
      <c r="M343" s="45">
        <f>ROUND(SUM(Ｎ!M64:M87)/24,0)</f>
        <v>11435</v>
      </c>
      <c r="N343" s="45">
        <f>ROUND(SUM(Ｎ!N64:N87)/24,0)</f>
        <v>8226</v>
      </c>
      <c r="O343" s="80">
        <f>ROUND(SUM(Ｎ!O64:O87)/24,0)</f>
        <v>3209</v>
      </c>
      <c r="P343" s="48">
        <f>ROUND(SUM(Ｎ!P64:P87)/24,0)</f>
        <v>103373</v>
      </c>
      <c r="Q343" s="45">
        <f>ROUND(SUM(Ｎ!Q64:Q87)/24,0)</f>
        <v>291635</v>
      </c>
      <c r="R343" s="50">
        <f>Ｎ!D343/Ｎ!P343</f>
        <v>0.38641618217522949</v>
      </c>
      <c r="S343" s="51">
        <f>Ｎ!I343/Ｎ!Q343</f>
        <v>0.27134260291117324</v>
      </c>
      <c r="T343" s="52">
        <f>Ｎ!M343/Ｎ!I343</f>
        <v>0.14450355730226327</v>
      </c>
    </row>
    <row r="344" spans="3:20" x14ac:dyDescent="0.2">
      <c r="C344" s="91">
        <v>3</v>
      </c>
      <c r="D344" s="92">
        <f>ROUND(SUM(Ｎ!D65:D88)/24,0)</f>
        <v>40082</v>
      </c>
      <c r="E344" s="289">
        <f>Ｎ!F344+Ｎ!G344</f>
        <v>34554</v>
      </c>
      <c r="F344" s="289">
        <f>Ｎ!D344-Ｎ!H344-Ｎ!G344</f>
        <v>32833</v>
      </c>
      <c r="G344" s="290">
        <f>ROUND(SUM(Ｎ!G65:G88)/24,0)</f>
        <v>1721</v>
      </c>
      <c r="H344" s="291">
        <f>ROUND(SUM(Ｎ!H65:H88)/24,0)</f>
        <v>5528</v>
      </c>
      <c r="I344" s="292">
        <f>ROUND(SUM(Ｎ!I65:I88)/24,0)</f>
        <v>79350</v>
      </c>
      <c r="J344" s="289">
        <f>ROUND(SUM(Ｎ!J65:J88)/24,0)</f>
        <v>67867</v>
      </c>
      <c r="K344" s="289">
        <f>ROUND(SUM(Ｎ!K65:K88)/24,0)</f>
        <v>49318</v>
      </c>
      <c r="L344" s="290">
        <f>ROUND(SUM(Ｎ!L65:L88)/24,0)</f>
        <v>18549</v>
      </c>
      <c r="M344" s="289">
        <f>ROUND(SUM(Ｎ!M65:M88)/24,0)</f>
        <v>11484</v>
      </c>
      <c r="N344" s="289">
        <f>ROUND(SUM(Ｎ!N65:N88)/24,0)</f>
        <v>8260</v>
      </c>
      <c r="O344" s="291">
        <f>ROUND(SUM(Ｎ!O65:O88)/24,0)</f>
        <v>3223</v>
      </c>
      <c r="P344" s="292">
        <f>ROUND(SUM(Ｎ!P65:P88)/24,0)</f>
        <v>103494</v>
      </c>
      <c r="Q344" s="289">
        <f>ROUND(SUM(Ｎ!Q65:Q88)/24,0)</f>
        <v>291712</v>
      </c>
      <c r="R344" s="293">
        <f>Ｎ!D344/Ｎ!P344</f>
        <v>0.38728815197016253</v>
      </c>
      <c r="S344" s="294">
        <f>Ｎ!I344/Ｎ!Q344</f>
        <v>0.27201486397542785</v>
      </c>
      <c r="T344" s="295">
        <f>Ｎ!M344/Ｎ!I344</f>
        <v>0.14472589792060492</v>
      </c>
    </row>
    <row r="345" spans="3:20" x14ac:dyDescent="0.2">
      <c r="C345" s="296" t="s">
        <v>2800</v>
      </c>
      <c r="D345" s="297">
        <f>ROUND(SUM(Ｎ!D66:D89)/24,0)</f>
        <v>40225</v>
      </c>
      <c r="E345" s="298">
        <f>Ｎ!F345+Ｎ!G345</f>
        <v>34678</v>
      </c>
      <c r="F345" s="298">
        <f>Ｎ!D345-Ｎ!H345-Ｎ!G345</f>
        <v>32944</v>
      </c>
      <c r="G345" s="299">
        <f>ROUND(SUM(Ｎ!G66:G89)/24,0)</f>
        <v>1734</v>
      </c>
      <c r="H345" s="300">
        <f>ROUND(SUM(Ｎ!H66:H89)/24,0)</f>
        <v>5547</v>
      </c>
      <c r="I345" s="297">
        <f>ROUND(SUM(Ｎ!I66:I89)/24,0)</f>
        <v>79585</v>
      </c>
      <c r="J345" s="298">
        <f>ROUND(SUM(Ｎ!J66:J89)/24,0)</f>
        <v>68047</v>
      </c>
      <c r="K345" s="298">
        <f>ROUND(SUM(Ｎ!K66:K89)/24,0)</f>
        <v>49391</v>
      </c>
      <c r="L345" s="299">
        <f>ROUND(SUM(Ｎ!L66:L89)/24,0)</f>
        <v>18656</v>
      </c>
      <c r="M345" s="298">
        <f>ROUND(SUM(Ｎ!M66:M89)/24,0)</f>
        <v>11538</v>
      </c>
      <c r="N345" s="298">
        <f>ROUND(SUM(Ｎ!N66:N89)/24,0)</f>
        <v>8297</v>
      </c>
      <c r="O345" s="300">
        <f>ROUND(SUM(Ｎ!O66:O89)/24,0)</f>
        <v>3241</v>
      </c>
      <c r="P345" s="297">
        <f>ROUND(SUM(Ｎ!P66:P89)/24,0)</f>
        <v>103615</v>
      </c>
      <c r="Q345" s="298">
        <f>ROUND(SUM(Ｎ!Q66:Q89)/24,0)</f>
        <v>291792</v>
      </c>
      <c r="R345" s="301">
        <f>Ｎ!D345/Ｎ!P345</f>
        <v>0.38821599189306566</v>
      </c>
      <c r="S345" s="302">
        <f>Ｎ!I345/Ｎ!Q345</f>
        <v>0.2727456544387783</v>
      </c>
      <c r="T345" s="303">
        <f>Ｎ!M345/Ｎ!I345</f>
        <v>0.14497706854306716</v>
      </c>
    </row>
    <row r="346" spans="3:20" x14ac:dyDescent="0.2">
      <c r="C346" s="53">
        <v>5</v>
      </c>
      <c r="D346" s="48">
        <f>ROUND(SUM(Ｎ!D67:D90)/24,0)</f>
        <v>40370</v>
      </c>
      <c r="E346" s="45">
        <f>Ｎ!F346+Ｎ!G346</f>
        <v>34804</v>
      </c>
      <c r="F346" s="45">
        <f>Ｎ!D346-Ｎ!H346-Ｎ!G346</f>
        <v>33056</v>
      </c>
      <c r="G346" s="79">
        <f>ROUND(SUM(Ｎ!G67:G90)/24,0)</f>
        <v>1748</v>
      </c>
      <c r="H346" s="80">
        <f>ROUND(SUM(Ｎ!H67:H90)/24,0)</f>
        <v>5566</v>
      </c>
      <c r="I346" s="48">
        <f>ROUND(SUM(Ｎ!I67:I90)/24,0)</f>
        <v>79822</v>
      </c>
      <c r="J346" s="45">
        <f>ROUND(SUM(Ｎ!J67:J90)/24,0)</f>
        <v>68228</v>
      </c>
      <c r="K346" s="45">
        <f>ROUND(SUM(Ｎ!K67:K90)/24,0)</f>
        <v>49465</v>
      </c>
      <c r="L346" s="79">
        <f>ROUND(SUM(Ｎ!L67:L90)/24,0)</f>
        <v>18763</v>
      </c>
      <c r="M346" s="45">
        <f>ROUND(SUM(Ｎ!M67:M90)/24,0)</f>
        <v>11594</v>
      </c>
      <c r="N346" s="45">
        <f>ROUND(SUM(Ｎ!N67:N90)/24,0)</f>
        <v>8334</v>
      </c>
      <c r="O346" s="80">
        <f>ROUND(SUM(Ｎ!O67:O90)/24,0)</f>
        <v>3259</v>
      </c>
      <c r="P346" s="48">
        <f>ROUND(SUM(Ｎ!P67:P90)/24,0)</f>
        <v>103736</v>
      </c>
      <c r="Q346" s="45">
        <f>ROUND(SUM(Ｎ!Q67:Q90)/24,0)</f>
        <v>291870</v>
      </c>
      <c r="R346" s="50">
        <f>Ｎ!D346/Ｎ!P346</f>
        <v>0.38916094701935683</v>
      </c>
      <c r="S346" s="51">
        <f>Ｎ!I346/Ｎ!Q346</f>
        <v>0.27348477061705556</v>
      </c>
      <c r="T346" s="52">
        <f>Ｎ!M346/Ｎ!I346</f>
        <v>0.14524817719425723</v>
      </c>
    </row>
    <row r="347" spans="3:20" x14ac:dyDescent="0.2">
      <c r="C347" s="43">
        <v>6</v>
      </c>
      <c r="D347" s="48">
        <f>ROUND(SUM(Ｎ!D68:D91)/24,0)</f>
        <v>40515</v>
      </c>
      <c r="E347" s="45">
        <f>Ｎ!F347+Ｎ!G347</f>
        <v>34932</v>
      </c>
      <c r="F347" s="45">
        <f>Ｎ!D347-Ｎ!H347-Ｎ!G347</f>
        <v>33170</v>
      </c>
      <c r="G347" s="79">
        <f>ROUND(SUM(Ｎ!G68:G91)/24,0)</f>
        <v>1762</v>
      </c>
      <c r="H347" s="80">
        <f>ROUND(SUM(Ｎ!H68:H91)/24,0)</f>
        <v>5583</v>
      </c>
      <c r="I347" s="48">
        <f>ROUND(SUM(Ｎ!I68:I91)/24,0)</f>
        <v>80060</v>
      </c>
      <c r="J347" s="45">
        <f>ROUND(SUM(Ｎ!J68:J91)/24,0)</f>
        <v>68413</v>
      </c>
      <c r="K347" s="45">
        <f>ROUND(SUM(Ｎ!K68:K91)/24,0)</f>
        <v>49544</v>
      </c>
      <c r="L347" s="79">
        <f>ROUND(SUM(Ｎ!L68:L91)/24,0)</f>
        <v>18869</v>
      </c>
      <c r="M347" s="45">
        <f>ROUND(SUM(Ｎ!M68:M91)/24,0)</f>
        <v>11646</v>
      </c>
      <c r="N347" s="45">
        <f>ROUND(SUM(Ｎ!N68:N91)/24,0)</f>
        <v>8369</v>
      </c>
      <c r="O347" s="80">
        <f>ROUND(SUM(Ｎ!O68:O91)/24,0)</f>
        <v>3277</v>
      </c>
      <c r="P347" s="48">
        <f>ROUND(SUM(Ｎ!P68:P91)/24,0)</f>
        <v>103858</v>
      </c>
      <c r="Q347" s="45">
        <f>ROUND(SUM(Ｎ!Q68:Q91)/24,0)</f>
        <v>291952</v>
      </c>
      <c r="R347" s="50">
        <f>Ｎ!D347/Ｎ!P347</f>
        <v>0.39009994415451865</v>
      </c>
      <c r="S347" s="51">
        <f>Ｎ!I347/Ｎ!Q347</f>
        <v>0.27422315997150215</v>
      </c>
      <c r="T347" s="52">
        <f>Ｎ!M347/Ｎ!I347</f>
        <v>0.14546590057456907</v>
      </c>
    </row>
    <row r="348" spans="3:20" x14ac:dyDescent="0.2">
      <c r="C348" s="43">
        <v>7</v>
      </c>
      <c r="D348" s="48">
        <f>ROUND(SUM(Ｎ!D69:D92)/24,0)</f>
        <v>40663</v>
      </c>
      <c r="E348" s="55">
        <f>Ｎ!F348+Ｎ!G348</f>
        <v>35064</v>
      </c>
      <c r="F348" s="55">
        <f>Ｎ!D348-Ｎ!H348-Ｎ!G348</f>
        <v>33289</v>
      </c>
      <c r="G348" s="89">
        <f>ROUND(SUM(Ｎ!G69:G92)/24,0)</f>
        <v>1775</v>
      </c>
      <c r="H348" s="90">
        <f>ROUND(SUM(Ｎ!H69:H92)/24,0)</f>
        <v>5599</v>
      </c>
      <c r="I348" s="58">
        <f>ROUND(SUM(Ｎ!I69:I92)/24,0)</f>
        <v>80301</v>
      </c>
      <c r="J348" s="55">
        <f>ROUND(SUM(Ｎ!J69:J92)/24,0)</f>
        <v>68604</v>
      </c>
      <c r="K348" s="55">
        <f>ROUND(SUM(Ｎ!K69:K92)/24,0)</f>
        <v>49626</v>
      </c>
      <c r="L348" s="89">
        <f>ROUND(SUM(Ｎ!L69:L92)/24,0)</f>
        <v>18978</v>
      </c>
      <c r="M348" s="55">
        <f>ROUND(SUM(Ｎ!M69:M92)/24,0)</f>
        <v>11698</v>
      </c>
      <c r="N348" s="55">
        <f>ROUND(SUM(Ｎ!N69:N92)/24,0)</f>
        <v>8403</v>
      </c>
      <c r="O348" s="90">
        <f>ROUND(SUM(Ｎ!O69:O92)/24,0)</f>
        <v>3295</v>
      </c>
      <c r="P348" s="58">
        <f>ROUND(SUM(Ｎ!P69:P92)/24,0)</f>
        <v>103982</v>
      </c>
      <c r="Q348" s="55">
        <f>ROUND(SUM(Ｎ!Q69:Q92)/24,0)</f>
        <v>292035</v>
      </c>
      <c r="R348" s="60">
        <f>Ｎ!D348/Ｎ!P348</f>
        <v>0.39105806774249391</v>
      </c>
      <c r="S348" s="61">
        <f>Ｎ!I348/Ｎ!Q348</f>
        <v>0.27497046586881707</v>
      </c>
      <c r="T348" s="62">
        <f>Ｎ!M348/Ｎ!I348</f>
        <v>0.14567689069874598</v>
      </c>
    </row>
    <row r="349" spans="3:20" x14ac:dyDescent="0.2">
      <c r="C349" s="53">
        <v>8</v>
      </c>
      <c r="D349" s="48">
        <f>ROUND(SUM(Ｎ!D70:D93)/24,0)</f>
        <v>40810</v>
      </c>
      <c r="E349" s="55">
        <f>Ｎ!F349+Ｎ!G349</f>
        <v>35193</v>
      </c>
      <c r="F349" s="55">
        <f>Ｎ!D349-Ｎ!H349-Ｎ!G349</f>
        <v>33404</v>
      </c>
      <c r="G349" s="89">
        <f>ROUND(SUM(Ｎ!G70:G93)/24,0)</f>
        <v>1789</v>
      </c>
      <c r="H349" s="90">
        <f>ROUND(SUM(Ｎ!H70:H93)/24,0)</f>
        <v>5617</v>
      </c>
      <c r="I349" s="58">
        <f>ROUND(SUM(Ｎ!I70:I93)/24,0)</f>
        <v>80543</v>
      </c>
      <c r="J349" s="55">
        <f>ROUND(SUM(Ｎ!J70:J93)/24,0)</f>
        <v>68791</v>
      </c>
      <c r="K349" s="55">
        <f>ROUND(SUM(Ｎ!K70:K93)/24,0)</f>
        <v>49705</v>
      </c>
      <c r="L349" s="89">
        <f>ROUND(SUM(Ｎ!L70:L93)/24,0)</f>
        <v>19086</v>
      </c>
      <c r="M349" s="55">
        <f>ROUND(SUM(Ｎ!M70:M93)/24,0)</f>
        <v>11752</v>
      </c>
      <c r="N349" s="55">
        <f>ROUND(SUM(Ｎ!N70:N93)/24,0)</f>
        <v>8439</v>
      </c>
      <c r="O349" s="90">
        <f>ROUND(SUM(Ｎ!O70:O93)/24,0)</f>
        <v>3313</v>
      </c>
      <c r="P349" s="58">
        <f>ROUND(SUM(Ｎ!P70:P93)/24,0)</f>
        <v>104111</v>
      </c>
      <c r="Q349" s="55">
        <f>ROUND(SUM(Ｎ!Q70:Q93)/24,0)</f>
        <v>292120</v>
      </c>
      <c r="R349" s="60">
        <f>Ｎ!D349/Ｎ!P349</f>
        <v>0.39198547703892961</v>
      </c>
      <c r="S349" s="61">
        <f>Ｎ!I349/Ｎ!Q349</f>
        <v>0.27571888265096534</v>
      </c>
      <c r="T349" s="62">
        <f>Ｎ!M349/Ｎ!I349</f>
        <v>0.14590963832983625</v>
      </c>
    </row>
    <row r="350" spans="3:20" x14ac:dyDescent="0.2">
      <c r="C350" s="53">
        <v>9</v>
      </c>
      <c r="D350" s="58">
        <f>ROUND(SUM(Ｎ!D71:D94)/24,0)</f>
        <v>40959</v>
      </c>
      <c r="E350" s="55">
        <f>Ｎ!F350+Ｎ!G350</f>
        <v>35325</v>
      </c>
      <c r="F350" s="55">
        <f>Ｎ!D350-Ｎ!H350-Ｎ!G350</f>
        <v>33521</v>
      </c>
      <c r="G350" s="89">
        <f>ROUND(SUM(Ｎ!G71:G94)/24,0)</f>
        <v>1804</v>
      </c>
      <c r="H350" s="90">
        <f>ROUND(SUM(Ｎ!H71:H94)/24,0)</f>
        <v>5634</v>
      </c>
      <c r="I350" s="58">
        <f>ROUND(SUM(Ｎ!I71:I94)/24,0)</f>
        <v>80789</v>
      </c>
      <c r="J350" s="55">
        <f>ROUND(SUM(Ｎ!J71:J94)/24,0)</f>
        <v>68982</v>
      </c>
      <c r="K350" s="55">
        <f>ROUND(SUM(Ｎ!K71:K94)/24,0)</f>
        <v>49787</v>
      </c>
      <c r="L350" s="89">
        <f>ROUND(SUM(Ｎ!L71:L94)/24,0)</f>
        <v>19195</v>
      </c>
      <c r="M350" s="55">
        <f>ROUND(SUM(Ｎ!M71:M94)/24,0)</f>
        <v>11806</v>
      </c>
      <c r="N350" s="55">
        <f>ROUND(SUM(Ｎ!N71:N94)/24,0)</f>
        <v>8475</v>
      </c>
      <c r="O350" s="90">
        <f>ROUND(SUM(Ｎ!O71:O94)/24,0)</f>
        <v>3332</v>
      </c>
      <c r="P350" s="58">
        <f>ROUND(SUM(Ｎ!P71:P94)/24,0)</f>
        <v>104237</v>
      </c>
      <c r="Q350" s="55">
        <f>ROUND(SUM(Ｎ!Q71:Q94)/24,0)</f>
        <v>292198</v>
      </c>
      <c r="R350" s="60">
        <f>Ｎ!D350/Ｎ!P350</f>
        <v>0.39294108617861218</v>
      </c>
      <c r="S350" s="61">
        <f>Ｎ!I350/Ｎ!Q350</f>
        <v>0.27648717650360372</v>
      </c>
      <c r="T350" s="62">
        <f>Ｎ!M350/Ｎ!I350</f>
        <v>0.1461337558330961</v>
      </c>
    </row>
    <row r="351" spans="3:20" x14ac:dyDescent="0.2">
      <c r="C351" s="53">
        <v>10</v>
      </c>
      <c r="D351" s="48">
        <f>ROUND(SUM(Ｎ!D72:D95)/24,0)</f>
        <v>41111</v>
      </c>
      <c r="E351" s="45">
        <f>Ｎ!F351+Ｎ!G351</f>
        <v>35460</v>
      </c>
      <c r="F351" s="45">
        <f>Ｎ!D351-Ｎ!H351-Ｎ!G351</f>
        <v>33641</v>
      </c>
      <c r="G351" s="79">
        <f>ROUND(SUM(Ｎ!G72:G95)/24,0)</f>
        <v>1819</v>
      </c>
      <c r="H351" s="80">
        <f>ROUND(SUM(Ｎ!H72:H95)/24,0)</f>
        <v>5651</v>
      </c>
      <c r="I351" s="48">
        <f>ROUND(SUM(Ｎ!I72:I95)/24,0)</f>
        <v>81041</v>
      </c>
      <c r="J351" s="45">
        <f>ROUND(SUM(Ｎ!J72:J95)/24,0)</f>
        <v>69180</v>
      </c>
      <c r="K351" s="45">
        <f>ROUND(SUM(Ｎ!K72:K95)/24,0)</f>
        <v>49874</v>
      </c>
      <c r="L351" s="79">
        <f>ROUND(SUM(Ｎ!L72:L95)/24,0)</f>
        <v>19306</v>
      </c>
      <c r="M351" s="45">
        <f>ROUND(SUM(Ｎ!M72:M95)/24,0)</f>
        <v>11861</v>
      </c>
      <c r="N351" s="45">
        <f>ROUND(SUM(Ｎ!N72:N95)/24,0)</f>
        <v>8511</v>
      </c>
      <c r="O351" s="80">
        <f>ROUND(SUM(Ｎ!O72:O95)/24,0)</f>
        <v>3350</v>
      </c>
      <c r="P351" s="48">
        <f>ROUND(SUM(Ｎ!P72:P95)/24,0)</f>
        <v>104364</v>
      </c>
      <c r="Q351" s="45">
        <f>ROUND(SUM(Ｎ!Q72:Q95)/24,0)</f>
        <v>292278</v>
      </c>
      <c r="R351" s="50">
        <f>Ｎ!D351/Ｎ!P351</f>
        <v>0.39391935916599596</v>
      </c>
      <c r="S351" s="51">
        <f>Ｎ!I351/Ｎ!Q351</f>
        <v>0.27727369148550352</v>
      </c>
      <c r="T351" s="52">
        <f>Ｎ!M351/Ｎ!I351</f>
        <v>0.1463580163127306</v>
      </c>
    </row>
    <row r="352" spans="3:20" x14ac:dyDescent="0.2">
      <c r="C352" s="43">
        <v>11</v>
      </c>
      <c r="D352" s="48">
        <f>ROUND(SUM(Ｎ!D73:D96)/24,0)</f>
        <v>41263</v>
      </c>
      <c r="E352" s="45">
        <f>Ｎ!F352+Ｎ!G352</f>
        <v>35595</v>
      </c>
      <c r="F352" s="45">
        <f>Ｎ!D352-Ｎ!H352-Ｎ!G352</f>
        <v>33762</v>
      </c>
      <c r="G352" s="79">
        <f>ROUND(SUM(Ｎ!G73:G96)/24,0)</f>
        <v>1833</v>
      </c>
      <c r="H352" s="80">
        <f>ROUND(SUM(Ｎ!H73:H96)/24,0)</f>
        <v>5668</v>
      </c>
      <c r="I352" s="48">
        <f>ROUND(SUM(Ｎ!I73:I96)/24,0)</f>
        <v>81292</v>
      </c>
      <c r="J352" s="45">
        <f>ROUND(SUM(Ｎ!J73:J96)/24,0)</f>
        <v>69377</v>
      </c>
      <c r="K352" s="45">
        <f>ROUND(SUM(Ｎ!K73:K96)/24,0)</f>
        <v>49960</v>
      </c>
      <c r="L352" s="79">
        <f>ROUND(SUM(Ｎ!L73:L96)/24,0)</f>
        <v>19417</v>
      </c>
      <c r="M352" s="45">
        <f>ROUND(SUM(Ｎ!M73:M96)/24,0)</f>
        <v>11915</v>
      </c>
      <c r="N352" s="45">
        <f>ROUND(SUM(Ｎ!N73:N96)/24,0)</f>
        <v>8546</v>
      </c>
      <c r="O352" s="80">
        <f>ROUND(SUM(Ｎ!O73:O96)/24,0)</f>
        <v>3369</v>
      </c>
      <c r="P352" s="48">
        <f>ROUND(SUM(Ｎ!P73:P96)/24,0)</f>
        <v>104491</v>
      </c>
      <c r="Q352" s="45">
        <f>ROUND(SUM(Ｎ!Q73:Q96)/24,0)</f>
        <v>292354</v>
      </c>
      <c r="R352" s="50">
        <f>Ｎ!D352/Ｎ!P352</f>
        <v>0.39489525413671989</v>
      </c>
      <c r="S352" s="51">
        <f>Ｎ!I352/Ｎ!Q352</f>
        <v>0.2780601599430827</v>
      </c>
      <c r="T352" s="52">
        <f>Ｎ!M352/Ｎ!I352</f>
        <v>0.14657038823008414</v>
      </c>
    </row>
    <row r="353" spans="2:20" x14ac:dyDescent="0.2">
      <c r="C353" s="43">
        <v>12</v>
      </c>
      <c r="D353" s="48">
        <f>ROUND(SUM(Ｎ!D74:D97)/24,0)</f>
        <v>41418</v>
      </c>
      <c r="E353" s="55">
        <f>Ｎ!F353+Ｎ!G353</f>
        <v>35734</v>
      </c>
      <c r="F353" s="55">
        <f>Ｎ!D353-Ｎ!H353-Ｎ!G353</f>
        <v>33887</v>
      </c>
      <c r="G353" s="89">
        <f>ROUND(SUM(Ｎ!G74:G97)/24,0)</f>
        <v>1847</v>
      </c>
      <c r="H353" s="90">
        <f>ROUND(SUM(Ｎ!H74:H97)/24,0)</f>
        <v>5684</v>
      </c>
      <c r="I353" s="58">
        <f>ROUND(SUM(Ｎ!I74:I97)/24,0)</f>
        <v>81547</v>
      </c>
      <c r="J353" s="55">
        <f>ROUND(SUM(Ｎ!J74:J97)/24,0)</f>
        <v>69579</v>
      </c>
      <c r="K353" s="55">
        <f>ROUND(SUM(Ｎ!K74:K97)/24,0)</f>
        <v>50048</v>
      </c>
      <c r="L353" s="89">
        <f>ROUND(SUM(Ｎ!L74:L97)/24,0)</f>
        <v>19531</v>
      </c>
      <c r="M353" s="55">
        <f>ROUND(SUM(Ｎ!M74:M97)/24,0)</f>
        <v>11969</v>
      </c>
      <c r="N353" s="55">
        <f>ROUND(SUM(Ｎ!N74:N97)/24,0)</f>
        <v>8579</v>
      </c>
      <c r="O353" s="90">
        <f>ROUND(SUM(Ｎ!O74:O97)/24,0)</f>
        <v>3389</v>
      </c>
      <c r="P353" s="58">
        <f>ROUND(SUM(Ｎ!P74:P97)/24,0)</f>
        <v>104618</v>
      </c>
      <c r="Q353" s="55">
        <f>ROUND(SUM(Ｎ!Q74:Q97)/24,0)</f>
        <v>292428</v>
      </c>
      <c r="R353" s="60">
        <f>Ｎ!D353/Ｎ!P353</f>
        <v>0.39589745550478883</v>
      </c>
      <c r="S353" s="61">
        <f>Ｎ!I353/Ｎ!Q353</f>
        <v>0.27886180529908217</v>
      </c>
      <c r="T353" s="62">
        <f>Ｎ!M353/Ｎ!I353</f>
        <v>0.14677425288483942</v>
      </c>
    </row>
    <row r="354" spans="2:20" x14ac:dyDescent="0.2">
      <c r="C354" s="53">
        <v>1</v>
      </c>
      <c r="D354" s="48">
        <f>ROUND(SUM(Ｎ!D75:D98)/24,0)</f>
        <v>41577</v>
      </c>
      <c r="E354" s="45">
        <f>Ｎ!F354+Ｎ!G354</f>
        <v>35877</v>
      </c>
      <c r="F354" s="45">
        <f>Ｎ!D354-Ｎ!H354-Ｎ!G354</f>
        <v>34016</v>
      </c>
      <c r="G354" s="79">
        <f>ROUND(SUM(Ｎ!G75:G98)/24,0)</f>
        <v>1861</v>
      </c>
      <c r="H354" s="80">
        <f>ROUND(SUM(Ｎ!H75:H98)/24,0)</f>
        <v>5700</v>
      </c>
      <c r="I354" s="48">
        <f>ROUND(SUM(Ｎ!I75:I98)/24,0)</f>
        <v>81806</v>
      </c>
      <c r="J354" s="45">
        <f>ROUND(SUM(Ｎ!J75:J98)/24,0)</f>
        <v>69784</v>
      </c>
      <c r="K354" s="45">
        <f>ROUND(SUM(Ｎ!K75:K98)/24,0)</f>
        <v>50135</v>
      </c>
      <c r="L354" s="79">
        <f>ROUND(SUM(Ｎ!L75:L98)/24,0)</f>
        <v>19650</v>
      </c>
      <c r="M354" s="45">
        <f>ROUND(SUM(Ｎ!M75:M98)/24,0)</f>
        <v>12022</v>
      </c>
      <c r="N354" s="45">
        <f>ROUND(SUM(Ｎ!N75:N98)/24,0)</f>
        <v>8613</v>
      </c>
      <c r="O354" s="80">
        <f>ROUND(SUM(Ｎ!O75:O98)/24,0)</f>
        <v>3409</v>
      </c>
      <c r="P354" s="48">
        <f>ROUND(SUM(Ｎ!P75:P98)/24,0)</f>
        <v>104749</v>
      </c>
      <c r="Q354" s="45">
        <f>ROUND(SUM(Ｎ!Q75:Q98)/24,0)</f>
        <v>292503</v>
      </c>
      <c r="R354" s="50">
        <f>Ｎ!D354/Ｎ!P354</f>
        <v>0.39692025699529349</v>
      </c>
      <c r="S354" s="51">
        <f>Ｎ!I354/Ｎ!Q354</f>
        <v>0.27967576400925803</v>
      </c>
      <c r="T354" s="52">
        <f>Ｎ!M354/Ｎ!I354</f>
        <v>0.14695743588489843</v>
      </c>
    </row>
    <row r="355" spans="2:20" x14ac:dyDescent="0.2">
      <c r="C355" s="43">
        <v>2</v>
      </c>
      <c r="D355" s="48">
        <f>ROUND(SUM(Ｎ!D76:D99)/24,0)</f>
        <v>41733</v>
      </c>
      <c r="E355" s="45">
        <f>Ｎ!F355+Ｎ!G355</f>
        <v>36017</v>
      </c>
      <c r="F355" s="45">
        <f>Ｎ!D355-Ｎ!H355-Ｎ!G355</f>
        <v>34143</v>
      </c>
      <c r="G355" s="79">
        <f>ROUND(SUM(Ｎ!G76:G99)/24,0)</f>
        <v>1874</v>
      </c>
      <c r="H355" s="80">
        <f>ROUND(SUM(Ｎ!H76:H99)/24,0)</f>
        <v>5716</v>
      </c>
      <c r="I355" s="48">
        <f>ROUND(SUM(Ｎ!I76:I99)/24,0)</f>
        <v>82060</v>
      </c>
      <c r="J355" s="45">
        <f>ROUND(SUM(Ｎ!J76:J99)/24,0)</f>
        <v>69986</v>
      </c>
      <c r="K355" s="45">
        <f>ROUND(SUM(Ｎ!K76:K99)/24,0)</f>
        <v>50218</v>
      </c>
      <c r="L355" s="79">
        <f>ROUND(SUM(Ｎ!L76:L99)/24,0)</f>
        <v>19769</v>
      </c>
      <c r="M355" s="45">
        <f>ROUND(SUM(Ｎ!M76:M99)/24,0)</f>
        <v>12074</v>
      </c>
      <c r="N355" s="45">
        <f>ROUND(SUM(Ｎ!N76:N99)/24,0)</f>
        <v>8645</v>
      </c>
      <c r="O355" s="80">
        <f>ROUND(SUM(Ｎ!O76:O99)/24,0)</f>
        <v>3428</v>
      </c>
      <c r="P355" s="48">
        <f>ROUND(SUM(Ｎ!P76:P99)/24,0)</f>
        <v>104873</v>
      </c>
      <c r="Q355" s="45">
        <f>ROUND(SUM(Ｎ!Q76:Q99)/24,0)</f>
        <v>292568</v>
      </c>
      <c r="R355" s="50">
        <f>Ｎ!D355/Ｎ!P355</f>
        <v>0.39793845889790508</v>
      </c>
      <c r="S355" s="51">
        <f>Ｎ!I355/Ｎ!Q355</f>
        <v>0.28048180252112331</v>
      </c>
      <c r="T355" s="52">
        <f>Ｎ!M355/Ｎ!I355</f>
        <v>0.14713624177431148</v>
      </c>
    </row>
    <row r="356" spans="2:20" x14ac:dyDescent="0.2">
      <c r="C356" s="91">
        <v>3</v>
      </c>
      <c r="D356" s="92">
        <f>ROUND(SUM(Ｎ!D77:D100)/24,0)</f>
        <v>41890</v>
      </c>
      <c r="E356" s="289">
        <f>Ｎ!F356+Ｎ!G356</f>
        <v>36152</v>
      </c>
      <c r="F356" s="289">
        <f>Ｎ!D356-Ｎ!H356-Ｎ!G356</f>
        <v>34265</v>
      </c>
      <c r="G356" s="290">
        <f>ROUND(SUM(Ｎ!G77:G100)/24,0)</f>
        <v>1887</v>
      </c>
      <c r="H356" s="291">
        <f>ROUND(SUM(Ｎ!H77:H100)/24,0)</f>
        <v>5738</v>
      </c>
      <c r="I356" s="292">
        <f>ROUND(SUM(Ｎ!I77:I100)/24,0)</f>
        <v>82317</v>
      </c>
      <c r="J356" s="289">
        <f>ROUND(SUM(Ｎ!J77:J100)/24,0)</f>
        <v>70183</v>
      </c>
      <c r="K356" s="289">
        <f>ROUND(SUM(Ｎ!K77:K100)/24,0)</f>
        <v>50294</v>
      </c>
      <c r="L356" s="290">
        <f>ROUND(SUM(Ｎ!L77:L100)/24,0)</f>
        <v>19889</v>
      </c>
      <c r="M356" s="289">
        <f>ROUND(SUM(Ｎ!M77:M100)/24,0)</f>
        <v>12134</v>
      </c>
      <c r="N356" s="289">
        <f>ROUND(SUM(Ｎ!N77:N100)/24,0)</f>
        <v>8684</v>
      </c>
      <c r="O356" s="291">
        <f>ROUND(SUM(Ｎ!O77:O100)/24,0)</f>
        <v>3450</v>
      </c>
      <c r="P356" s="292">
        <f>ROUND(SUM(Ｎ!P77:P100)/24,0)</f>
        <v>104995</v>
      </c>
      <c r="Q356" s="289">
        <f>ROUND(SUM(Ｎ!Q77:Q100)/24,0)</f>
        <v>292629</v>
      </c>
      <c r="R356" s="293">
        <f>Ｎ!D356/Ｎ!P356</f>
        <v>0.39897137958950424</v>
      </c>
      <c r="S356" s="294">
        <f>Ｎ!I356/Ｎ!Q356</f>
        <v>0.28130157981608112</v>
      </c>
      <c r="T356" s="295">
        <f>Ｎ!M356/Ｎ!I356</f>
        <v>0.14740576065697245</v>
      </c>
    </row>
    <row r="358" spans="2:20" x14ac:dyDescent="0.2">
      <c r="B358" s="206" t="s">
        <v>2801</v>
      </c>
    </row>
    <row r="359" spans="2:20" x14ac:dyDescent="0.2">
      <c r="C359" s="304" t="s">
        <v>2802</v>
      </c>
      <c r="D359" s="305">
        <f>ROUND(SUM(Ｎ!D5:D40)/36,0)</f>
        <v>35012</v>
      </c>
      <c r="E359" s="306">
        <f>Ｎ!F359+Ｎ!G359</f>
        <v>30122</v>
      </c>
      <c r="F359" s="306">
        <f>Ｎ!D359-Ｎ!H359-Ｎ!G359</f>
        <v>28715</v>
      </c>
      <c r="G359" s="307">
        <f>ROUND(SUM(Ｎ!G5:G40)/36,0)</f>
        <v>1407</v>
      </c>
      <c r="H359" s="308">
        <f>ROUND(SUM(Ｎ!H5:H40)/36,0)</f>
        <v>4890</v>
      </c>
      <c r="I359" s="305">
        <f>ROUND(SUM(Ｎ!I5:I40)/36,0)</f>
        <v>73513</v>
      </c>
      <c r="J359" s="306">
        <f>ROUND(SUM(Ｎ!J5:J40)/36,0)</f>
        <v>63575</v>
      </c>
      <c r="K359" s="306">
        <f>ROUND(SUM(Ｎ!K5:K40)/36,0)</f>
        <v>49827</v>
      </c>
      <c r="L359" s="307">
        <f>ROUND(SUM(Ｎ!L5:L40)/36,0)</f>
        <v>13748</v>
      </c>
      <c r="M359" s="306">
        <f>ROUND(SUM(Ｎ!M5:M40)/36,0)</f>
        <v>9938</v>
      </c>
      <c r="N359" s="306">
        <f>ROUND(SUM(Ｎ!N5:N40)/36,0)</f>
        <v>7171</v>
      </c>
      <c r="O359" s="308">
        <f>ROUND(SUM(Ｎ!O5:O40)/36,0)</f>
        <v>2768</v>
      </c>
      <c r="P359" s="305">
        <f>ROUND(SUM(Ｎ!P5:P40)/36,0)</f>
        <v>96088</v>
      </c>
      <c r="Q359" s="306">
        <f>ROUND(SUM(Ｎ!Q5:Q40)/36,0)</f>
        <v>284947</v>
      </c>
      <c r="R359" s="309">
        <f>Ｎ!D359/Ｎ!P359</f>
        <v>0.36437432353675797</v>
      </c>
      <c r="S359" s="310">
        <f>Ｎ!I359/Ｎ!Q359</f>
        <v>0.25798832765391461</v>
      </c>
      <c r="T359" s="311">
        <f>Ｎ!M359/Ｎ!I359</f>
        <v>0.1351869737325371</v>
      </c>
    </row>
    <row r="360" spans="2:20" x14ac:dyDescent="0.2">
      <c r="C360" s="296" t="s">
        <v>2803</v>
      </c>
      <c r="D360" s="297">
        <f>ROUND(SUM(Ｎ!D6:D41)/36,0)</f>
        <v>35068</v>
      </c>
      <c r="E360" s="298">
        <f>Ｎ!F360+Ｎ!G360</f>
        <v>30172</v>
      </c>
      <c r="F360" s="298">
        <f>Ｎ!D360-Ｎ!H360-Ｎ!G360</f>
        <v>28761</v>
      </c>
      <c r="G360" s="299">
        <f>ROUND(SUM(Ｎ!G6:G41)/36,0)</f>
        <v>1411</v>
      </c>
      <c r="H360" s="300">
        <f>ROUND(SUM(Ｎ!H6:H41)/36,0)</f>
        <v>4896</v>
      </c>
      <c r="I360" s="297">
        <f>ROUND(SUM(Ｎ!I6:I41)/36,0)</f>
        <v>73529</v>
      </c>
      <c r="J360" s="298">
        <f>ROUND(SUM(Ｎ!J6:J41)/36,0)</f>
        <v>63572</v>
      </c>
      <c r="K360" s="298">
        <f>ROUND(SUM(Ｎ!K6:K41)/36,0)</f>
        <v>49757</v>
      </c>
      <c r="L360" s="299">
        <f>ROUND(SUM(Ｎ!L6:L41)/36,0)</f>
        <v>13815</v>
      </c>
      <c r="M360" s="298">
        <f>ROUND(SUM(Ｎ!M6:M41)/36,0)</f>
        <v>9956</v>
      </c>
      <c r="N360" s="298">
        <f>ROUND(SUM(Ｎ!N6:N41)/36,0)</f>
        <v>7185</v>
      </c>
      <c r="O360" s="300">
        <f>ROUND(SUM(Ｎ!O6:O41)/36,0)</f>
        <v>2772</v>
      </c>
      <c r="P360" s="297">
        <f>ROUND(SUM(Ｎ!P6:P41)/36,0)</f>
        <v>96233</v>
      </c>
      <c r="Q360" s="298">
        <f>ROUND(SUM(Ｎ!Q6:Q41)/36,0)</f>
        <v>285115</v>
      </c>
      <c r="R360" s="301">
        <f>Ｎ!D360/Ｎ!P360</f>
        <v>0.36440721997651532</v>
      </c>
      <c r="S360" s="302">
        <f>Ｎ!I360/Ｎ!Q360</f>
        <v>0.25789242937060486</v>
      </c>
      <c r="T360" s="303">
        <f>Ｎ!M360/Ｎ!I360</f>
        <v>0.13540235825320621</v>
      </c>
    </row>
    <row r="361" spans="2:20" x14ac:dyDescent="0.2">
      <c r="C361" s="53">
        <v>5</v>
      </c>
      <c r="D361" s="48">
        <f>ROUND(SUM(Ｎ!D7:D42)/36,0)</f>
        <v>35127</v>
      </c>
      <c r="E361" s="45">
        <f>Ｎ!F361+Ｎ!G361</f>
        <v>30224</v>
      </c>
      <c r="F361" s="45">
        <f>Ｎ!D361-Ｎ!H361-Ｎ!G361</f>
        <v>28809</v>
      </c>
      <c r="G361" s="79">
        <f>ROUND(SUM(Ｎ!G7:G42)/36,0)</f>
        <v>1415</v>
      </c>
      <c r="H361" s="80">
        <f>ROUND(SUM(Ｎ!H7:H42)/36,0)</f>
        <v>4903</v>
      </c>
      <c r="I361" s="48">
        <f>ROUND(SUM(Ｎ!I7:I42)/36,0)</f>
        <v>73552</v>
      </c>
      <c r="J361" s="45">
        <f>ROUND(SUM(Ｎ!J7:J42)/36,0)</f>
        <v>63577</v>
      </c>
      <c r="K361" s="45">
        <f>ROUND(SUM(Ｎ!K7:K42)/36,0)</f>
        <v>49693</v>
      </c>
      <c r="L361" s="79">
        <f>ROUND(SUM(Ｎ!L7:L42)/36,0)</f>
        <v>13883</v>
      </c>
      <c r="M361" s="45">
        <f>ROUND(SUM(Ｎ!M7:M42)/36,0)</f>
        <v>9975</v>
      </c>
      <c r="N361" s="45">
        <f>ROUND(SUM(Ｎ!N7:N42)/36,0)</f>
        <v>7199</v>
      </c>
      <c r="O361" s="80">
        <f>ROUND(SUM(Ｎ!O7:O42)/36,0)</f>
        <v>2777</v>
      </c>
      <c r="P361" s="48">
        <f>ROUND(SUM(Ｎ!P7:P42)/36,0)</f>
        <v>96377</v>
      </c>
      <c r="Q361" s="45">
        <f>ROUND(SUM(Ｎ!Q7:Q42)/36,0)</f>
        <v>285280</v>
      </c>
      <c r="R361" s="50">
        <f>Ｎ!D361/Ｎ!P361</f>
        <v>0.36447492659036906</v>
      </c>
      <c r="S361" s="51">
        <f>Ｎ!I361/Ｎ!Q361</f>
        <v>0.2578238923163208</v>
      </c>
      <c r="T361" s="52">
        <f>Ｎ!M361/Ｎ!I361</f>
        <v>0.1356183380465521</v>
      </c>
    </row>
    <row r="362" spans="2:20" x14ac:dyDescent="0.2">
      <c r="C362" s="43">
        <v>6</v>
      </c>
      <c r="D362" s="48">
        <f>ROUND(SUM(Ｎ!D8:D43)/36,0)</f>
        <v>35187</v>
      </c>
      <c r="E362" s="45">
        <f>Ｎ!F362+Ｎ!G362</f>
        <v>30276</v>
      </c>
      <c r="F362" s="45">
        <f>Ｎ!D362-Ｎ!H362-Ｎ!G362</f>
        <v>28857</v>
      </c>
      <c r="G362" s="79">
        <f>ROUND(SUM(Ｎ!G8:G43)/36,0)</f>
        <v>1419</v>
      </c>
      <c r="H362" s="80">
        <f>ROUND(SUM(Ｎ!H8:H43)/36,0)</f>
        <v>4911</v>
      </c>
      <c r="I362" s="48">
        <f>ROUND(SUM(Ｎ!I8:I43)/36,0)</f>
        <v>73579</v>
      </c>
      <c r="J362" s="45">
        <f>ROUND(SUM(Ｎ!J8:J43)/36,0)</f>
        <v>63584</v>
      </c>
      <c r="K362" s="45">
        <f>ROUND(SUM(Ｎ!K8:K43)/36,0)</f>
        <v>49631</v>
      </c>
      <c r="L362" s="79">
        <f>ROUND(SUM(Ｎ!L8:L43)/36,0)</f>
        <v>13953</v>
      </c>
      <c r="M362" s="45">
        <f>ROUND(SUM(Ｎ!M8:M43)/36,0)</f>
        <v>9995</v>
      </c>
      <c r="N362" s="45">
        <f>ROUND(SUM(Ｎ!N8:N43)/36,0)</f>
        <v>7213</v>
      </c>
      <c r="O362" s="80">
        <f>ROUND(SUM(Ｎ!O8:O43)/36,0)</f>
        <v>2781</v>
      </c>
      <c r="P362" s="48">
        <f>ROUND(SUM(Ｎ!P8:P43)/36,0)</f>
        <v>96521</v>
      </c>
      <c r="Q362" s="45">
        <f>ROUND(SUM(Ｎ!Q8:Q43)/36,0)</f>
        <v>285446</v>
      </c>
      <c r="R362" s="50">
        <f>Ｎ!D362/Ｎ!P362</f>
        <v>0.36455279162047638</v>
      </c>
      <c r="S362" s="51">
        <f>Ｎ!I362/Ｎ!Q362</f>
        <v>0.25776854466343896</v>
      </c>
      <c r="T362" s="52">
        <f>Ｎ!M362/Ｎ!I362</f>
        <v>0.13584038924149552</v>
      </c>
    </row>
    <row r="363" spans="2:20" x14ac:dyDescent="0.2">
      <c r="C363" s="43">
        <v>7</v>
      </c>
      <c r="D363" s="48">
        <f>ROUND(SUM(Ｎ!D9:D44)/36,0)</f>
        <v>35250</v>
      </c>
      <c r="E363" s="55">
        <f>Ｎ!F363+Ｎ!G363</f>
        <v>30333</v>
      </c>
      <c r="F363" s="55">
        <f>Ｎ!D363-Ｎ!H363-Ｎ!G363</f>
        <v>28910</v>
      </c>
      <c r="G363" s="89">
        <f>ROUND(SUM(Ｎ!G9:G44)/36,0)</f>
        <v>1423</v>
      </c>
      <c r="H363" s="90">
        <f>ROUND(SUM(Ｎ!H9:H44)/36,0)</f>
        <v>4917</v>
      </c>
      <c r="I363" s="58">
        <f>ROUND(SUM(Ｎ!I9:I44)/36,0)</f>
        <v>73610</v>
      </c>
      <c r="J363" s="55">
        <f>ROUND(SUM(Ｎ!J9:J44)/36,0)</f>
        <v>63597</v>
      </c>
      <c r="K363" s="55">
        <f>ROUND(SUM(Ｎ!K9:K44)/36,0)</f>
        <v>49573</v>
      </c>
      <c r="L363" s="89">
        <f>ROUND(SUM(Ｎ!L9:L44)/36,0)</f>
        <v>14024</v>
      </c>
      <c r="M363" s="55">
        <f>ROUND(SUM(Ｎ!M9:M44)/36,0)</f>
        <v>10013</v>
      </c>
      <c r="N363" s="55">
        <f>ROUND(SUM(Ｎ!N9:N44)/36,0)</f>
        <v>7228</v>
      </c>
      <c r="O363" s="90">
        <f>ROUND(SUM(Ｎ!O9:O44)/36,0)</f>
        <v>2785</v>
      </c>
      <c r="P363" s="58">
        <f>ROUND(SUM(Ｎ!P9:P44)/36,0)</f>
        <v>96667</v>
      </c>
      <c r="Q363" s="55">
        <f>ROUND(SUM(Ｎ!Q9:Q44)/36,0)</f>
        <v>285608</v>
      </c>
      <c r="R363" s="60">
        <f>Ｎ!D363/Ｎ!P363</f>
        <v>0.36465391498650007</v>
      </c>
      <c r="S363" s="61">
        <f>Ｎ!I363/Ｎ!Q363</f>
        <v>0.25773087588582955</v>
      </c>
      <c r="T363" s="62">
        <f>Ｎ!M363/Ｎ!I363</f>
        <v>0.13602771362586605</v>
      </c>
    </row>
    <row r="364" spans="2:20" x14ac:dyDescent="0.2">
      <c r="C364" s="53">
        <v>8</v>
      </c>
      <c r="D364" s="48">
        <f>ROUND(SUM(Ｎ!D10:D45)/36,0)</f>
        <v>35314</v>
      </c>
      <c r="E364" s="55">
        <f>Ｎ!F364+Ｎ!G364</f>
        <v>30390</v>
      </c>
      <c r="F364" s="55">
        <f>Ｎ!D364-Ｎ!H364-Ｎ!G364</f>
        <v>28964</v>
      </c>
      <c r="G364" s="89">
        <f>ROUND(SUM(Ｎ!G10:G45)/36,0)</f>
        <v>1426</v>
      </c>
      <c r="H364" s="90">
        <f>ROUND(SUM(Ｎ!H10:H45)/36,0)</f>
        <v>4924</v>
      </c>
      <c r="I364" s="58">
        <f>ROUND(SUM(Ｎ!I10:I45)/36,0)</f>
        <v>73642</v>
      </c>
      <c r="J364" s="55">
        <f>ROUND(SUM(Ｎ!J10:J45)/36,0)</f>
        <v>63611</v>
      </c>
      <c r="K364" s="55">
        <f>ROUND(SUM(Ｎ!K10:K45)/36,0)</f>
        <v>49516</v>
      </c>
      <c r="L364" s="89">
        <f>ROUND(SUM(Ｎ!L10:L45)/36,0)</f>
        <v>14095</v>
      </c>
      <c r="M364" s="55">
        <f>ROUND(SUM(Ｎ!M10:M45)/36,0)</f>
        <v>10031</v>
      </c>
      <c r="N364" s="55">
        <f>ROUND(SUM(Ｎ!N10:N45)/36,0)</f>
        <v>7242</v>
      </c>
      <c r="O364" s="90">
        <f>ROUND(SUM(Ｎ!O10:O45)/36,0)</f>
        <v>2789</v>
      </c>
      <c r="P364" s="58">
        <f>ROUND(SUM(Ｎ!P10:P45)/36,0)</f>
        <v>96811</v>
      </c>
      <c r="Q364" s="55">
        <f>ROUND(SUM(Ｎ!Q10:Q45)/36,0)</f>
        <v>285763</v>
      </c>
      <c r="R364" s="60">
        <f>Ｎ!D364/Ｎ!P364</f>
        <v>0.36477259815516833</v>
      </c>
      <c r="S364" s="61">
        <f>Ｎ!I364/Ｎ!Q364</f>
        <v>0.25770306162799245</v>
      </c>
      <c r="T364" s="62">
        <f>Ｎ!M364/Ｎ!I364</f>
        <v>0.13621303060753373</v>
      </c>
    </row>
    <row r="365" spans="2:20" x14ac:dyDescent="0.2">
      <c r="C365" s="53">
        <v>9</v>
      </c>
      <c r="D365" s="58">
        <f>ROUND(SUM(Ｎ!D11:D46)/36,0)</f>
        <v>35379</v>
      </c>
      <c r="E365" s="55">
        <f>Ｎ!F365+Ｎ!G365</f>
        <v>30448</v>
      </c>
      <c r="F365" s="55">
        <f>Ｎ!D365-Ｎ!H365-Ｎ!G365</f>
        <v>29018</v>
      </c>
      <c r="G365" s="89">
        <f>ROUND(SUM(Ｎ!G11:G46)/36,0)</f>
        <v>1430</v>
      </c>
      <c r="H365" s="90">
        <f>ROUND(SUM(Ｎ!H11:H46)/36,0)</f>
        <v>4931</v>
      </c>
      <c r="I365" s="58">
        <f>ROUND(SUM(Ｎ!I11:I46)/36,0)</f>
        <v>73677</v>
      </c>
      <c r="J365" s="55">
        <f>ROUND(SUM(Ｎ!J11:J46)/36,0)</f>
        <v>63628</v>
      </c>
      <c r="K365" s="55">
        <f>ROUND(SUM(Ｎ!K11:K46)/36,0)</f>
        <v>49462</v>
      </c>
      <c r="L365" s="89">
        <f>ROUND(SUM(Ｎ!L11:L46)/36,0)</f>
        <v>14166</v>
      </c>
      <c r="M365" s="55">
        <f>ROUND(SUM(Ｎ!M11:M46)/36,0)</f>
        <v>10048</v>
      </c>
      <c r="N365" s="55">
        <f>ROUND(SUM(Ｎ!N11:N46)/36,0)</f>
        <v>7255</v>
      </c>
      <c r="O365" s="90">
        <f>ROUND(SUM(Ｎ!O11:O46)/36,0)</f>
        <v>2793</v>
      </c>
      <c r="P365" s="58">
        <f>ROUND(SUM(Ｎ!P11:P46)/36,0)</f>
        <v>96955</v>
      </c>
      <c r="Q365" s="55">
        <f>ROUND(SUM(Ｎ!Q11:Q46)/36,0)</f>
        <v>285917</v>
      </c>
      <c r="R365" s="60">
        <f>Ｎ!D365/Ｎ!P365</f>
        <v>0.36490124284461861</v>
      </c>
      <c r="S365" s="61">
        <f>Ｎ!I365/Ｎ!Q365</f>
        <v>0.25768667130670792</v>
      </c>
      <c r="T365" s="62">
        <f>Ｎ!M365/Ｎ!I365</f>
        <v>0.13637905995086663</v>
      </c>
    </row>
    <row r="366" spans="2:20" x14ac:dyDescent="0.2">
      <c r="C366" s="53">
        <v>10</v>
      </c>
      <c r="D366" s="48">
        <f>ROUND(SUM(Ｎ!D12:D47)/36,0)</f>
        <v>35446</v>
      </c>
      <c r="E366" s="45">
        <f>Ｎ!F366+Ｎ!G366</f>
        <v>30508</v>
      </c>
      <c r="F366" s="45">
        <f>Ｎ!D366-Ｎ!H366-Ｎ!G366</f>
        <v>29075</v>
      </c>
      <c r="G366" s="79">
        <f>ROUND(SUM(Ｎ!G12:G47)/36,0)</f>
        <v>1433</v>
      </c>
      <c r="H366" s="80">
        <f>ROUND(SUM(Ｎ!H12:H47)/36,0)</f>
        <v>4938</v>
      </c>
      <c r="I366" s="48">
        <f>ROUND(SUM(Ｎ!I12:I47)/36,0)</f>
        <v>73718</v>
      </c>
      <c r="J366" s="45">
        <f>ROUND(SUM(Ｎ!J12:J47)/36,0)</f>
        <v>63652</v>
      </c>
      <c r="K366" s="45">
        <f>ROUND(SUM(Ｎ!K12:K47)/36,0)</f>
        <v>49413</v>
      </c>
      <c r="L366" s="79">
        <f>ROUND(SUM(Ｎ!L12:L47)/36,0)</f>
        <v>14239</v>
      </c>
      <c r="M366" s="45">
        <f>ROUND(SUM(Ｎ!M12:M47)/36,0)</f>
        <v>10066</v>
      </c>
      <c r="N366" s="45">
        <f>ROUND(SUM(Ｎ!N12:N47)/36,0)</f>
        <v>7269</v>
      </c>
      <c r="O366" s="80">
        <f>ROUND(SUM(Ｎ!O12:O47)/36,0)</f>
        <v>2797</v>
      </c>
      <c r="P366" s="48">
        <f>ROUND(SUM(Ｎ!P12:P47)/36,0)</f>
        <v>97101</v>
      </c>
      <c r="Q366" s="45">
        <f>ROUND(SUM(Ｎ!Q12:Q47)/36,0)</f>
        <v>286072</v>
      </c>
      <c r="R366" s="50">
        <f>Ｎ!D366/Ｎ!P366</f>
        <v>0.36504258452539107</v>
      </c>
      <c r="S366" s="51">
        <f>Ｎ!I366/Ｎ!Q366</f>
        <v>0.25769037165468833</v>
      </c>
      <c r="T366" s="52">
        <f>Ｎ!M366/Ｎ!I366</f>
        <v>0.13654738327138555</v>
      </c>
    </row>
    <row r="367" spans="2:20" x14ac:dyDescent="0.2">
      <c r="C367" s="43">
        <v>11</v>
      </c>
      <c r="D367" s="48">
        <f>ROUND(SUM(Ｎ!D13:D48)/36,0)</f>
        <v>35515</v>
      </c>
      <c r="E367" s="45">
        <f>Ｎ!F367+Ｎ!G367</f>
        <v>30571</v>
      </c>
      <c r="F367" s="45">
        <f>Ｎ!D367-Ｎ!H367-Ｎ!G367</f>
        <v>29135</v>
      </c>
      <c r="G367" s="79">
        <f>ROUND(SUM(Ｎ!G13:G48)/36,0)</f>
        <v>1436</v>
      </c>
      <c r="H367" s="80">
        <f>ROUND(SUM(Ｎ!H13:H48)/36,0)</f>
        <v>4944</v>
      </c>
      <c r="I367" s="48">
        <f>ROUND(SUM(Ｎ!I13:I48)/36,0)</f>
        <v>73764</v>
      </c>
      <c r="J367" s="45">
        <f>ROUND(SUM(Ｎ!J13:J48)/36,0)</f>
        <v>63681</v>
      </c>
      <c r="K367" s="45">
        <f>ROUND(SUM(Ｎ!K13:K48)/36,0)</f>
        <v>49367</v>
      </c>
      <c r="L367" s="79">
        <f>ROUND(SUM(Ｎ!L13:L48)/36,0)</f>
        <v>14314</v>
      </c>
      <c r="M367" s="45">
        <f>ROUND(SUM(Ｎ!M13:M48)/36,0)</f>
        <v>10083</v>
      </c>
      <c r="N367" s="45">
        <f>ROUND(SUM(Ｎ!N13:N48)/36,0)</f>
        <v>7282</v>
      </c>
      <c r="O367" s="80">
        <f>ROUND(SUM(Ｎ!O13:O48)/36,0)</f>
        <v>2801</v>
      </c>
      <c r="P367" s="48">
        <f>ROUND(SUM(Ｎ!P13:P48)/36,0)</f>
        <v>97245</v>
      </c>
      <c r="Q367" s="45">
        <f>ROUND(SUM(Ｎ!Q13:Q48)/36,0)</f>
        <v>286226</v>
      </c>
      <c r="R367" s="50">
        <f>Ｎ!D367/Ｎ!P367</f>
        <v>0.36521157900149109</v>
      </c>
      <c r="S367" s="51">
        <f>Ｎ!I367/Ｎ!Q367</f>
        <v>0.25771243702528773</v>
      </c>
      <c r="T367" s="52">
        <f>Ｎ!M367/Ｎ!I367</f>
        <v>0.13669269562388156</v>
      </c>
    </row>
    <row r="368" spans="2:20" x14ac:dyDescent="0.2">
      <c r="C368" s="43">
        <v>12</v>
      </c>
      <c r="D368" s="48">
        <f>ROUND(SUM(Ｎ!D14:D49)/36,0)</f>
        <v>35583</v>
      </c>
      <c r="E368" s="55">
        <f>Ｎ!F368+Ｎ!G368</f>
        <v>30631</v>
      </c>
      <c r="F368" s="55">
        <f>Ｎ!D368-Ｎ!H368-Ｎ!G368</f>
        <v>29191</v>
      </c>
      <c r="G368" s="89">
        <f>ROUND(SUM(Ｎ!G14:G49)/36,0)</f>
        <v>1440</v>
      </c>
      <c r="H368" s="90">
        <f>ROUND(SUM(Ｎ!H14:H49)/36,0)</f>
        <v>4952</v>
      </c>
      <c r="I368" s="58">
        <f>ROUND(SUM(Ｎ!I14:I49)/36,0)</f>
        <v>73813</v>
      </c>
      <c r="J368" s="55">
        <f>ROUND(SUM(Ｎ!J14:J49)/36,0)</f>
        <v>63712</v>
      </c>
      <c r="K368" s="55">
        <f>ROUND(SUM(Ｎ!K14:K49)/36,0)</f>
        <v>49322</v>
      </c>
      <c r="L368" s="89">
        <f>ROUND(SUM(Ｎ!L14:L49)/36,0)</f>
        <v>14389</v>
      </c>
      <c r="M368" s="55">
        <f>ROUND(SUM(Ｎ!M14:M49)/36,0)</f>
        <v>10101</v>
      </c>
      <c r="N368" s="55">
        <f>ROUND(SUM(Ｎ!N14:N49)/36,0)</f>
        <v>7296</v>
      </c>
      <c r="O368" s="90">
        <f>ROUND(SUM(Ｎ!O14:O49)/36,0)</f>
        <v>2806</v>
      </c>
      <c r="P368" s="58">
        <f>ROUND(SUM(Ｎ!P14:P49)/36,0)</f>
        <v>97386</v>
      </c>
      <c r="Q368" s="55">
        <f>ROUND(SUM(Ｎ!Q14:Q49)/36,0)</f>
        <v>286373</v>
      </c>
      <c r="R368" s="60">
        <f>Ｎ!D368/Ｎ!P368</f>
        <v>0.36538106093278294</v>
      </c>
      <c r="S368" s="61">
        <f>Ｎ!I368/Ｎ!Q368</f>
        <v>0.2577512544827899</v>
      </c>
      <c r="T368" s="62">
        <f>Ｎ!M368/Ｎ!I368</f>
        <v>0.13684581306815874</v>
      </c>
    </row>
    <row r="369" spans="3:20" x14ac:dyDescent="0.2">
      <c r="C369" s="53">
        <v>1</v>
      </c>
      <c r="D369" s="48">
        <f>ROUND(SUM(Ｎ!D15:D50)/36,0)</f>
        <v>35650</v>
      </c>
      <c r="E369" s="45">
        <f>Ｎ!F369+Ｎ!G369</f>
        <v>30691</v>
      </c>
      <c r="F369" s="45">
        <f>Ｎ!D369-Ｎ!H369-Ｎ!G369</f>
        <v>29248</v>
      </c>
      <c r="G369" s="79">
        <f>ROUND(SUM(Ｎ!G15:G50)/36,0)</f>
        <v>1443</v>
      </c>
      <c r="H369" s="80">
        <f>ROUND(SUM(Ｎ!H15:H50)/36,0)</f>
        <v>4959</v>
      </c>
      <c r="I369" s="48">
        <f>ROUND(SUM(Ｎ!I15:I50)/36,0)</f>
        <v>73865</v>
      </c>
      <c r="J369" s="45">
        <f>ROUND(SUM(Ｎ!J15:J50)/36,0)</f>
        <v>63745</v>
      </c>
      <c r="K369" s="45">
        <f>ROUND(SUM(Ｎ!K15:K50)/36,0)</f>
        <v>49279</v>
      </c>
      <c r="L369" s="79">
        <f>ROUND(SUM(Ｎ!L15:L50)/36,0)</f>
        <v>14465</v>
      </c>
      <c r="M369" s="45">
        <f>ROUND(SUM(Ｎ!M15:M50)/36,0)</f>
        <v>10120</v>
      </c>
      <c r="N369" s="45">
        <f>ROUND(SUM(Ｎ!N15:N50)/36,0)</f>
        <v>7310</v>
      </c>
      <c r="O369" s="80">
        <f>ROUND(SUM(Ｎ!O15:O50)/36,0)</f>
        <v>2810</v>
      </c>
      <c r="P369" s="48">
        <f>ROUND(SUM(Ｎ!P15:P50)/36,0)</f>
        <v>97528</v>
      </c>
      <c r="Q369" s="45">
        <f>ROUND(SUM(Ｎ!Q15:Q50)/36,0)</f>
        <v>286523</v>
      </c>
      <c r="R369" s="50">
        <f>Ｎ!D369/Ｎ!P369</f>
        <v>0.36553605118530064</v>
      </c>
      <c r="S369" s="51">
        <f>Ｎ!I369/Ｎ!Q369</f>
        <v>0.25779780331770924</v>
      </c>
      <c r="T369" s="52">
        <f>Ｎ!M369/Ｎ!I369</f>
        <v>0.13700670141474311</v>
      </c>
    </row>
    <row r="370" spans="3:20" x14ac:dyDescent="0.2">
      <c r="C370" s="43">
        <v>2</v>
      </c>
      <c r="D370" s="48">
        <f>ROUND(SUM(Ｎ!D16:D51)/36,0)</f>
        <v>35718</v>
      </c>
      <c r="E370" s="45">
        <f>Ｎ!F370+Ｎ!G370</f>
        <v>30751</v>
      </c>
      <c r="F370" s="45">
        <f>Ｎ!D370-Ｎ!H370-Ｎ!G370</f>
        <v>29305</v>
      </c>
      <c r="G370" s="79">
        <f>ROUND(SUM(Ｎ!G16:G51)/36,0)</f>
        <v>1446</v>
      </c>
      <c r="H370" s="80">
        <f>ROUND(SUM(Ｎ!H16:H51)/36,0)</f>
        <v>4967</v>
      </c>
      <c r="I370" s="48">
        <f>ROUND(SUM(Ｎ!I16:I51)/36,0)</f>
        <v>73915</v>
      </c>
      <c r="J370" s="45">
        <f>ROUND(SUM(Ｎ!J16:J51)/36,0)</f>
        <v>63776</v>
      </c>
      <c r="K370" s="45">
        <f>ROUND(SUM(Ｎ!K16:K51)/36,0)</f>
        <v>49235</v>
      </c>
      <c r="L370" s="79">
        <f>ROUND(SUM(Ｎ!L16:L51)/36,0)</f>
        <v>14542</v>
      </c>
      <c r="M370" s="45">
        <f>ROUND(SUM(Ｎ!M16:M51)/36,0)</f>
        <v>10139</v>
      </c>
      <c r="N370" s="45">
        <f>ROUND(SUM(Ｎ!N16:N51)/36,0)</f>
        <v>7324</v>
      </c>
      <c r="O370" s="80">
        <f>ROUND(SUM(Ｎ!O16:O51)/36,0)</f>
        <v>2815</v>
      </c>
      <c r="P370" s="48">
        <f>ROUND(SUM(Ｎ!P16:P51)/36,0)</f>
        <v>97669</v>
      </c>
      <c r="Q370" s="45">
        <f>ROUND(SUM(Ｎ!Q16:Q51)/36,0)</f>
        <v>286671</v>
      </c>
      <c r="R370" s="50">
        <f>Ｎ!D370/Ｎ!P370</f>
        <v>0.36570457361086939</v>
      </c>
      <c r="S370" s="51">
        <f>Ｎ!I370/Ｎ!Q370</f>
        <v>0.25783912568763495</v>
      </c>
      <c r="T370" s="52">
        <f>Ｎ!M370/Ｎ!I370</f>
        <v>0.1371710748833119</v>
      </c>
    </row>
    <row r="371" spans="3:20" x14ac:dyDescent="0.2">
      <c r="C371" s="91">
        <v>3</v>
      </c>
      <c r="D371" s="92">
        <f>ROUND(SUM(Ｎ!D17:D52)/36,0)</f>
        <v>35790</v>
      </c>
      <c r="E371" s="289">
        <f>Ｎ!F371+Ｎ!G371</f>
        <v>30817</v>
      </c>
      <c r="F371" s="289">
        <f>Ｎ!D371-Ｎ!H371-Ｎ!G371</f>
        <v>29367</v>
      </c>
      <c r="G371" s="290">
        <f>ROUND(SUM(Ｎ!G17:G52)/36,0)</f>
        <v>1450</v>
      </c>
      <c r="H371" s="291">
        <f>ROUND(SUM(Ｎ!H17:H52)/36,0)</f>
        <v>4973</v>
      </c>
      <c r="I371" s="292">
        <f>ROUND(SUM(Ｎ!I17:I52)/36,0)</f>
        <v>73972</v>
      </c>
      <c r="J371" s="289">
        <f>ROUND(SUM(Ｎ!J17:J52)/36,0)</f>
        <v>63818</v>
      </c>
      <c r="K371" s="289">
        <f>ROUND(SUM(Ｎ!K17:K52)/36,0)</f>
        <v>49199</v>
      </c>
      <c r="L371" s="290">
        <f>ROUND(SUM(Ｎ!L17:L52)/36,0)</f>
        <v>14620</v>
      </c>
      <c r="M371" s="289">
        <f>ROUND(SUM(Ｎ!M17:M52)/36,0)</f>
        <v>10154</v>
      </c>
      <c r="N371" s="289">
        <f>ROUND(SUM(Ｎ!N17:N52)/36,0)</f>
        <v>7336</v>
      </c>
      <c r="O371" s="291">
        <f>ROUND(SUM(Ｎ!O17:O52)/36,0)</f>
        <v>2818</v>
      </c>
      <c r="P371" s="292">
        <f>ROUND(SUM(Ｎ!P17:P52)/36,0)</f>
        <v>97808</v>
      </c>
      <c r="Q371" s="289">
        <f>ROUND(SUM(Ｎ!Q17:Q52)/36,0)</f>
        <v>286813</v>
      </c>
      <c r="R371" s="293">
        <f>Ｎ!D371/Ｎ!P371</f>
        <v>0.36592098805823653</v>
      </c>
      <c r="S371" s="294">
        <f>Ｎ!I371/Ｎ!Q371</f>
        <v>0.25791020630166694</v>
      </c>
      <c r="T371" s="295">
        <f>Ｎ!M371/Ｎ!I371</f>
        <v>0.13726815551830424</v>
      </c>
    </row>
    <row r="372" spans="3:20" x14ac:dyDescent="0.2">
      <c r="C372" s="296" t="s">
        <v>2804</v>
      </c>
      <c r="D372" s="297">
        <f>ROUND(SUM(Ｎ!D18:D53)/36,0)</f>
        <v>35865</v>
      </c>
      <c r="E372" s="298">
        <f>Ｎ!F372+Ｎ!G372</f>
        <v>30883</v>
      </c>
      <c r="F372" s="298">
        <f>Ｎ!D372-Ｎ!H372-Ｎ!G372</f>
        <v>29430</v>
      </c>
      <c r="G372" s="299">
        <f>ROUND(SUM(Ｎ!G18:G53)/36,0)</f>
        <v>1453</v>
      </c>
      <c r="H372" s="300">
        <f>ROUND(SUM(Ｎ!H18:H53)/36,0)</f>
        <v>4982</v>
      </c>
      <c r="I372" s="297">
        <f>ROUND(SUM(Ｎ!I18:I53)/36,0)</f>
        <v>74036</v>
      </c>
      <c r="J372" s="298">
        <f>ROUND(SUM(Ｎ!J18:J53)/36,0)</f>
        <v>63861</v>
      </c>
      <c r="K372" s="298">
        <f>ROUND(SUM(Ｎ!K18:K53)/36,0)</f>
        <v>49162</v>
      </c>
      <c r="L372" s="299">
        <f>ROUND(SUM(Ｎ!L18:L53)/36,0)</f>
        <v>14699</v>
      </c>
      <c r="M372" s="298">
        <f>ROUND(SUM(Ｎ!M18:M53)/36,0)</f>
        <v>10175</v>
      </c>
      <c r="N372" s="298">
        <f>ROUND(SUM(Ｎ!N18:N53)/36,0)</f>
        <v>7351</v>
      </c>
      <c r="O372" s="300">
        <f>ROUND(SUM(Ｎ!O18:O53)/36,0)</f>
        <v>2824</v>
      </c>
      <c r="P372" s="297">
        <f>ROUND(SUM(Ｎ!P18:P53)/36,0)</f>
        <v>97951</v>
      </c>
      <c r="Q372" s="298">
        <f>ROUND(SUM(Ｎ!Q18:Q53)/36,0)</f>
        <v>286959</v>
      </c>
      <c r="R372" s="301">
        <f>Ｎ!D372/Ｎ!P372</f>
        <v>0.36615246398709561</v>
      </c>
      <c r="S372" s="302">
        <f>Ｎ!I372/Ｎ!Q372</f>
        <v>0.25800201422502866</v>
      </c>
      <c r="T372" s="303">
        <f>Ｎ!M372/Ｎ!I372</f>
        <v>0.13743314063428602</v>
      </c>
    </row>
    <row r="373" spans="3:20" x14ac:dyDescent="0.2">
      <c r="C373" s="53">
        <v>5</v>
      </c>
      <c r="D373" s="48">
        <f>ROUND(SUM(Ｎ!D19:D54)/36,0)</f>
        <v>35942</v>
      </c>
      <c r="E373" s="45">
        <f>Ｎ!F373+Ｎ!G373</f>
        <v>30951</v>
      </c>
      <c r="F373" s="45">
        <f>Ｎ!D373-Ｎ!H373-Ｎ!G373</f>
        <v>29494</v>
      </c>
      <c r="G373" s="79">
        <f>ROUND(SUM(Ｎ!G19:G54)/36,0)</f>
        <v>1457</v>
      </c>
      <c r="H373" s="80">
        <f>ROUND(SUM(Ｎ!H19:H54)/36,0)</f>
        <v>4991</v>
      </c>
      <c r="I373" s="48">
        <f>ROUND(SUM(Ｎ!I19:I54)/36,0)</f>
        <v>74103</v>
      </c>
      <c r="J373" s="45">
        <f>ROUND(SUM(Ｎ!J19:J54)/36,0)</f>
        <v>63907</v>
      </c>
      <c r="K373" s="45">
        <f>ROUND(SUM(Ｎ!K19:K54)/36,0)</f>
        <v>49126</v>
      </c>
      <c r="L373" s="79">
        <f>ROUND(SUM(Ｎ!L19:L54)/36,0)</f>
        <v>14781</v>
      </c>
      <c r="M373" s="45">
        <f>ROUND(SUM(Ｎ!M19:M54)/36,0)</f>
        <v>10196</v>
      </c>
      <c r="N373" s="45">
        <f>ROUND(SUM(Ｎ!N19:N54)/36,0)</f>
        <v>7365</v>
      </c>
      <c r="O373" s="80">
        <f>ROUND(SUM(Ｎ!O19:O54)/36,0)</f>
        <v>2831</v>
      </c>
      <c r="P373" s="48">
        <f>ROUND(SUM(Ｎ!P19:P54)/36,0)</f>
        <v>98097</v>
      </c>
      <c r="Q373" s="45">
        <f>ROUND(SUM(Ｎ!Q19:Q54)/36,0)</f>
        <v>287110</v>
      </c>
      <c r="R373" s="50">
        <f>Ｎ!D373/Ｎ!P373</f>
        <v>0.36639244829097728</v>
      </c>
      <c r="S373" s="51">
        <f>Ｎ!I373/Ｎ!Q373</f>
        <v>0.25809968304830899</v>
      </c>
      <c r="T373" s="52">
        <f>Ｎ!M373/Ｎ!I373</f>
        <v>0.1375922702184797</v>
      </c>
    </row>
    <row r="374" spans="3:20" x14ac:dyDescent="0.2">
      <c r="C374" s="43">
        <v>6</v>
      </c>
      <c r="D374" s="48">
        <f>ROUND(SUM(Ｎ!D20:D55)/36,0)</f>
        <v>36021</v>
      </c>
      <c r="E374" s="45">
        <f>Ｎ!F374+Ｎ!G374</f>
        <v>31020</v>
      </c>
      <c r="F374" s="45">
        <f>Ｎ!D374-Ｎ!H374-Ｎ!G374</f>
        <v>29559</v>
      </c>
      <c r="G374" s="79">
        <f>ROUND(SUM(Ｎ!G20:G55)/36,0)</f>
        <v>1461</v>
      </c>
      <c r="H374" s="80">
        <f>ROUND(SUM(Ｎ!H20:H55)/36,0)</f>
        <v>5001</v>
      </c>
      <c r="I374" s="48">
        <f>ROUND(SUM(Ｎ!I20:I55)/36,0)</f>
        <v>74175</v>
      </c>
      <c r="J374" s="45">
        <f>ROUND(SUM(Ｎ!J20:J55)/36,0)</f>
        <v>63958</v>
      </c>
      <c r="K374" s="45">
        <f>ROUND(SUM(Ｎ!K20:K55)/36,0)</f>
        <v>49094</v>
      </c>
      <c r="L374" s="79">
        <f>ROUND(SUM(Ｎ!L20:L55)/36,0)</f>
        <v>14864</v>
      </c>
      <c r="M374" s="45">
        <f>ROUND(SUM(Ｎ!M20:M55)/36,0)</f>
        <v>10217</v>
      </c>
      <c r="N374" s="45">
        <f>ROUND(SUM(Ｎ!N20:N55)/36,0)</f>
        <v>7381</v>
      </c>
      <c r="O374" s="80">
        <f>ROUND(SUM(Ｎ!O20:O55)/36,0)</f>
        <v>2836</v>
      </c>
      <c r="P374" s="48">
        <f>ROUND(SUM(Ｎ!P20:P55)/36,0)</f>
        <v>98244</v>
      </c>
      <c r="Q374" s="45">
        <f>ROUND(SUM(Ｎ!Q20:Q55)/36,0)</f>
        <v>287263</v>
      </c>
      <c r="R374" s="50">
        <f>Ｎ!D374/Ｎ!P374</f>
        <v>0.36664834493709542</v>
      </c>
      <c r="S374" s="51">
        <f>Ｎ!I374/Ｎ!Q374</f>
        <v>0.2582128572075067</v>
      </c>
      <c r="T374" s="52">
        <f>Ｎ!M374/Ｎ!I374</f>
        <v>0.13774182676103808</v>
      </c>
    </row>
    <row r="375" spans="3:20" x14ac:dyDescent="0.2">
      <c r="C375" s="43">
        <v>7</v>
      </c>
      <c r="D375" s="48">
        <f>ROUND(SUM(Ｎ!D21:D56)/36,0)</f>
        <v>36101</v>
      </c>
      <c r="E375" s="55">
        <f>Ｎ!F375+Ｎ!G375</f>
        <v>31091</v>
      </c>
      <c r="F375" s="55">
        <f>Ｎ!D375-Ｎ!H375-Ｎ!G375</f>
        <v>29626</v>
      </c>
      <c r="G375" s="89">
        <f>ROUND(SUM(Ｎ!G21:G56)/36,0)</f>
        <v>1465</v>
      </c>
      <c r="H375" s="90">
        <f>ROUND(SUM(Ｎ!H21:H56)/36,0)</f>
        <v>5010</v>
      </c>
      <c r="I375" s="58">
        <f>ROUND(SUM(Ｎ!I21:I56)/36,0)</f>
        <v>74248</v>
      </c>
      <c r="J375" s="55">
        <f>ROUND(SUM(Ｎ!J21:J56)/36,0)</f>
        <v>64009</v>
      </c>
      <c r="K375" s="55">
        <f>ROUND(SUM(Ｎ!K21:K56)/36,0)</f>
        <v>49062</v>
      </c>
      <c r="L375" s="89">
        <f>ROUND(SUM(Ｎ!L21:L56)/36,0)</f>
        <v>14947</v>
      </c>
      <c r="M375" s="55">
        <f>ROUND(SUM(Ｎ!M21:M56)/36,0)</f>
        <v>10239</v>
      </c>
      <c r="N375" s="55">
        <f>ROUND(SUM(Ｎ!N21:N56)/36,0)</f>
        <v>7397</v>
      </c>
      <c r="O375" s="90">
        <f>ROUND(SUM(Ｎ!O21:O56)/36,0)</f>
        <v>2842</v>
      </c>
      <c r="P375" s="58">
        <f>ROUND(SUM(Ｎ!P21:P56)/36,0)</f>
        <v>98393</v>
      </c>
      <c r="Q375" s="55">
        <f>ROUND(SUM(Ｎ!Q21:Q56)/36,0)</f>
        <v>287415</v>
      </c>
      <c r="R375" s="60">
        <f>Ｎ!D375/Ｎ!P375</f>
        <v>0.36690618235037048</v>
      </c>
      <c r="S375" s="61">
        <f>Ｎ!I375/Ｎ!Q375</f>
        <v>0.25833028895499538</v>
      </c>
      <c r="T375" s="62">
        <f>Ｎ!M375/Ｎ!I375</f>
        <v>0.13790270444995151</v>
      </c>
    </row>
    <row r="376" spans="3:20" x14ac:dyDescent="0.2">
      <c r="C376" s="53">
        <v>8</v>
      </c>
      <c r="D376" s="48">
        <f>ROUND(SUM(Ｎ!D22:D57)/36,0)</f>
        <v>36184</v>
      </c>
      <c r="E376" s="55">
        <f>Ｎ!F376+Ｎ!G376</f>
        <v>31165</v>
      </c>
      <c r="F376" s="55">
        <f>Ｎ!D376-Ｎ!H376-Ｎ!G376</f>
        <v>29696</v>
      </c>
      <c r="G376" s="89">
        <f>ROUND(SUM(Ｎ!G22:G57)/36,0)</f>
        <v>1469</v>
      </c>
      <c r="H376" s="90">
        <f>ROUND(SUM(Ｎ!H22:H57)/36,0)</f>
        <v>5019</v>
      </c>
      <c r="I376" s="58">
        <f>ROUND(SUM(Ｎ!I22:I57)/36,0)</f>
        <v>74326</v>
      </c>
      <c r="J376" s="55">
        <f>ROUND(SUM(Ｎ!J22:J57)/36,0)</f>
        <v>64066</v>
      </c>
      <c r="K376" s="55">
        <f>ROUND(SUM(Ｎ!K22:K57)/36,0)</f>
        <v>49034</v>
      </c>
      <c r="L376" s="89">
        <f>ROUND(SUM(Ｎ!L22:L57)/36,0)</f>
        <v>15032</v>
      </c>
      <c r="M376" s="55">
        <f>ROUND(SUM(Ｎ!M22:M57)/36,0)</f>
        <v>10260</v>
      </c>
      <c r="N376" s="55">
        <f>ROUND(SUM(Ｎ!N22:N57)/36,0)</f>
        <v>7412</v>
      </c>
      <c r="O376" s="90">
        <f>ROUND(SUM(Ｎ!O22:O57)/36,0)</f>
        <v>2848</v>
      </c>
      <c r="P376" s="58">
        <f>ROUND(SUM(Ｎ!P22:P57)/36,0)</f>
        <v>98540</v>
      </c>
      <c r="Q376" s="55">
        <f>ROUND(SUM(Ｎ!Q22:Q57)/36,0)</f>
        <v>287562</v>
      </c>
      <c r="R376" s="60">
        <f>Ｎ!D376/Ｎ!P376</f>
        <v>0.36720113659427644</v>
      </c>
      <c r="S376" s="61">
        <f>Ｎ!I376/Ｎ!Q376</f>
        <v>0.25846947788650793</v>
      </c>
      <c r="T376" s="62">
        <f>Ｎ!M376/Ｎ!I376</f>
        <v>0.13804052417727308</v>
      </c>
    </row>
    <row r="377" spans="3:20" x14ac:dyDescent="0.2">
      <c r="C377" s="53">
        <v>9</v>
      </c>
      <c r="D377" s="58">
        <f>ROUND(SUM(Ｎ!D23:D58)/36,0)</f>
        <v>36268</v>
      </c>
      <c r="E377" s="55">
        <f>Ｎ!F377+Ｎ!G377</f>
        <v>31239</v>
      </c>
      <c r="F377" s="55">
        <f>Ｎ!D377-Ｎ!H377-Ｎ!G377</f>
        <v>29766</v>
      </c>
      <c r="G377" s="89">
        <f>ROUND(SUM(Ｎ!G23:G58)/36,0)</f>
        <v>1473</v>
      </c>
      <c r="H377" s="90">
        <f>ROUND(SUM(Ｎ!H23:H58)/36,0)</f>
        <v>5029</v>
      </c>
      <c r="I377" s="58">
        <f>ROUND(SUM(Ｎ!I23:I58)/36,0)</f>
        <v>74404</v>
      </c>
      <c r="J377" s="55">
        <f>ROUND(SUM(Ｎ!J23:J58)/36,0)</f>
        <v>64123</v>
      </c>
      <c r="K377" s="55">
        <f>ROUND(SUM(Ｎ!K23:K58)/36,0)</f>
        <v>49006</v>
      </c>
      <c r="L377" s="89">
        <f>ROUND(SUM(Ｎ!L23:L58)/36,0)</f>
        <v>15117</v>
      </c>
      <c r="M377" s="55">
        <f>ROUND(SUM(Ｎ!M23:M58)/36,0)</f>
        <v>10281</v>
      </c>
      <c r="N377" s="55">
        <f>ROUND(SUM(Ｎ!N23:N58)/36,0)</f>
        <v>7427</v>
      </c>
      <c r="O377" s="90">
        <f>ROUND(SUM(Ｎ!O23:O58)/36,0)</f>
        <v>2854</v>
      </c>
      <c r="P377" s="58">
        <f>ROUND(SUM(Ｎ!P23:P58)/36,0)</f>
        <v>98686</v>
      </c>
      <c r="Q377" s="55">
        <f>ROUND(SUM(Ｎ!Q23:Q58)/36,0)</f>
        <v>287708</v>
      </c>
      <c r="R377" s="60">
        <f>Ｎ!D377/Ｎ!P377</f>
        <v>0.36750906916887904</v>
      </c>
      <c r="S377" s="61">
        <f>Ｎ!I377/Ｎ!Q377</f>
        <v>0.25860942344321325</v>
      </c>
      <c r="T377" s="62">
        <f>Ｎ!M377/Ｎ!I377</f>
        <v>0.13817805494328261</v>
      </c>
    </row>
    <row r="378" spans="3:20" x14ac:dyDescent="0.2">
      <c r="C378" s="53">
        <v>10</v>
      </c>
      <c r="D378" s="48">
        <f>ROUND(SUM(Ｎ!D24:D59)/36,0)</f>
        <v>36353</v>
      </c>
      <c r="E378" s="45">
        <f>Ｎ!F378+Ｎ!G378</f>
        <v>31315</v>
      </c>
      <c r="F378" s="45">
        <f>Ｎ!D378-Ｎ!H378-Ｎ!G378</f>
        <v>29839</v>
      </c>
      <c r="G378" s="79">
        <f>ROUND(SUM(Ｎ!G24:G59)/36,0)</f>
        <v>1476</v>
      </c>
      <c r="H378" s="80">
        <f>ROUND(SUM(Ｎ!H24:H59)/36,0)</f>
        <v>5038</v>
      </c>
      <c r="I378" s="48">
        <f>ROUND(SUM(Ｎ!I24:I59)/36,0)</f>
        <v>74487</v>
      </c>
      <c r="J378" s="45">
        <f>ROUND(SUM(Ｎ!J24:J59)/36,0)</f>
        <v>64184</v>
      </c>
      <c r="K378" s="45">
        <f>ROUND(SUM(Ｎ!K24:K59)/36,0)</f>
        <v>48981</v>
      </c>
      <c r="L378" s="79">
        <f>ROUND(SUM(Ｎ!L24:L59)/36,0)</f>
        <v>15204</v>
      </c>
      <c r="M378" s="45">
        <f>ROUND(SUM(Ｎ!M24:M59)/36,0)</f>
        <v>10303</v>
      </c>
      <c r="N378" s="45">
        <f>ROUND(SUM(Ｎ!N24:N59)/36,0)</f>
        <v>7442</v>
      </c>
      <c r="O378" s="80">
        <f>ROUND(SUM(Ｎ!O24:O59)/36,0)</f>
        <v>2861</v>
      </c>
      <c r="P378" s="48">
        <f>ROUND(SUM(Ｎ!P24:P59)/36,0)</f>
        <v>98833</v>
      </c>
      <c r="Q378" s="45">
        <f>ROUND(SUM(Ｎ!Q24:Q59)/36,0)</f>
        <v>287855</v>
      </c>
      <c r="R378" s="50">
        <f>Ｎ!D378/Ｎ!P378</f>
        <v>0.36782248844009591</v>
      </c>
      <c r="S378" s="51">
        <f>Ｎ!I378/Ｎ!Q378</f>
        <v>0.25876569800767746</v>
      </c>
      <c r="T378" s="52">
        <f>Ｎ!M378/Ｎ!I378</f>
        <v>0.13831943829124546</v>
      </c>
    </row>
    <row r="379" spans="3:20" x14ac:dyDescent="0.2">
      <c r="C379" s="43">
        <v>11</v>
      </c>
      <c r="D379" s="48">
        <f>ROUND(SUM(Ｎ!D25:D60)/36,0)</f>
        <v>36438</v>
      </c>
      <c r="E379" s="45">
        <f>Ｎ!F379+Ｎ!G379</f>
        <v>31390</v>
      </c>
      <c r="F379" s="45">
        <f>Ｎ!D379-Ｎ!H379-Ｎ!G379</f>
        <v>29910</v>
      </c>
      <c r="G379" s="79">
        <f>ROUND(SUM(Ｎ!G25:G60)/36,0)</f>
        <v>1480</v>
      </c>
      <c r="H379" s="80">
        <f>ROUND(SUM(Ｎ!H25:H60)/36,0)</f>
        <v>5048</v>
      </c>
      <c r="I379" s="48">
        <f>ROUND(SUM(Ｎ!I25:I60)/36,0)</f>
        <v>74572</v>
      </c>
      <c r="J379" s="45">
        <f>ROUND(SUM(Ｎ!J25:J60)/36,0)</f>
        <v>64247</v>
      </c>
      <c r="K379" s="45">
        <f>ROUND(SUM(Ｎ!K25:K60)/36,0)</f>
        <v>48956</v>
      </c>
      <c r="L379" s="79">
        <f>ROUND(SUM(Ｎ!L25:L60)/36,0)</f>
        <v>15291</v>
      </c>
      <c r="M379" s="45">
        <f>ROUND(SUM(Ｎ!M25:M60)/36,0)</f>
        <v>10325</v>
      </c>
      <c r="N379" s="45">
        <f>ROUND(SUM(Ｎ!N25:N60)/36,0)</f>
        <v>7457</v>
      </c>
      <c r="O379" s="80">
        <f>ROUND(SUM(Ｎ!O25:O60)/36,0)</f>
        <v>2867</v>
      </c>
      <c r="P379" s="48">
        <f>ROUND(SUM(Ｎ!P25:P60)/36,0)</f>
        <v>98981</v>
      </c>
      <c r="Q379" s="45">
        <f>ROUND(SUM(Ｎ!Q25:Q60)/36,0)</f>
        <v>288001</v>
      </c>
      <c r="R379" s="50">
        <f>Ｎ!D379/Ｎ!P379</f>
        <v>0.36813125751406833</v>
      </c>
      <c r="S379" s="51">
        <f>Ｎ!I379/Ｎ!Q379</f>
        <v>0.25892965649424826</v>
      </c>
      <c r="T379" s="52">
        <f>Ｎ!M379/Ｎ!I379</f>
        <v>0.13845679343453307</v>
      </c>
    </row>
    <row r="380" spans="3:20" x14ac:dyDescent="0.2">
      <c r="C380" s="43">
        <v>12</v>
      </c>
      <c r="D380" s="48">
        <f>ROUND(SUM(Ｎ!D26:D61)/36,0)</f>
        <v>36523</v>
      </c>
      <c r="E380" s="55">
        <f>Ｎ!F380+Ｎ!G380</f>
        <v>31466</v>
      </c>
      <c r="F380" s="55">
        <f>Ｎ!D380-Ｎ!H380-Ｎ!G380</f>
        <v>29982</v>
      </c>
      <c r="G380" s="89">
        <f>ROUND(SUM(Ｎ!G26:G61)/36,0)</f>
        <v>1484</v>
      </c>
      <c r="H380" s="90">
        <f>ROUND(SUM(Ｎ!H26:H61)/36,0)</f>
        <v>5057</v>
      </c>
      <c r="I380" s="58">
        <f>ROUND(SUM(Ｎ!I26:I61)/36,0)</f>
        <v>74656</v>
      </c>
      <c r="J380" s="55">
        <f>ROUND(SUM(Ｎ!J26:J61)/36,0)</f>
        <v>64310</v>
      </c>
      <c r="K380" s="55">
        <f>ROUND(SUM(Ｎ!K26:K61)/36,0)</f>
        <v>48930</v>
      </c>
      <c r="L380" s="89">
        <f>ROUND(SUM(Ｎ!L26:L61)/36,0)</f>
        <v>15380</v>
      </c>
      <c r="M380" s="55">
        <f>ROUND(SUM(Ｎ!M26:M61)/36,0)</f>
        <v>10346</v>
      </c>
      <c r="N380" s="55">
        <f>ROUND(SUM(Ｎ!N26:N61)/36,0)</f>
        <v>7472</v>
      </c>
      <c r="O380" s="90">
        <f>ROUND(SUM(Ｎ!O26:O61)/36,0)</f>
        <v>2874</v>
      </c>
      <c r="P380" s="58">
        <f>ROUND(SUM(Ｎ!P26:P61)/36,0)</f>
        <v>99128</v>
      </c>
      <c r="Q380" s="55">
        <f>ROUND(SUM(Ｎ!Q26:Q61)/36,0)</f>
        <v>288148</v>
      </c>
      <c r="R380" s="60">
        <f>Ｎ!D380/Ｎ!P380</f>
        <v>0.36844282140263096</v>
      </c>
      <c r="S380" s="61">
        <f>Ｎ!I380/Ｎ!Q380</f>
        <v>0.25908907922317698</v>
      </c>
      <c r="T380" s="62">
        <f>Ｎ!M380/Ｎ!I380</f>
        <v>0.13858229747106729</v>
      </c>
    </row>
    <row r="381" spans="3:20" x14ac:dyDescent="0.2">
      <c r="C381" s="53">
        <v>1</v>
      </c>
      <c r="D381" s="48">
        <f>ROUND(SUM(Ｎ!D27:D62)/36,0)</f>
        <v>36609</v>
      </c>
      <c r="E381" s="45">
        <f>Ｎ!F381+Ｎ!G381</f>
        <v>31543</v>
      </c>
      <c r="F381" s="45">
        <f>Ｎ!D381-Ｎ!H381-Ｎ!G381</f>
        <v>30055</v>
      </c>
      <c r="G381" s="79">
        <f>ROUND(SUM(Ｎ!G27:G62)/36,0)</f>
        <v>1488</v>
      </c>
      <c r="H381" s="80">
        <f>ROUND(SUM(Ｎ!H27:H62)/36,0)</f>
        <v>5066</v>
      </c>
      <c r="I381" s="48">
        <f>ROUND(SUM(Ｎ!I27:I62)/36,0)</f>
        <v>74738</v>
      </c>
      <c r="J381" s="45">
        <f>ROUND(SUM(Ｎ!J27:J62)/36,0)</f>
        <v>64371</v>
      </c>
      <c r="K381" s="45">
        <f>ROUND(SUM(Ｎ!K27:K62)/36,0)</f>
        <v>48904</v>
      </c>
      <c r="L381" s="79">
        <f>ROUND(SUM(Ｎ!L27:L62)/36,0)</f>
        <v>15467</v>
      </c>
      <c r="M381" s="45">
        <f>ROUND(SUM(Ｎ!M27:M62)/36,0)</f>
        <v>10366</v>
      </c>
      <c r="N381" s="45">
        <f>ROUND(SUM(Ｎ!N27:N62)/36,0)</f>
        <v>7486</v>
      </c>
      <c r="O381" s="80">
        <f>ROUND(SUM(Ｎ!O27:O62)/36,0)</f>
        <v>2880</v>
      </c>
      <c r="P381" s="48">
        <f>ROUND(SUM(Ｎ!P27:P62)/36,0)</f>
        <v>99276</v>
      </c>
      <c r="Q381" s="45">
        <f>ROUND(SUM(Ｎ!Q27:Q62)/36,0)</f>
        <v>288291</v>
      </c>
      <c r="R381" s="50">
        <f>Ｎ!D381/Ｎ!P381</f>
        <v>0.36875982110479877</v>
      </c>
      <c r="S381" s="51">
        <f>Ｎ!I381/Ｎ!Q381</f>
        <v>0.25924499897672837</v>
      </c>
      <c r="T381" s="52">
        <f>Ｎ!M381/Ｎ!I381</f>
        <v>0.13869785116005245</v>
      </c>
    </row>
    <row r="382" spans="3:20" x14ac:dyDescent="0.2">
      <c r="C382" s="43">
        <v>2</v>
      </c>
      <c r="D382" s="48">
        <f>ROUND(SUM(Ｎ!D28:D63)/36,0)</f>
        <v>36694</v>
      </c>
      <c r="E382" s="45">
        <f>Ｎ!F382+Ｎ!G382</f>
        <v>31619</v>
      </c>
      <c r="F382" s="45">
        <f>Ｎ!D382-Ｎ!H382-Ｎ!G382</f>
        <v>30127</v>
      </c>
      <c r="G382" s="79">
        <f>ROUND(SUM(Ｎ!G28:G63)/36,0)</f>
        <v>1492</v>
      </c>
      <c r="H382" s="80">
        <f>ROUND(SUM(Ｎ!H28:H63)/36,0)</f>
        <v>5075</v>
      </c>
      <c r="I382" s="48">
        <f>ROUND(SUM(Ｎ!I28:I63)/36,0)</f>
        <v>74821</v>
      </c>
      <c r="J382" s="45">
        <f>ROUND(SUM(Ｎ!J28:J63)/36,0)</f>
        <v>64434</v>
      </c>
      <c r="K382" s="45">
        <f>ROUND(SUM(Ｎ!K28:K63)/36,0)</f>
        <v>48879</v>
      </c>
      <c r="L382" s="79">
        <f>ROUND(SUM(Ｎ!L28:L63)/36,0)</f>
        <v>15555</v>
      </c>
      <c r="M382" s="45">
        <f>ROUND(SUM(Ｎ!M28:M63)/36,0)</f>
        <v>10387</v>
      </c>
      <c r="N382" s="45">
        <f>ROUND(SUM(Ｎ!N28:N63)/36,0)</f>
        <v>7501</v>
      </c>
      <c r="O382" s="80">
        <f>ROUND(SUM(Ｎ!O28:O63)/36,0)</f>
        <v>2886</v>
      </c>
      <c r="P382" s="48">
        <f>ROUND(SUM(Ｎ!P28:P63)/36,0)</f>
        <v>99425</v>
      </c>
      <c r="Q382" s="45">
        <f>ROUND(SUM(Ｎ!Q28:Q63)/36,0)</f>
        <v>288431</v>
      </c>
      <c r="R382" s="50">
        <f>Ｎ!D382/Ｎ!P382</f>
        <v>0.36906210711591653</v>
      </c>
      <c r="S382" s="51">
        <f>Ｎ!I382/Ｎ!Q382</f>
        <v>0.25940692921357272</v>
      </c>
      <c r="T382" s="52">
        <f>Ｎ!M382/Ｎ!I382</f>
        <v>0.13882466152550754</v>
      </c>
    </row>
    <row r="383" spans="3:20" x14ac:dyDescent="0.2">
      <c r="C383" s="91">
        <v>3</v>
      </c>
      <c r="D383" s="92">
        <f>ROUND(SUM(Ｎ!D29:D64)/36,0)</f>
        <v>36779</v>
      </c>
      <c r="E383" s="289">
        <f>Ｎ!F383+Ｎ!G383</f>
        <v>31695</v>
      </c>
      <c r="F383" s="289">
        <f>Ｎ!D383-Ｎ!H383-Ｎ!G383</f>
        <v>30199</v>
      </c>
      <c r="G383" s="290">
        <f>ROUND(SUM(Ｎ!G29:G64)/36,0)</f>
        <v>1496</v>
      </c>
      <c r="H383" s="291">
        <f>ROUND(SUM(Ｎ!H29:H64)/36,0)</f>
        <v>5084</v>
      </c>
      <c r="I383" s="292">
        <f>ROUND(SUM(Ｎ!I29:I64)/36,0)</f>
        <v>74904</v>
      </c>
      <c r="J383" s="289">
        <f>ROUND(SUM(Ｎ!J29:J64)/36,0)</f>
        <v>64497</v>
      </c>
      <c r="K383" s="289">
        <f>ROUND(SUM(Ｎ!K29:K64)/36,0)</f>
        <v>48853</v>
      </c>
      <c r="L383" s="290">
        <f>ROUND(SUM(Ｎ!L29:L64)/36,0)</f>
        <v>15645</v>
      </c>
      <c r="M383" s="289">
        <f>ROUND(SUM(Ｎ!M29:M64)/36,0)</f>
        <v>10407</v>
      </c>
      <c r="N383" s="289">
        <f>ROUND(SUM(Ｎ!N29:N64)/36,0)</f>
        <v>7515</v>
      </c>
      <c r="O383" s="291">
        <f>ROUND(SUM(Ｎ!O29:O64)/36,0)</f>
        <v>2893</v>
      </c>
      <c r="P383" s="292">
        <f>ROUND(SUM(Ｎ!P29:P64)/36,0)</f>
        <v>99569</v>
      </c>
      <c r="Q383" s="289">
        <f>ROUND(SUM(Ｎ!Q29:Q64)/36,0)</f>
        <v>288564</v>
      </c>
      <c r="R383" s="293">
        <f>Ｎ!D383/Ｎ!P383</f>
        <v>0.36938203657764968</v>
      </c>
      <c r="S383" s="294">
        <f>Ｎ!I383/Ｎ!Q383</f>
        <v>0.25957499896036929</v>
      </c>
      <c r="T383" s="295">
        <f>Ｎ!M383/Ｎ!I383</f>
        <v>0.13893784043575777</v>
      </c>
    </row>
    <row r="384" spans="3:20" x14ac:dyDescent="0.2">
      <c r="C384" s="296" t="s">
        <v>2805</v>
      </c>
      <c r="D384" s="297">
        <f>ROUND(SUM(Ｎ!D30:D65)/36,0)</f>
        <v>36869</v>
      </c>
      <c r="E384" s="298">
        <f>Ｎ!F384+Ｎ!G384</f>
        <v>31775</v>
      </c>
      <c r="F384" s="298">
        <f>Ｎ!D384-Ｎ!H384-Ｎ!G384</f>
        <v>30275</v>
      </c>
      <c r="G384" s="299">
        <f>ROUND(SUM(Ｎ!G30:G65)/36,0)</f>
        <v>1500</v>
      </c>
      <c r="H384" s="300">
        <f>ROUND(SUM(Ｎ!H30:H65)/36,0)</f>
        <v>5094</v>
      </c>
      <c r="I384" s="297">
        <f>ROUND(SUM(Ｎ!I30:I65)/36,0)</f>
        <v>74997</v>
      </c>
      <c r="J384" s="298">
        <f>ROUND(SUM(Ｎ!J30:J65)/36,0)</f>
        <v>64567</v>
      </c>
      <c r="K384" s="298">
        <f>ROUND(SUM(Ｎ!K30:K65)/36,0)</f>
        <v>48831</v>
      </c>
      <c r="L384" s="299">
        <f>ROUND(SUM(Ｎ!L30:L65)/36,0)</f>
        <v>15736</v>
      </c>
      <c r="M384" s="298">
        <f>ROUND(SUM(Ｎ!M30:M65)/36,0)</f>
        <v>10430</v>
      </c>
      <c r="N384" s="298">
        <f>ROUND(SUM(Ｎ!N30:N65)/36,0)</f>
        <v>7531</v>
      </c>
      <c r="O384" s="300">
        <f>ROUND(SUM(Ｎ!O30:O65)/36,0)</f>
        <v>2900</v>
      </c>
      <c r="P384" s="297">
        <f>ROUND(SUM(Ｎ!P30:P65)/36,0)</f>
        <v>99713</v>
      </c>
      <c r="Q384" s="298">
        <f>ROUND(SUM(Ｎ!Q30:Q65)/36,0)</f>
        <v>288694</v>
      </c>
      <c r="R384" s="301">
        <f>Ｎ!D384/Ｎ!P384</f>
        <v>0.36975118590354317</v>
      </c>
      <c r="S384" s="302">
        <f>Ｎ!I384/Ｎ!Q384</f>
        <v>0.2597802517544528</v>
      </c>
      <c r="T384" s="303">
        <f>Ｎ!M384/Ｎ!I384</f>
        <v>0.13907222955584891</v>
      </c>
    </row>
    <row r="385" spans="3:20" x14ac:dyDescent="0.2">
      <c r="C385" s="53">
        <v>5</v>
      </c>
      <c r="D385" s="48">
        <f>ROUND(SUM(Ｎ!D31:D66)/36,0)</f>
        <v>36960</v>
      </c>
      <c r="E385" s="45">
        <f>Ｎ!F385+Ｎ!G385</f>
        <v>31856</v>
      </c>
      <c r="F385" s="45">
        <f>Ｎ!D385-Ｎ!H385-Ｎ!G385</f>
        <v>30352</v>
      </c>
      <c r="G385" s="79">
        <f>ROUND(SUM(Ｎ!G31:G66)/36,0)</f>
        <v>1504</v>
      </c>
      <c r="H385" s="80">
        <f>ROUND(SUM(Ｎ!H31:H66)/36,0)</f>
        <v>5104</v>
      </c>
      <c r="I385" s="48">
        <f>ROUND(SUM(Ｎ!I31:I66)/36,0)</f>
        <v>75093</v>
      </c>
      <c r="J385" s="45">
        <f>ROUND(SUM(Ｎ!J31:J66)/36,0)</f>
        <v>64641</v>
      </c>
      <c r="K385" s="45">
        <f>ROUND(SUM(Ｎ!K31:K66)/36,0)</f>
        <v>48812</v>
      </c>
      <c r="L385" s="79">
        <f>ROUND(SUM(Ｎ!L31:L66)/36,0)</f>
        <v>15829</v>
      </c>
      <c r="M385" s="45">
        <f>ROUND(SUM(Ｎ!M31:M66)/36,0)</f>
        <v>10453</v>
      </c>
      <c r="N385" s="45">
        <f>ROUND(SUM(Ｎ!N31:N66)/36,0)</f>
        <v>7547</v>
      </c>
      <c r="O385" s="80">
        <f>ROUND(SUM(Ｎ!O31:O66)/36,0)</f>
        <v>2906</v>
      </c>
      <c r="P385" s="48">
        <f>ROUND(SUM(Ｎ!P31:P66)/36,0)</f>
        <v>99858</v>
      </c>
      <c r="Q385" s="45">
        <f>ROUND(SUM(Ｎ!Q31:Q66)/36,0)</f>
        <v>288823</v>
      </c>
      <c r="R385" s="50">
        <f>Ｎ!D385/Ｎ!P385</f>
        <v>0.37012557832121612</v>
      </c>
      <c r="S385" s="51">
        <f>Ｎ!I385/Ｎ!Q385</f>
        <v>0.25999660691842408</v>
      </c>
      <c r="T385" s="52">
        <f>Ｎ!M385/Ｎ!I385</f>
        <v>0.1392007244350339</v>
      </c>
    </row>
    <row r="386" spans="3:20" x14ac:dyDescent="0.2">
      <c r="C386" s="43">
        <v>6</v>
      </c>
      <c r="D386" s="48">
        <f>ROUND(SUM(Ｎ!D32:D67)/36,0)</f>
        <v>37054</v>
      </c>
      <c r="E386" s="45">
        <f>Ｎ!F386+Ｎ!G386</f>
        <v>31939</v>
      </c>
      <c r="F386" s="45">
        <f>Ｎ!D386-Ｎ!H386-Ｎ!G386</f>
        <v>30431</v>
      </c>
      <c r="G386" s="79">
        <f>ROUND(SUM(Ｎ!G32:G67)/36,0)</f>
        <v>1508</v>
      </c>
      <c r="H386" s="80">
        <f>ROUND(SUM(Ｎ!H32:H67)/36,0)</f>
        <v>5115</v>
      </c>
      <c r="I386" s="48">
        <f>ROUND(SUM(Ｎ!I32:I67)/36,0)</f>
        <v>75195</v>
      </c>
      <c r="J386" s="45">
        <f>ROUND(SUM(Ｎ!J32:J67)/36,0)</f>
        <v>64718</v>
      </c>
      <c r="K386" s="45">
        <f>ROUND(SUM(Ｎ!K32:K67)/36,0)</f>
        <v>48796</v>
      </c>
      <c r="L386" s="79">
        <f>ROUND(SUM(Ｎ!L32:L67)/36,0)</f>
        <v>15922</v>
      </c>
      <c r="M386" s="45">
        <f>ROUND(SUM(Ｎ!M32:M67)/36,0)</f>
        <v>10477</v>
      </c>
      <c r="N386" s="45">
        <f>ROUND(SUM(Ｎ!N32:N67)/36,0)</f>
        <v>7564</v>
      </c>
      <c r="O386" s="80">
        <f>ROUND(SUM(Ｎ!O32:O67)/36,0)</f>
        <v>2913</v>
      </c>
      <c r="P386" s="48">
        <f>ROUND(SUM(Ｎ!P32:P67)/36,0)</f>
        <v>100001</v>
      </c>
      <c r="Q386" s="45">
        <f>ROUND(SUM(Ｎ!Q32:Q67)/36,0)</f>
        <v>288948</v>
      </c>
      <c r="R386" s="50">
        <f>Ｎ!D386/Ｎ!P386</f>
        <v>0.37053629463705362</v>
      </c>
      <c r="S386" s="51">
        <f>Ｎ!I386/Ｎ!Q386</f>
        <v>0.26023713609369159</v>
      </c>
      <c r="T386" s="52">
        <f>Ｎ!M386/Ｎ!I386</f>
        <v>0.13933107254471708</v>
      </c>
    </row>
    <row r="387" spans="3:20" x14ac:dyDescent="0.2">
      <c r="C387" s="43">
        <v>7</v>
      </c>
      <c r="D387" s="48">
        <f>ROUND(SUM(Ｎ!D33:D68)/36,0)</f>
        <v>37148</v>
      </c>
      <c r="E387" s="55">
        <f>Ｎ!F387+Ｎ!G387</f>
        <v>32022</v>
      </c>
      <c r="F387" s="55">
        <f>Ｎ!D387-Ｎ!H387-Ｎ!G387</f>
        <v>30509</v>
      </c>
      <c r="G387" s="89">
        <f>ROUND(SUM(Ｎ!G33:G68)/36,0)</f>
        <v>1513</v>
      </c>
      <c r="H387" s="90">
        <f>ROUND(SUM(Ｎ!H33:H68)/36,0)</f>
        <v>5126</v>
      </c>
      <c r="I387" s="58">
        <f>ROUND(SUM(Ｎ!I33:I68)/36,0)</f>
        <v>75300</v>
      </c>
      <c r="J387" s="55">
        <f>ROUND(SUM(Ｎ!J33:J68)/36,0)</f>
        <v>64798</v>
      </c>
      <c r="K387" s="55">
        <f>ROUND(SUM(Ｎ!K33:K68)/36,0)</f>
        <v>48782</v>
      </c>
      <c r="L387" s="89">
        <f>ROUND(SUM(Ｎ!L33:L68)/36,0)</f>
        <v>16016</v>
      </c>
      <c r="M387" s="55">
        <f>ROUND(SUM(Ｎ!M33:M68)/36,0)</f>
        <v>10502</v>
      </c>
      <c r="N387" s="55">
        <f>ROUND(SUM(Ｎ!N33:N68)/36,0)</f>
        <v>7582</v>
      </c>
      <c r="O387" s="90">
        <f>ROUND(SUM(Ｎ!O33:O68)/36,0)</f>
        <v>2921</v>
      </c>
      <c r="P387" s="58">
        <f>ROUND(SUM(Ｎ!P33:P68)/36,0)</f>
        <v>100141</v>
      </c>
      <c r="Q387" s="55">
        <f>ROUND(SUM(Ｎ!Q33:Q68)/36,0)</f>
        <v>289068</v>
      </c>
      <c r="R387" s="60">
        <f>Ｎ!D387/Ｎ!P387</f>
        <v>0.37095695069951368</v>
      </c>
      <c r="S387" s="61">
        <f>Ｎ!I387/Ｎ!Q387</f>
        <v>0.26049234090248663</v>
      </c>
      <c r="T387" s="62">
        <f>Ｎ!M387/Ｎ!I387</f>
        <v>0.13946879150066402</v>
      </c>
    </row>
    <row r="388" spans="3:20" x14ac:dyDescent="0.2">
      <c r="C388" s="53">
        <v>8</v>
      </c>
      <c r="D388" s="48">
        <f>ROUND(SUM(Ｎ!D34:D69)/36,0)</f>
        <v>37245</v>
      </c>
      <c r="E388" s="55">
        <f>Ｎ!F388+Ｎ!G388</f>
        <v>32107</v>
      </c>
      <c r="F388" s="55">
        <f>Ｎ!D388-Ｎ!H388-Ｎ!G388</f>
        <v>30589</v>
      </c>
      <c r="G388" s="89">
        <f>ROUND(SUM(Ｎ!G34:G69)/36,0)</f>
        <v>1518</v>
      </c>
      <c r="H388" s="90">
        <f>ROUND(SUM(Ｎ!H34:H69)/36,0)</f>
        <v>5138</v>
      </c>
      <c r="I388" s="58">
        <f>ROUND(SUM(Ｎ!I34:I69)/36,0)</f>
        <v>75408</v>
      </c>
      <c r="J388" s="55">
        <f>ROUND(SUM(Ｎ!J34:J69)/36,0)</f>
        <v>64881</v>
      </c>
      <c r="K388" s="55">
        <f>ROUND(SUM(Ｎ!K34:K69)/36,0)</f>
        <v>48770</v>
      </c>
      <c r="L388" s="89">
        <f>ROUND(SUM(Ｎ!L34:L69)/36,0)</f>
        <v>16111</v>
      </c>
      <c r="M388" s="55">
        <f>ROUND(SUM(Ｎ!M34:M69)/36,0)</f>
        <v>10527</v>
      </c>
      <c r="N388" s="55">
        <f>ROUND(SUM(Ｎ!N34:N69)/36,0)</f>
        <v>7599</v>
      </c>
      <c r="O388" s="90">
        <f>ROUND(SUM(Ｎ!O34:O69)/36,0)</f>
        <v>2928</v>
      </c>
      <c r="P388" s="58">
        <f>ROUND(SUM(Ｎ!P34:P69)/36,0)</f>
        <v>100276</v>
      </c>
      <c r="Q388" s="55">
        <f>ROUND(SUM(Ｎ!Q34:Q69)/36,0)</f>
        <v>289184</v>
      </c>
      <c r="R388" s="60">
        <f>Ｎ!D388/Ｎ!P388</f>
        <v>0.37142486736606967</v>
      </c>
      <c r="S388" s="61">
        <f>Ｎ!I388/Ｎ!Q388</f>
        <v>0.26076131459555163</v>
      </c>
      <c r="T388" s="62">
        <f>Ｎ!M388/Ｎ!I388</f>
        <v>0.13960057288351368</v>
      </c>
    </row>
    <row r="389" spans="3:20" x14ac:dyDescent="0.2">
      <c r="C389" s="53">
        <v>9</v>
      </c>
      <c r="D389" s="58">
        <f>ROUND(SUM(Ｎ!D35:D70)/36,0)</f>
        <v>37343</v>
      </c>
      <c r="E389" s="55">
        <f>Ｎ!F389+Ｎ!G389</f>
        <v>32193</v>
      </c>
      <c r="F389" s="55">
        <f>Ｎ!D389-Ｎ!H389-Ｎ!G389</f>
        <v>30671</v>
      </c>
      <c r="G389" s="89">
        <f>ROUND(SUM(Ｎ!G35:G70)/36,0)</f>
        <v>1522</v>
      </c>
      <c r="H389" s="90">
        <f>ROUND(SUM(Ｎ!H35:H70)/36,0)</f>
        <v>5150</v>
      </c>
      <c r="I389" s="58">
        <f>ROUND(SUM(Ｎ!I35:I70)/36,0)</f>
        <v>75522</v>
      </c>
      <c r="J389" s="55">
        <f>ROUND(SUM(Ｎ!J35:J70)/36,0)</f>
        <v>64968</v>
      </c>
      <c r="K389" s="55">
        <f>ROUND(SUM(Ｎ!K35:K70)/36,0)</f>
        <v>48759</v>
      </c>
      <c r="L389" s="89">
        <f>ROUND(SUM(Ｎ!L35:L70)/36,0)</f>
        <v>16208</v>
      </c>
      <c r="M389" s="55">
        <f>ROUND(SUM(Ｎ!M35:M70)/36,0)</f>
        <v>10555</v>
      </c>
      <c r="N389" s="55">
        <f>ROUND(SUM(Ｎ!N35:N70)/36,0)</f>
        <v>7619</v>
      </c>
      <c r="O389" s="90">
        <f>ROUND(SUM(Ｎ!O35:O70)/36,0)</f>
        <v>2936</v>
      </c>
      <c r="P389" s="58">
        <f>ROUND(SUM(Ｎ!P35:P70)/36,0)</f>
        <v>100414</v>
      </c>
      <c r="Q389" s="55">
        <f>ROUND(SUM(Ｎ!Q35:Q70)/36,0)</f>
        <v>289306</v>
      </c>
      <c r="R389" s="60">
        <f>Ｎ!D389/Ｎ!P389</f>
        <v>0.37189037385225165</v>
      </c>
      <c r="S389" s="61">
        <f>Ｎ!I389/Ｎ!Q389</f>
        <v>0.26104539829799589</v>
      </c>
      <c r="T389" s="62">
        <f>Ｎ!M389/Ｎ!I389</f>
        <v>0.139760599560393</v>
      </c>
    </row>
    <row r="390" spans="3:20" x14ac:dyDescent="0.2">
      <c r="C390" s="53">
        <v>10</v>
      </c>
      <c r="D390" s="48">
        <f>ROUND(SUM(Ｎ!D36:D71)/36,0)</f>
        <v>37441</v>
      </c>
      <c r="E390" s="45">
        <f>Ｎ!F390+Ｎ!G390</f>
        <v>32279</v>
      </c>
      <c r="F390" s="45">
        <f>Ｎ!D390-Ｎ!H390-Ｎ!G390</f>
        <v>30752</v>
      </c>
      <c r="G390" s="79">
        <f>ROUND(SUM(Ｎ!G36:G71)/36,0)</f>
        <v>1527</v>
      </c>
      <c r="H390" s="80">
        <f>ROUND(SUM(Ｎ!H36:H71)/36,0)</f>
        <v>5162</v>
      </c>
      <c r="I390" s="48">
        <f>ROUND(SUM(Ｎ!I36:I71)/36,0)</f>
        <v>75638</v>
      </c>
      <c r="J390" s="45">
        <f>ROUND(SUM(Ｎ!J36:J71)/36,0)</f>
        <v>65056</v>
      </c>
      <c r="K390" s="45">
        <f>ROUND(SUM(Ｎ!K36:K71)/36,0)</f>
        <v>48752</v>
      </c>
      <c r="L390" s="79">
        <f>ROUND(SUM(Ｎ!L36:L71)/36,0)</f>
        <v>16305</v>
      </c>
      <c r="M390" s="45">
        <f>ROUND(SUM(Ｎ!M36:M71)/36,0)</f>
        <v>10582</v>
      </c>
      <c r="N390" s="45">
        <f>ROUND(SUM(Ｎ!N36:N71)/36,0)</f>
        <v>7637</v>
      </c>
      <c r="O390" s="80">
        <f>ROUND(SUM(Ｎ!O36:O71)/36,0)</f>
        <v>2945</v>
      </c>
      <c r="P390" s="48">
        <f>ROUND(SUM(Ｎ!P36:P71)/36,0)</f>
        <v>100548</v>
      </c>
      <c r="Q390" s="45">
        <f>ROUND(SUM(Ｎ!Q36:Q71)/36,0)</f>
        <v>289423</v>
      </c>
      <c r="R390" s="50">
        <f>Ｎ!D390/Ｎ!P390</f>
        <v>0.37236941560249831</v>
      </c>
      <c r="S390" s="51">
        <f>Ｎ!I390/Ｎ!Q390</f>
        <v>0.26134066746595813</v>
      </c>
      <c r="T390" s="52">
        <f>Ｎ!M390/Ｎ!I390</f>
        <v>0.13990322324757398</v>
      </c>
    </row>
    <row r="391" spans="3:20" x14ac:dyDescent="0.2">
      <c r="C391" s="43">
        <v>11</v>
      </c>
      <c r="D391" s="48">
        <f>ROUND(SUM(Ｎ!D37:D72)/36,0)</f>
        <v>37540</v>
      </c>
      <c r="E391" s="45">
        <f>Ｎ!F391+Ｎ!G391</f>
        <v>32366</v>
      </c>
      <c r="F391" s="45">
        <f>Ｎ!D391-Ｎ!H391-Ｎ!G391</f>
        <v>30834</v>
      </c>
      <c r="G391" s="79">
        <f>ROUND(SUM(Ｎ!G37:G72)/36,0)</f>
        <v>1532</v>
      </c>
      <c r="H391" s="80">
        <f>ROUND(SUM(Ｎ!H37:H72)/36,0)</f>
        <v>5174</v>
      </c>
      <c r="I391" s="48">
        <f>ROUND(SUM(Ｎ!I37:I72)/36,0)</f>
        <v>75757</v>
      </c>
      <c r="J391" s="45">
        <f>ROUND(SUM(Ｎ!J37:J72)/36,0)</f>
        <v>65149</v>
      </c>
      <c r="K391" s="45">
        <f>ROUND(SUM(Ｎ!K37:K72)/36,0)</f>
        <v>48748</v>
      </c>
      <c r="L391" s="79">
        <f>ROUND(SUM(Ｎ!L37:L72)/36,0)</f>
        <v>16401</v>
      </c>
      <c r="M391" s="45">
        <f>ROUND(SUM(Ｎ!M37:M72)/36,0)</f>
        <v>10608</v>
      </c>
      <c r="N391" s="45">
        <f>ROUND(SUM(Ｎ!N37:N72)/36,0)</f>
        <v>7655</v>
      </c>
      <c r="O391" s="80">
        <f>ROUND(SUM(Ｎ!O37:O72)/36,0)</f>
        <v>2953</v>
      </c>
      <c r="P391" s="48">
        <f>ROUND(SUM(Ｎ!P37:P72)/36,0)</f>
        <v>100682</v>
      </c>
      <c r="Q391" s="45">
        <f>ROUND(SUM(Ｎ!Q37:Q72)/36,0)</f>
        <v>289537</v>
      </c>
      <c r="R391" s="50">
        <f>Ｎ!D391/Ｎ!P391</f>
        <v>0.37285711447925152</v>
      </c>
      <c r="S391" s="51">
        <f>Ｎ!I391/Ｎ!Q391</f>
        <v>0.26164877027806466</v>
      </c>
      <c r="T391" s="52">
        <f>Ｎ!M391/Ｎ!I391</f>
        <v>0.14002666420264795</v>
      </c>
    </row>
    <row r="392" spans="3:20" x14ac:dyDescent="0.2">
      <c r="C392" s="43">
        <v>12</v>
      </c>
      <c r="D392" s="48">
        <f>ROUND(SUM(Ｎ!D38:D73)/36,0)</f>
        <v>37640</v>
      </c>
      <c r="E392" s="55">
        <f>Ｎ!F392+Ｎ!G392</f>
        <v>32453</v>
      </c>
      <c r="F392" s="55">
        <f>Ｎ!D392-Ｎ!H392-Ｎ!G392</f>
        <v>30915</v>
      </c>
      <c r="G392" s="89">
        <f>ROUND(SUM(Ｎ!G38:G73)/36,0)</f>
        <v>1538</v>
      </c>
      <c r="H392" s="90">
        <f>ROUND(SUM(Ｎ!H38:H73)/36,0)</f>
        <v>5187</v>
      </c>
      <c r="I392" s="58">
        <f>ROUND(SUM(Ｎ!I38:I73)/36,0)</f>
        <v>75878</v>
      </c>
      <c r="J392" s="55">
        <f>ROUND(SUM(Ｎ!J38:J73)/36,0)</f>
        <v>65241</v>
      </c>
      <c r="K392" s="55">
        <f>ROUND(SUM(Ｎ!K38:K73)/36,0)</f>
        <v>48744</v>
      </c>
      <c r="L392" s="89">
        <f>ROUND(SUM(Ｎ!L38:L73)/36,0)</f>
        <v>16496</v>
      </c>
      <c r="M392" s="55">
        <f>ROUND(SUM(Ｎ!M38:M73)/36,0)</f>
        <v>10637</v>
      </c>
      <c r="N392" s="55">
        <f>ROUND(SUM(Ｎ!N38:N73)/36,0)</f>
        <v>7676</v>
      </c>
      <c r="O392" s="90">
        <f>ROUND(SUM(Ｎ!O38:O73)/36,0)</f>
        <v>2962</v>
      </c>
      <c r="P392" s="58">
        <f>ROUND(SUM(Ｎ!P38:P73)/36,0)</f>
        <v>100816</v>
      </c>
      <c r="Q392" s="55">
        <f>ROUND(SUM(Ｎ!Q38:Q73)/36,0)</f>
        <v>289649</v>
      </c>
      <c r="R392" s="60">
        <f>Ｎ!D392/Ｎ!P392</f>
        <v>0.37335343596254561</v>
      </c>
      <c r="S392" s="61">
        <f>Ｎ!I392/Ｎ!Q392</f>
        <v>0.2619653442615027</v>
      </c>
      <c r="T392" s="62">
        <f>Ｎ!M392/Ｎ!I392</f>
        <v>0.14018556103218324</v>
      </c>
    </row>
    <row r="393" spans="3:20" x14ac:dyDescent="0.2">
      <c r="C393" s="53">
        <v>1</v>
      </c>
      <c r="D393" s="48">
        <f>ROUND(SUM(Ｎ!D39:D74)/36,0)</f>
        <v>37743</v>
      </c>
      <c r="E393" s="45">
        <f>Ｎ!F393+Ｎ!G393</f>
        <v>32543</v>
      </c>
      <c r="F393" s="45">
        <f>Ｎ!D393-Ｎ!H393-Ｎ!G393</f>
        <v>31000</v>
      </c>
      <c r="G393" s="79">
        <f>ROUND(SUM(Ｎ!G39:G74)/36,0)</f>
        <v>1543</v>
      </c>
      <c r="H393" s="80">
        <f>ROUND(SUM(Ｎ!H39:H74)/36,0)</f>
        <v>5200</v>
      </c>
      <c r="I393" s="48">
        <f>ROUND(SUM(Ｎ!I39:I74)/36,0)</f>
        <v>76004</v>
      </c>
      <c r="J393" s="45">
        <f>ROUND(SUM(Ｎ!J39:J74)/36,0)</f>
        <v>65338</v>
      </c>
      <c r="K393" s="45">
        <f>ROUND(SUM(Ｎ!K39:K74)/36,0)</f>
        <v>48747</v>
      </c>
      <c r="L393" s="79">
        <f>ROUND(SUM(Ｎ!L39:L74)/36,0)</f>
        <v>16591</v>
      </c>
      <c r="M393" s="45">
        <f>ROUND(SUM(Ｎ!M39:M74)/36,0)</f>
        <v>10665</v>
      </c>
      <c r="N393" s="45">
        <f>ROUND(SUM(Ｎ!N39:N74)/36,0)</f>
        <v>7695</v>
      </c>
      <c r="O393" s="80">
        <f>ROUND(SUM(Ｎ!O39:O74)/36,0)</f>
        <v>2970</v>
      </c>
      <c r="P393" s="48">
        <f>ROUND(SUM(Ｎ!P39:P74)/36,0)</f>
        <v>100947</v>
      </c>
      <c r="Q393" s="45">
        <f>ROUND(SUM(Ｎ!Q39:Q74)/36,0)</f>
        <v>289758</v>
      </c>
      <c r="R393" s="50">
        <f>Ｎ!D393/Ｎ!P393</f>
        <v>0.37388926862611072</v>
      </c>
      <c r="S393" s="51">
        <f>Ｎ!I393/Ｎ!Q393</f>
        <v>0.2623016448208505</v>
      </c>
      <c r="T393" s="52">
        <f>Ｎ!M393/Ｎ!I393</f>
        <v>0.1403215620230514</v>
      </c>
    </row>
    <row r="394" spans="3:20" x14ac:dyDescent="0.2">
      <c r="C394" s="43">
        <v>2</v>
      </c>
      <c r="D394" s="48">
        <f>ROUND(SUM(Ｎ!D40:D75)/36,0)</f>
        <v>37846</v>
      </c>
      <c r="E394" s="45">
        <f>Ｎ!F394+Ｎ!G394</f>
        <v>32633</v>
      </c>
      <c r="F394" s="45">
        <f>Ｎ!D394-Ｎ!H394-Ｎ!G394</f>
        <v>31084</v>
      </c>
      <c r="G394" s="79">
        <f>ROUND(SUM(Ｎ!G40:G75)/36,0)</f>
        <v>1549</v>
      </c>
      <c r="H394" s="80">
        <f>ROUND(SUM(Ｎ!H40:H75)/36,0)</f>
        <v>5213</v>
      </c>
      <c r="I394" s="48">
        <f>ROUND(SUM(Ｎ!I40:I75)/36,0)</f>
        <v>76135</v>
      </c>
      <c r="J394" s="45">
        <f>ROUND(SUM(Ｎ!J40:J75)/36,0)</f>
        <v>65439</v>
      </c>
      <c r="K394" s="45">
        <f>ROUND(SUM(Ｎ!K40:K75)/36,0)</f>
        <v>48752</v>
      </c>
      <c r="L394" s="79">
        <f>ROUND(SUM(Ｎ!L40:L75)/36,0)</f>
        <v>16686</v>
      </c>
      <c r="M394" s="45">
        <f>ROUND(SUM(Ｎ!M40:M75)/36,0)</f>
        <v>10696</v>
      </c>
      <c r="N394" s="45">
        <f>ROUND(SUM(Ｎ!N40:N75)/36,0)</f>
        <v>7717</v>
      </c>
      <c r="O394" s="80">
        <f>ROUND(SUM(Ｎ!O40:O75)/36,0)</f>
        <v>2980</v>
      </c>
      <c r="P394" s="48">
        <f>ROUND(SUM(Ｎ!P40:P75)/36,0)</f>
        <v>101077</v>
      </c>
      <c r="Q394" s="45">
        <f>ROUND(SUM(Ｎ!Q40:Q75)/36,0)</f>
        <v>289866</v>
      </c>
      <c r="R394" s="50">
        <f>Ｎ!D394/Ｎ!P394</f>
        <v>0.3744274167219051</v>
      </c>
      <c r="S394" s="51">
        <f>Ｎ!I394/Ｎ!Q394</f>
        <v>0.26265584787453511</v>
      </c>
      <c r="T394" s="52">
        <f>Ｎ!M394/Ｎ!I394</f>
        <v>0.14048729230971302</v>
      </c>
    </row>
    <row r="395" spans="3:20" x14ac:dyDescent="0.2">
      <c r="C395" s="91">
        <v>3</v>
      </c>
      <c r="D395" s="92">
        <f>ROUND(SUM(Ｎ!D41:D76)/36,0)</f>
        <v>37951</v>
      </c>
      <c r="E395" s="289">
        <f>Ｎ!F395+Ｎ!G395</f>
        <v>32722</v>
      </c>
      <c r="F395" s="289">
        <f>Ｎ!D395-Ｎ!H395-Ｎ!G395</f>
        <v>31166</v>
      </c>
      <c r="G395" s="290">
        <f>ROUND(SUM(Ｎ!G41:G76)/36,0)</f>
        <v>1556</v>
      </c>
      <c r="H395" s="291">
        <f>ROUND(SUM(Ｎ!H41:H76)/36,0)</f>
        <v>5229</v>
      </c>
      <c r="I395" s="292">
        <f>ROUND(SUM(Ｎ!I41:I76)/36,0)</f>
        <v>76271</v>
      </c>
      <c r="J395" s="289">
        <f>ROUND(SUM(Ｎ!J41:J76)/36,0)</f>
        <v>65539</v>
      </c>
      <c r="K395" s="289">
        <f>ROUND(SUM(Ｎ!K41:K76)/36,0)</f>
        <v>48758</v>
      </c>
      <c r="L395" s="290">
        <f>ROUND(SUM(Ｎ!L41:L76)/36,0)</f>
        <v>16781</v>
      </c>
      <c r="M395" s="289">
        <f>ROUND(SUM(Ｎ!M41:M76)/36,0)</f>
        <v>10732</v>
      </c>
      <c r="N395" s="289">
        <f>ROUND(SUM(Ｎ!N41:N76)/36,0)</f>
        <v>7741</v>
      </c>
      <c r="O395" s="291">
        <f>ROUND(SUM(Ｎ!O41:O76)/36,0)</f>
        <v>2990</v>
      </c>
      <c r="P395" s="292">
        <f>ROUND(SUM(Ｎ!P41:P76)/36,0)</f>
        <v>101210</v>
      </c>
      <c r="Q395" s="289">
        <f>ROUND(SUM(Ｎ!Q41:Q76)/36,0)</f>
        <v>289971</v>
      </c>
      <c r="R395" s="293">
        <f>Ｎ!D395/Ｎ!P395</f>
        <v>0.3749728287718605</v>
      </c>
      <c r="S395" s="294">
        <f>Ｎ!I395/Ｎ!Q395</f>
        <v>0.26302975125098715</v>
      </c>
      <c r="T395" s="295">
        <f>Ｎ!M395/Ｎ!I395</f>
        <v>0.14070878839926054</v>
      </c>
    </row>
    <row r="396" spans="3:20" x14ac:dyDescent="0.2">
      <c r="C396" s="296" t="s">
        <v>2806</v>
      </c>
      <c r="D396" s="297">
        <f>ROUND(SUM(Ｎ!D42:D77)/36,0)</f>
        <v>38061</v>
      </c>
      <c r="E396" s="298">
        <f>Ｎ!F396+Ｎ!G396</f>
        <v>32816</v>
      </c>
      <c r="F396" s="298">
        <f>Ｎ!D396-Ｎ!H396-Ｎ!G396</f>
        <v>31253</v>
      </c>
      <c r="G396" s="299">
        <f>ROUND(SUM(Ｎ!G42:G77)/36,0)</f>
        <v>1563</v>
      </c>
      <c r="H396" s="300">
        <f>ROUND(SUM(Ｎ!H42:H77)/36,0)</f>
        <v>5245</v>
      </c>
      <c r="I396" s="297">
        <f>ROUND(SUM(Ｎ!I42:I77)/36,0)</f>
        <v>76418</v>
      </c>
      <c r="J396" s="298">
        <f>ROUND(SUM(Ｎ!J42:J77)/36,0)</f>
        <v>65648</v>
      </c>
      <c r="K396" s="298">
        <f>ROUND(SUM(Ｎ!K42:K77)/36,0)</f>
        <v>48770</v>
      </c>
      <c r="L396" s="299">
        <f>ROUND(SUM(Ｎ!L42:L77)/36,0)</f>
        <v>16878</v>
      </c>
      <c r="M396" s="298">
        <f>ROUND(SUM(Ｎ!M42:M77)/36,0)</f>
        <v>10770</v>
      </c>
      <c r="N396" s="298">
        <f>ROUND(SUM(Ｎ!N42:N77)/36,0)</f>
        <v>7768</v>
      </c>
      <c r="O396" s="300">
        <f>ROUND(SUM(Ｎ!O42:O77)/36,0)</f>
        <v>3002</v>
      </c>
      <c r="P396" s="297">
        <f>ROUND(SUM(Ｎ!P42:P77)/36,0)</f>
        <v>101344</v>
      </c>
      <c r="Q396" s="298">
        <f>ROUND(SUM(Ｎ!Q42:Q77)/36,0)</f>
        <v>290077</v>
      </c>
      <c r="R396" s="301">
        <f>Ｎ!D396/Ｎ!P396</f>
        <v>0.37556244079570572</v>
      </c>
      <c r="S396" s="302">
        <f>Ｎ!I396/Ｎ!Q396</f>
        <v>0.26344039686014403</v>
      </c>
      <c r="T396" s="303">
        <f>Ｎ!M396/Ｎ!I396</f>
        <v>0.14093538171634956</v>
      </c>
    </row>
    <row r="397" spans="3:20" x14ac:dyDescent="0.2">
      <c r="C397" s="53">
        <v>5</v>
      </c>
      <c r="D397" s="48">
        <f>ROUND(SUM(Ｎ!D43:D78)/36,0)</f>
        <v>38171</v>
      </c>
      <c r="E397" s="45">
        <f>Ｎ!F397+Ｎ!G397</f>
        <v>32910</v>
      </c>
      <c r="F397" s="45">
        <f>Ｎ!D397-Ｎ!H397-Ｎ!G397</f>
        <v>31340</v>
      </c>
      <c r="G397" s="79">
        <f>ROUND(SUM(Ｎ!G43:G78)/36,0)</f>
        <v>1570</v>
      </c>
      <c r="H397" s="80">
        <f>ROUND(SUM(Ｎ!H43:H78)/36,0)</f>
        <v>5261</v>
      </c>
      <c r="I397" s="48">
        <f>ROUND(SUM(Ｎ!I43:I78)/36,0)</f>
        <v>76569</v>
      </c>
      <c r="J397" s="45">
        <f>ROUND(SUM(Ｎ!J43:J78)/36,0)</f>
        <v>65762</v>
      </c>
      <c r="K397" s="45">
        <f>ROUND(SUM(Ｎ!K43:K78)/36,0)</f>
        <v>48787</v>
      </c>
      <c r="L397" s="79">
        <f>ROUND(SUM(Ｎ!L43:L78)/36,0)</f>
        <v>16975</v>
      </c>
      <c r="M397" s="45">
        <f>ROUND(SUM(Ｎ!M43:M78)/36,0)</f>
        <v>10808</v>
      </c>
      <c r="N397" s="45">
        <f>ROUND(SUM(Ｎ!N43:N78)/36,0)</f>
        <v>7795</v>
      </c>
      <c r="O397" s="80">
        <f>ROUND(SUM(Ｎ!O43:O78)/36,0)</f>
        <v>3013</v>
      </c>
      <c r="P397" s="48">
        <f>ROUND(SUM(Ｎ!P43:P78)/36,0)</f>
        <v>101479</v>
      </c>
      <c r="Q397" s="45">
        <f>ROUND(SUM(Ｎ!Q43:Q78)/36,0)</f>
        <v>290185</v>
      </c>
      <c r="R397" s="50">
        <f>Ｎ!D397/Ｎ!P397</f>
        <v>0.37614678899082571</v>
      </c>
      <c r="S397" s="51">
        <f>Ｎ!I397/Ｎ!Q397</f>
        <v>0.26386270827230907</v>
      </c>
      <c r="T397" s="52">
        <f>Ｎ!M397/Ｎ!I397</f>
        <v>0.1411537306220533</v>
      </c>
    </row>
    <row r="398" spans="3:20" x14ac:dyDescent="0.2">
      <c r="C398" s="43">
        <v>6</v>
      </c>
      <c r="D398" s="48">
        <f>ROUND(SUM(Ｎ!D44:D79)/36,0)</f>
        <v>38284</v>
      </c>
      <c r="E398" s="45">
        <f>Ｎ!F398+Ｎ!G398</f>
        <v>33008</v>
      </c>
      <c r="F398" s="45">
        <f>Ｎ!D398-Ｎ!H398-Ｎ!G398</f>
        <v>31430</v>
      </c>
      <c r="G398" s="79">
        <f>ROUND(SUM(Ｎ!G44:G79)/36,0)</f>
        <v>1578</v>
      </c>
      <c r="H398" s="80">
        <f>ROUND(SUM(Ｎ!H44:H79)/36,0)</f>
        <v>5276</v>
      </c>
      <c r="I398" s="48">
        <f>ROUND(SUM(Ｎ!I44:I79)/36,0)</f>
        <v>76726</v>
      </c>
      <c r="J398" s="45">
        <f>ROUND(SUM(Ｎ!J44:J79)/36,0)</f>
        <v>65882</v>
      </c>
      <c r="K398" s="45">
        <f>ROUND(SUM(Ｎ!K44:K79)/36,0)</f>
        <v>48809</v>
      </c>
      <c r="L398" s="79">
        <f>ROUND(SUM(Ｎ!L44:L79)/36,0)</f>
        <v>17073</v>
      </c>
      <c r="M398" s="45">
        <f>ROUND(SUM(Ｎ!M44:M79)/36,0)</f>
        <v>10844</v>
      </c>
      <c r="N398" s="45">
        <f>ROUND(SUM(Ｎ!N44:N79)/36,0)</f>
        <v>7819</v>
      </c>
      <c r="O398" s="80">
        <f>ROUND(SUM(Ｎ!O44:O79)/36,0)</f>
        <v>3025</v>
      </c>
      <c r="P398" s="48">
        <f>ROUND(SUM(Ｎ!P44:P79)/36,0)</f>
        <v>101612</v>
      </c>
      <c r="Q398" s="45">
        <f>ROUND(SUM(Ｎ!Q44:Q79)/36,0)</f>
        <v>290291</v>
      </c>
      <c r="R398" s="50">
        <f>Ｎ!D398/Ｎ!P398</f>
        <v>0.37676652363894031</v>
      </c>
      <c r="S398" s="51">
        <f>Ｎ!I398/Ｎ!Q398</f>
        <v>0.26430719519378831</v>
      </c>
      <c r="T398" s="52">
        <f>Ｎ!M398/Ｎ!I398</f>
        <v>0.14133409795897089</v>
      </c>
    </row>
    <row r="399" spans="3:20" x14ac:dyDescent="0.2">
      <c r="C399" s="43">
        <v>7</v>
      </c>
      <c r="D399" s="48">
        <f>ROUND(SUM(Ｎ!D45:D80)/36,0)</f>
        <v>38400</v>
      </c>
      <c r="E399" s="55">
        <f>Ｎ!F399+Ｎ!G399</f>
        <v>33108</v>
      </c>
      <c r="F399" s="55">
        <f>Ｎ!D399-Ｎ!H399-Ｎ!G399</f>
        <v>31522</v>
      </c>
      <c r="G399" s="89">
        <f>ROUND(SUM(Ｎ!G45:G80)/36,0)</f>
        <v>1586</v>
      </c>
      <c r="H399" s="90">
        <f>ROUND(SUM(Ｎ!H45:H80)/36,0)</f>
        <v>5292</v>
      </c>
      <c r="I399" s="58">
        <f>ROUND(SUM(Ｎ!I45:I80)/36,0)</f>
        <v>76891</v>
      </c>
      <c r="J399" s="55">
        <f>ROUND(SUM(Ｎ!J45:J80)/36,0)</f>
        <v>66008</v>
      </c>
      <c r="K399" s="55">
        <f>ROUND(SUM(Ｎ!K45:K80)/36,0)</f>
        <v>48836</v>
      </c>
      <c r="L399" s="89">
        <f>ROUND(SUM(Ｎ!L45:L80)/36,0)</f>
        <v>17171</v>
      </c>
      <c r="M399" s="55">
        <f>ROUND(SUM(Ｎ!M45:M80)/36,0)</f>
        <v>10883</v>
      </c>
      <c r="N399" s="55">
        <f>ROUND(SUM(Ｎ!N45:N80)/36,0)</f>
        <v>7846</v>
      </c>
      <c r="O399" s="90">
        <f>ROUND(SUM(Ｎ!O45:O80)/36,0)</f>
        <v>3037</v>
      </c>
      <c r="P399" s="58">
        <f>ROUND(SUM(Ｎ!P45:P80)/36,0)</f>
        <v>101744</v>
      </c>
      <c r="Q399" s="55">
        <f>ROUND(SUM(Ｎ!Q45:Q80)/36,0)</f>
        <v>290398</v>
      </c>
      <c r="R399" s="60">
        <f>Ｎ!D399/Ｎ!P399</f>
        <v>0.37741783299260889</v>
      </c>
      <c r="S399" s="61">
        <f>Ｎ!I399/Ｎ!Q399</f>
        <v>0.264777994338804</v>
      </c>
      <c r="T399" s="62">
        <f>Ｎ!M399/Ｎ!I399</f>
        <v>0.14153802135490501</v>
      </c>
    </row>
    <row r="400" spans="3:20" x14ac:dyDescent="0.2">
      <c r="C400" s="53">
        <v>8</v>
      </c>
      <c r="D400" s="48">
        <f>ROUND(SUM(Ｎ!D46:D81)/36,0)</f>
        <v>38517</v>
      </c>
      <c r="E400" s="55">
        <f>Ｎ!F400+Ｎ!G400</f>
        <v>33209</v>
      </c>
      <c r="F400" s="55">
        <f>Ｎ!D400-Ｎ!H400-Ｎ!G400</f>
        <v>31615</v>
      </c>
      <c r="G400" s="89">
        <f>ROUND(SUM(Ｎ!G46:G81)/36,0)</f>
        <v>1594</v>
      </c>
      <c r="H400" s="90">
        <f>ROUND(SUM(Ｎ!H46:H81)/36,0)</f>
        <v>5308</v>
      </c>
      <c r="I400" s="58">
        <f>ROUND(SUM(Ｎ!I46:I81)/36,0)</f>
        <v>77062</v>
      </c>
      <c r="J400" s="55">
        <f>ROUND(SUM(Ｎ!J46:J81)/36,0)</f>
        <v>66140</v>
      </c>
      <c r="K400" s="55">
        <f>ROUND(SUM(Ｎ!K46:K81)/36,0)</f>
        <v>48869</v>
      </c>
      <c r="L400" s="89">
        <f>ROUND(SUM(Ｎ!L46:L81)/36,0)</f>
        <v>17271</v>
      </c>
      <c r="M400" s="55">
        <f>ROUND(SUM(Ｎ!M46:M81)/36,0)</f>
        <v>10922</v>
      </c>
      <c r="N400" s="55">
        <f>ROUND(SUM(Ｎ!N46:N81)/36,0)</f>
        <v>7873</v>
      </c>
      <c r="O400" s="90">
        <f>ROUND(SUM(Ｎ!O46:O81)/36,0)</f>
        <v>3049</v>
      </c>
      <c r="P400" s="58">
        <f>ROUND(SUM(Ｎ!P46:P81)/36,0)</f>
        <v>101874</v>
      </c>
      <c r="Q400" s="55">
        <f>ROUND(SUM(Ｎ!Q46:Q81)/36,0)</f>
        <v>290503</v>
      </c>
      <c r="R400" s="60">
        <f>Ｎ!D400/Ｎ!P400</f>
        <v>0.37808469285588081</v>
      </c>
      <c r="S400" s="61">
        <f>Ｎ!I400/Ｎ!Q400</f>
        <v>0.26527092663414836</v>
      </c>
      <c r="T400" s="62">
        <f>Ｎ!M400/Ｎ!I400</f>
        <v>0.14173003555578625</v>
      </c>
    </row>
    <row r="401" spans="3:20" x14ac:dyDescent="0.2">
      <c r="C401" s="53">
        <v>9</v>
      </c>
      <c r="D401" s="58">
        <f>ROUND(SUM(Ｎ!D47:D82)/36,0)</f>
        <v>38636</v>
      </c>
      <c r="E401" s="55">
        <f>Ｎ!F401+Ｎ!G401</f>
        <v>33310</v>
      </c>
      <c r="F401" s="55">
        <f>Ｎ!D401-Ｎ!H401-Ｎ!G401</f>
        <v>31707</v>
      </c>
      <c r="G401" s="89">
        <f>ROUND(SUM(Ｎ!G47:G82)/36,0)</f>
        <v>1603</v>
      </c>
      <c r="H401" s="90">
        <f>ROUND(SUM(Ｎ!H47:H82)/36,0)</f>
        <v>5326</v>
      </c>
      <c r="I401" s="58">
        <f>ROUND(SUM(Ｎ!I47:I82)/36,0)</f>
        <v>77237</v>
      </c>
      <c r="J401" s="55">
        <f>ROUND(SUM(Ｎ!J47:J82)/36,0)</f>
        <v>66273</v>
      </c>
      <c r="K401" s="55">
        <f>ROUND(SUM(Ｎ!K47:K82)/36,0)</f>
        <v>48902</v>
      </c>
      <c r="L401" s="89">
        <f>ROUND(SUM(Ｎ!L47:L82)/36,0)</f>
        <v>17371</v>
      </c>
      <c r="M401" s="55">
        <f>ROUND(SUM(Ｎ!M47:M82)/36,0)</f>
        <v>10964</v>
      </c>
      <c r="N401" s="55">
        <f>ROUND(SUM(Ｎ!N47:N82)/36,0)</f>
        <v>7903</v>
      </c>
      <c r="O401" s="90">
        <f>ROUND(SUM(Ｎ!O47:O82)/36,0)</f>
        <v>3062</v>
      </c>
      <c r="P401" s="58">
        <f>ROUND(SUM(Ｎ!P47:P82)/36,0)</f>
        <v>102004</v>
      </c>
      <c r="Q401" s="55">
        <f>ROUND(SUM(Ｎ!Q47:Q82)/36,0)</f>
        <v>290607</v>
      </c>
      <c r="R401" s="60">
        <f>Ｎ!D401/Ｎ!P401</f>
        <v>0.37876946002117562</v>
      </c>
      <c r="S401" s="61">
        <f>Ｎ!I401/Ｎ!Q401</f>
        <v>0.26577818153038296</v>
      </c>
      <c r="T401" s="62">
        <f>Ｎ!M401/Ｎ!I401</f>
        <v>0.14195269106775249</v>
      </c>
    </row>
    <row r="402" spans="3:20" x14ac:dyDescent="0.2">
      <c r="C402" s="53">
        <v>10</v>
      </c>
      <c r="D402" s="48">
        <f>ROUND(SUM(Ｎ!D48:D83)/36,0)</f>
        <v>38755</v>
      </c>
      <c r="E402" s="45">
        <f>Ｎ!F402+Ｎ!G402</f>
        <v>33412</v>
      </c>
      <c r="F402" s="45">
        <f>Ｎ!D402-Ｎ!H402-Ｎ!G402</f>
        <v>31801</v>
      </c>
      <c r="G402" s="79">
        <f>ROUND(SUM(Ｎ!G48:G83)/36,0)</f>
        <v>1611</v>
      </c>
      <c r="H402" s="80">
        <f>ROUND(SUM(Ｎ!H48:H83)/36,0)</f>
        <v>5343</v>
      </c>
      <c r="I402" s="48">
        <f>ROUND(SUM(Ｎ!I48:I83)/36,0)</f>
        <v>77412</v>
      </c>
      <c r="J402" s="45">
        <f>ROUND(SUM(Ｎ!J48:J83)/36,0)</f>
        <v>66407</v>
      </c>
      <c r="K402" s="45">
        <f>ROUND(SUM(Ｎ!K48:K83)/36,0)</f>
        <v>48936</v>
      </c>
      <c r="L402" s="79">
        <f>ROUND(SUM(Ｎ!L48:L83)/36,0)</f>
        <v>17471</v>
      </c>
      <c r="M402" s="45">
        <f>ROUND(SUM(Ｎ!M48:M83)/36,0)</f>
        <v>11006</v>
      </c>
      <c r="N402" s="45">
        <f>ROUND(SUM(Ｎ!N48:N83)/36,0)</f>
        <v>7931</v>
      </c>
      <c r="O402" s="80">
        <f>ROUND(SUM(Ｎ!O48:O83)/36,0)</f>
        <v>3074</v>
      </c>
      <c r="P402" s="48">
        <f>ROUND(SUM(Ｎ!P48:P83)/36,0)</f>
        <v>102131</v>
      </c>
      <c r="Q402" s="45">
        <f>ROUND(SUM(Ｎ!Q48:Q83)/36,0)</f>
        <v>290705</v>
      </c>
      <c r="R402" s="50">
        <f>Ｎ!D402/Ｎ!P402</f>
        <v>0.37946363004376732</v>
      </c>
      <c r="S402" s="51">
        <f>Ｎ!I402/Ｎ!Q402</f>
        <v>0.26629056947764917</v>
      </c>
      <c r="T402" s="52">
        <f>Ｎ!M402/Ｎ!I402</f>
        <v>0.14217433989562342</v>
      </c>
    </row>
    <row r="403" spans="3:20" x14ac:dyDescent="0.2">
      <c r="C403" s="43">
        <v>11</v>
      </c>
      <c r="D403" s="48">
        <f>ROUND(SUM(Ｎ!D49:D84)/36,0)</f>
        <v>38874</v>
      </c>
      <c r="E403" s="45">
        <f>Ｎ!F403+Ｎ!G403</f>
        <v>33515</v>
      </c>
      <c r="F403" s="45">
        <f>Ｎ!D403-Ｎ!H403-Ｎ!G403</f>
        <v>31895</v>
      </c>
      <c r="G403" s="79">
        <f>ROUND(SUM(Ｎ!G49:G84)/36,0)</f>
        <v>1620</v>
      </c>
      <c r="H403" s="80">
        <f>ROUND(SUM(Ｎ!H49:H84)/36,0)</f>
        <v>5359</v>
      </c>
      <c r="I403" s="48">
        <f>ROUND(SUM(Ｎ!I49:I84)/36,0)</f>
        <v>77586</v>
      </c>
      <c r="J403" s="45">
        <f>ROUND(SUM(Ｎ!J49:J84)/36,0)</f>
        <v>66541</v>
      </c>
      <c r="K403" s="45">
        <f>ROUND(SUM(Ｎ!K49:K84)/36,0)</f>
        <v>48971</v>
      </c>
      <c r="L403" s="79">
        <f>ROUND(SUM(Ｎ!L49:L84)/36,0)</f>
        <v>17569</v>
      </c>
      <c r="M403" s="45">
        <f>ROUND(SUM(Ｎ!M49:M84)/36,0)</f>
        <v>11045</v>
      </c>
      <c r="N403" s="45">
        <f>ROUND(SUM(Ｎ!N49:N84)/36,0)</f>
        <v>7958</v>
      </c>
      <c r="O403" s="80">
        <f>ROUND(SUM(Ｎ!O49:O84)/36,0)</f>
        <v>3087</v>
      </c>
      <c r="P403" s="48">
        <f>ROUND(SUM(Ｎ!P49:P84)/36,0)</f>
        <v>102257</v>
      </c>
      <c r="Q403" s="45">
        <f>ROUND(SUM(Ｎ!Q49:Q84)/36,0)</f>
        <v>290800</v>
      </c>
      <c r="R403" s="50">
        <f>Ｎ!D403/Ｎ!P403</f>
        <v>0.3801597934615723</v>
      </c>
      <c r="S403" s="51">
        <f>Ｎ!I403/Ｎ!Q403</f>
        <v>0.26680192572214578</v>
      </c>
      <c r="T403" s="52">
        <f>Ｎ!M403/Ｎ!I403</f>
        <v>0.14235815739953084</v>
      </c>
    </row>
    <row r="404" spans="3:20" x14ac:dyDescent="0.2">
      <c r="C404" s="43">
        <v>12</v>
      </c>
      <c r="D404" s="48">
        <f>ROUND(SUM(Ｎ!D50:D85)/36,0)</f>
        <v>38995</v>
      </c>
      <c r="E404" s="55">
        <f>Ｎ!F404+Ｎ!G404</f>
        <v>33620</v>
      </c>
      <c r="F404" s="55">
        <f>Ｎ!D404-Ｎ!H404-Ｎ!G404</f>
        <v>31991</v>
      </c>
      <c r="G404" s="89">
        <f>ROUND(SUM(Ｎ!G50:G85)/36,0)</f>
        <v>1629</v>
      </c>
      <c r="H404" s="90">
        <f>ROUND(SUM(Ｎ!H50:H85)/36,0)</f>
        <v>5375</v>
      </c>
      <c r="I404" s="58">
        <f>ROUND(SUM(Ｎ!I50:I85)/36,0)</f>
        <v>77763</v>
      </c>
      <c r="J404" s="55">
        <f>ROUND(SUM(Ｎ!J50:J85)/36,0)</f>
        <v>66677</v>
      </c>
      <c r="K404" s="55">
        <f>ROUND(SUM(Ｎ!K50:K85)/36,0)</f>
        <v>49007</v>
      </c>
      <c r="L404" s="89">
        <f>ROUND(SUM(Ｎ!L50:L85)/36,0)</f>
        <v>17669</v>
      </c>
      <c r="M404" s="55">
        <f>ROUND(SUM(Ｎ!M50:M85)/36,0)</f>
        <v>11087</v>
      </c>
      <c r="N404" s="55">
        <f>ROUND(SUM(Ｎ!N50:N85)/36,0)</f>
        <v>7987</v>
      </c>
      <c r="O404" s="90">
        <f>ROUND(SUM(Ｎ!O50:O85)/36,0)</f>
        <v>3100</v>
      </c>
      <c r="P404" s="58">
        <f>ROUND(SUM(Ｎ!P50:P85)/36,0)</f>
        <v>102385</v>
      </c>
      <c r="Q404" s="55">
        <f>ROUND(SUM(Ｎ!Q50:Q85)/36,0)</f>
        <v>290897</v>
      </c>
      <c r="R404" s="60">
        <f>Ｎ!D404/Ｎ!P404</f>
        <v>0.38086633784245738</v>
      </c>
      <c r="S404" s="61">
        <f>Ｎ!I404/Ｎ!Q404</f>
        <v>0.26732142304664536</v>
      </c>
      <c r="T404" s="62">
        <f>Ｎ!M404/Ｎ!I404</f>
        <v>0.14257423196121549</v>
      </c>
    </row>
    <row r="405" spans="3:20" x14ac:dyDescent="0.2">
      <c r="C405" s="53">
        <v>1</v>
      </c>
      <c r="D405" s="48">
        <f>ROUND(SUM(Ｎ!D51:D86)/36,0)</f>
        <v>39118</v>
      </c>
      <c r="E405" s="45">
        <f>Ｎ!F405+Ｎ!G405</f>
        <v>33728</v>
      </c>
      <c r="F405" s="45">
        <f>Ｎ!D405-Ｎ!H405-Ｎ!G405</f>
        <v>32089</v>
      </c>
      <c r="G405" s="79">
        <f>ROUND(SUM(Ｎ!G51:G86)/36,0)</f>
        <v>1639</v>
      </c>
      <c r="H405" s="80">
        <f>ROUND(SUM(Ｎ!H51:H86)/36,0)</f>
        <v>5390</v>
      </c>
      <c r="I405" s="48">
        <f>ROUND(SUM(Ｎ!I51:I86)/36,0)</f>
        <v>77940</v>
      </c>
      <c r="J405" s="45">
        <f>ROUND(SUM(Ｎ!J51:J86)/36,0)</f>
        <v>66814</v>
      </c>
      <c r="K405" s="45">
        <f>ROUND(SUM(Ｎ!K51:K86)/36,0)</f>
        <v>49046</v>
      </c>
      <c r="L405" s="79">
        <f>ROUND(SUM(Ｎ!L51:L86)/36,0)</f>
        <v>17768</v>
      </c>
      <c r="M405" s="45">
        <f>ROUND(SUM(Ｎ!M51:M86)/36,0)</f>
        <v>11127</v>
      </c>
      <c r="N405" s="45">
        <f>ROUND(SUM(Ｎ!N51:N86)/36,0)</f>
        <v>8014</v>
      </c>
      <c r="O405" s="80">
        <f>ROUND(SUM(Ｎ!O51:O86)/36,0)</f>
        <v>3112</v>
      </c>
      <c r="P405" s="48">
        <f>ROUND(SUM(Ｎ!P51:P86)/36,0)</f>
        <v>102513</v>
      </c>
      <c r="Q405" s="45">
        <f>ROUND(SUM(Ｎ!Q51:Q86)/36,0)</f>
        <v>290991</v>
      </c>
      <c r="R405" s="50">
        <f>Ｎ!D405/Ｎ!P405</f>
        <v>0.38159062753016693</v>
      </c>
      <c r="S405" s="51">
        <f>Ｎ!I405/Ｎ!Q405</f>
        <v>0.26784333536088745</v>
      </c>
      <c r="T405" s="52">
        <f>Ｎ!M405/Ｎ!I405</f>
        <v>0.14276366435719784</v>
      </c>
    </row>
    <row r="406" spans="3:20" x14ac:dyDescent="0.2">
      <c r="C406" s="43">
        <v>2</v>
      </c>
      <c r="D406" s="48">
        <f>ROUND(SUM(Ｎ!D52:D87)/36,0)</f>
        <v>39244</v>
      </c>
      <c r="E406" s="45">
        <f>Ｎ!F406+Ｎ!G406</f>
        <v>33838</v>
      </c>
      <c r="F406" s="45">
        <f>Ｎ!D406-Ｎ!H406-Ｎ!G406</f>
        <v>32190</v>
      </c>
      <c r="G406" s="79">
        <f>ROUND(SUM(Ｎ!G52:G87)/36,0)</f>
        <v>1648</v>
      </c>
      <c r="H406" s="80">
        <f>ROUND(SUM(Ｎ!H52:H87)/36,0)</f>
        <v>5406</v>
      </c>
      <c r="I406" s="48">
        <f>ROUND(SUM(Ｎ!I52:I87)/36,0)</f>
        <v>78123</v>
      </c>
      <c r="J406" s="45">
        <f>ROUND(SUM(Ｎ!J52:J87)/36,0)</f>
        <v>66955</v>
      </c>
      <c r="K406" s="45">
        <f>ROUND(SUM(Ｎ!K52:K87)/36,0)</f>
        <v>49087</v>
      </c>
      <c r="L406" s="79">
        <f>ROUND(SUM(Ｎ!L52:L87)/36,0)</f>
        <v>17868</v>
      </c>
      <c r="M406" s="45">
        <f>ROUND(SUM(Ｎ!M52:M87)/36,0)</f>
        <v>11168</v>
      </c>
      <c r="N406" s="45">
        <f>ROUND(SUM(Ｎ!N52:N87)/36,0)</f>
        <v>8043</v>
      </c>
      <c r="O406" s="80">
        <f>ROUND(SUM(Ｎ!O52:O87)/36,0)</f>
        <v>3125</v>
      </c>
      <c r="P406" s="48">
        <f>ROUND(SUM(Ｎ!P52:P87)/36,0)</f>
        <v>102642</v>
      </c>
      <c r="Q406" s="45">
        <f>ROUND(SUM(Ｎ!Q52:Q87)/36,0)</f>
        <v>291082</v>
      </c>
      <c r="R406" s="50">
        <f>Ｎ!D406/Ｎ!P406</f>
        <v>0.3823386138228016</v>
      </c>
      <c r="S406" s="51">
        <f>Ｎ!I406/Ｎ!Q406</f>
        <v>0.26838828921060043</v>
      </c>
      <c r="T406" s="52">
        <f>Ｎ!M406/Ｎ!I406</f>
        <v>0.14295405962392638</v>
      </c>
    </row>
    <row r="407" spans="3:20" x14ac:dyDescent="0.2">
      <c r="C407" s="91">
        <v>3</v>
      </c>
      <c r="D407" s="92">
        <f>ROUND(SUM(Ｎ!D53:D88)/36,0)</f>
        <v>39371</v>
      </c>
      <c r="E407" s="289">
        <f>Ｎ!F407+Ｎ!G407</f>
        <v>33947</v>
      </c>
      <c r="F407" s="289">
        <f>Ｎ!D407-Ｎ!H407-Ｎ!G407</f>
        <v>32289</v>
      </c>
      <c r="G407" s="290">
        <f>ROUND(SUM(Ｎ!G53:G88)/36,0)</f>
        <v>1658</v>
      </c>
      <c r="H407" s="291">
        <f>ROUND(SUM(Ｎ!H53:H88)/36,0)</f>
        <v>5424</v>
      </c>
      <c r="I407" s="292">
        <f>ROUND(SUM(Ｎ!I53:I88)/36,0)</f>
        <v>78306</v>
      </c>
      <c r="J407" s="289">
        <f>ROUND(SUM(Ｎ!J53:J88)/36,0)</f>
        <v>67092</v>
      </c>
      <c r="K407" s="289">
        <f>ROUND(SUM(Ｎ!K53:K88)/36,0)</f>
        <v>49124</v>
      </c>
      <c r="L407" s="290">
        <f>ROUND(SUM(Ｎ!L53:L88)/36,0)</f>
        <v>17969</v>
      </c>
      <c r="M407" s="289">
        <f>ROUND(SUM(Ｎ!M53:M88)/36,0)</f>
        <v>11214</v>
      </c>
      <c r="N407" s="289">
        <f>ROUND(SUM(Ｎ!N53:N88)/36,0)</f>
        <v>8074</v>
      </c>
      <c r="O407" s="291">
        <f>ROUND(SUM(Ｎ!O53:O88)/36,0)</f>
        <v>3140</v>
      </c>
      <c r="P407" s="292">
        <f>ROUND(SUM(Ｎ!P53:P88)/36,0)</f>
        <v>102772</v>
      </c>
      <c r="Q407" s="289">
        <f>ROUND(SUM(Ｎ!Q53:Q88)/36,0)</f>
        <v>291172</v>
      </c>
      <c r="R407" s="293">
        <f>Ｎ!D407/Ｎ!P407</f>
        <v>0.38309072510022185</v>
      </c>
      <c r="S407" s="294">
        <f>Ｎ!I407/Ｎ!Q407</f>
        <v>0.26893382605470306</v>
      </c>
      <c r="T407" s="295">
        <f>Ｎ!M407/Ｎ!I407</f>
        <v>0.14320741705616427</v>
      </c>
    </row>
    <row r="408" spans="3:20" x14ac:dyDescent="0.2">
      <c r="C408" s="296" t="s">
        <v>2807</v>
      </c>
      <c r="D408" s="297">
        <f>ROUND(SUM(Ｎ!D54:D89)/36,0)</f>
        <v>39501</v>
      </c>
      <c r="E408" s="298">
        <f>Ｎ!F408+Ｎ!G408</f>
        <v>34059</v>
      </c>
      <c r="F408" s="298">
        <f>Ｎ!D408-Ｎ!H408-Ｎ!G408</f>
        <v>32390</v>
      </c>
      <c r="G408" s="299">
        <f>ROUND(SUM(Ｎ!G54:G89)/36,0)</f>
        <v>1669</v>
      </c>
      <c r="H408" s="300">
        <f>ROUND(SUM(Ｎ!H54:H89)/36,0)</f>
        <v>5442</v>
      </c>
      <c r="I408" s="297">
        <f>ROUND(SUM(Ｎ!I54:I89)/36,0)</f>
        <v>78503</v>
      </c>
      <c r="J408" s="298">
        <f>ROUND(SUM(Ｎ!J54:J89)/36,0)</f>
        <v>67240</v>
      </c>
      <c r="K408" s="298">
        <f>ROUND(SUM(Ｎ!K54:K89)/36,0)</f>
        <v>49170</v>
      </c>
      <c r="L408" s="299">
        <f>ROUND(SUM(Ｎ!L54:L89)/36,0)</f>
        <v>18070</v>
      </c>
      <c r="M408" s="298">
        <f>ROUND(SUM(Ｎ!M54:M89)/36,0)</f>
        <v>11263</v>
      </c>
      <c r="N408" s="298">
        <f>ROUND(SUM(Ｎ!N54:N89)/36,0)</f>
        <v>8107</v>
      </c>
      <c r="O408" s="300">
        <f>ROUND(SUM(Ｎ!O54:O89)/36,0)</f>
        <v>3156</v>
      </c>
      <c r="P408" s="297">
        <f>ROUND(SUM(Ｎ!P54:P89)/36,0)</f>
        <v>102901</v>
      </c>
      <c r="Q408" s="298">
        <f>ROUND(SUM(Ｎ!Q54:Q89)/36,0)</f>
        <v>291261</v>
      </c>
      <c r="R408" s="301">
        <f>Ｎ!D408/Ｎ!P408</f>
        <v>0.383873820468217</v>
      </c>
      <c r="S408" s="302">
        <f>Ｎ!I408/Ｎ!Q408</f>
        <v>0.26952801782593616</v>
      </c>
      <c r="T408" s="303">
        <f>Ｎ!M408/Ｎ!I408</f>
        <v>0.14347222399143983</v>
      </c>
    </row>
    <row r="409" spans="3:20" x14ac:dyDescent="0.2">
      <c r="C409" s="53">
        <v>5</v>
      </c>
      <c r="D409" s="48">
        <f>ROUND(SUM(Ｎ!D55:D90)/36,0)</f>
        <v>39631</v>
      </c>
      <c r="E409" s="45">
        <f>Ｎ!F409+Ｎ!G409</f>
        <v>34170</v>
      </c>
      <c r="F409" s="45">
        <f>Ｎ!D409-Ｎ!H409-Ｎ!G409</f>
        <v>32490</v>
      </c>
      <c r="G409" s="79">
        <f>ROUND(SUM(Ｎ!G55:G90)/36,0)</f>
        <v>1680</v>
      </c>
      <c r="H409" s="80">
        <f>ROUND(SUM(Ｎ!H55:H90)/36,0)</f>
        <v>5461</v>
      </c>
      <c r="I409" s="48">
        <f>ROUND(SUM(Ｎ!I55:I90)/36,0)</f>
        <v>78701</v>
      </c>
      <c r="J409" s="45">
        <f>ROUND(SUM(Ｎ!J55:J90)/36,0)</f>
        <v>67390</v>
      </c>
      <c r="K409" s="45">
        <f>ROUND(SUM(Ｎ!K55:K90)/36,0)</f>
        <v>49218</v>
      </c>
      <c r="L409" s="79">
        <f>ROUND(SUM(Ｎ!L55:L90)/36,0)</f>
        <v>18172</v>
      </c>
      <c r="M409" s="45">
        <f>ROUND(SUM(Ｎ!M55:M90)/36,0)</f>
        <v>11312</v>
      </c>
      <c r="N409" s="45">
        <f>ROUND(SUM(Ｎ!N55:N90)/36,0)</f>
        <v>8140</v>
      </c>
      <c r="O409" s="80">
        <f>ROUND(SUM(Ｎ!O55:O90)/36,0)</f>
        <v>3172</v>
      </c>
      <c r="P409" s="48">
        <f>ROUND(SUM(Ｎ!P55:P90)/36,0)</f>
        <v>103025</v>
      </c>
      <c r="Q409" s="45">
        <f>ROUND(SUM(Ｎ!Q55:Q90)/36,0)</f>
        <v>291345</v>
      </c>
      <c r="R409" s="50">
        <f>Ｎ!D409/Ｎ!P409</f>
        <v>0.38467362290706142</v>
      </c>
      <c r="S409" s="51">
        <f>Ｎ!I409/Ｎ!Q409</f>
        <v>0.27012991470593284</v>
      </c>
      <c r="T409" s="52">
        <f>Ｎ!M409/Ｎ!I409</f>
        <v>0.14373387885795605</v>
      </c>
    </row>
    <row r="410" spans="3:20" x14ac:dyDescent="0.2">
      <c r="C410" s="43">
        <v>6</v>
      </c>
      <c r="D410" s="48">
        <f>ROUND(SUM(Ｎ!D56:D91)/36,0)</f>
        <v>39764</v>
      </c>
      <c r="E410" s="45">
        <f>Ｎ!F410+Ｎ!G410</f>
        <v>34285</v>
      </c>
      <c r="F410" s="45">
        <f>Ｎ!D410-Ｎ!H410-Ｎ!G410</f>
        <v>32594</v>
      </c>
      <c r="G410" s="79">
        <f>ROUND(SUM(Ｎ!G56:G91)/36,0)</f>
        <v>1691</v>
      </c>
      <c r="H410" s="80">
        <f>ROUND(SUM(Ｎ!H56:H91)/36,0)</f>
        <v>5479</v>
      </c>
      <c r="I410" s="48">
        <f>ROUND(SUM(Ｎ!I56:I91)/36,0)</f>
        <v>78903</v>
      </c>
      <c r="J410" s="45">
        <f>ROUND(SUM(Ｎ!J56:J91)/36,0)</f>
        <v>67542</v>
      </c>
      <c r="K410" s="45">
        <f>ROUND(SUM(Ｎ!K56:K91)/36,0)</f>
        <v>49268</v>
      </c>
      <c r="L410" s="79">
        <f>ROUND(SUM(Ｎ!L56:L91)/36,0)</f>
        <v>18274</v>
      </c>
      <c r="M410" s="45">
        <f>ROUND(SUM(Ｎ!M56:M91)/36,0)</f>
        <v>11360</v>
      </c>
      <c r="N410" s="45">
        <f>ROUND(SUM(Ｎ!N56:N91)/36,0)</f>
        <v>8172</v>
      </c>
      <c r="O410" s="80">
        <f>ROUND(SUM(Ｎ!O56:O91)/36,0)</f>
        <v>3188</v>
      </c>
      <c r="P410" s="48">
        <f>ROUND(SUM(Ｎ!P56:P91)/36,0)</f>
        <v>103147</v>
      </c>
      <c r="Q410" s="45">
        <f>ROUND(SUM(Ｎ!Q56:Q91)/36,0)</f>
        <v>291426</v>
      </c>
      <c r="R410" s="50">
        <f>Ｎ!D410/Ｎ!P410</f>
        <v>0.38550806131055676</v>
      </c>
      <c r="S410" s="51">
        <f>Ｎ!I410/Ｎ!Q410</f>
        <v>0.27074797718803401</v>
      </c>
      <c r="T410" s="52">
        <f>Ｎ!M410/Ｎ!I410</f>
        <v>0.14397424686006868</v>
      </c>
    </row>
    <row r="411" spans="3:20" x14ac:dyDescent="0.2">
      <c r="C411" s="43">
        <v>7</v>
      </c>
      <c r="D411" s="48">
        <f>ROUND(SUM(Ｎ!D57:D92)/36,0)</f>
        <v>39896</v>
      </c>
      <c r="E411" s="55">
        <f>Ｎ!F411+Ｎ!G411</f>
        <v>34401</v>
      </c>
      <c r="F411" s="55">
        <f>Ｎ!D411-Ｎ!H411-Ｎ!G411</f>
        <v>32698</v>
      </c>
      <c r="G411" s="89">
        <f>ROUND(SUM(Ｎ!G57:G92)/36,0)</f>
        <v>1703</v>
      </c>
      <c r="H411" s="90">
        <f>ROUND(SUM(Ｎ!H57:H92)/36,0)</f>
        <v>5495</v>
      </c>
      <c r="I411" s="58">
        <f>ROUND(SUM(Ｎ!I57:I92)/36,0)</f>
        <v>79107</v>
      </c>
      <c r="J411" s="55">
        <f>ROUND(SUM(Ｎ!J57:J92)/36,0)</f>
        <v>67699</v>
      </c>
      <c r="K411" s="55">
        <f>ROUND(SUM(Ｎ!K57:K92)/36,0)</f>
        <v>49322</v>
      </c>
      <c r="L411" s="89">
        <f>ROUND(SUM(Ｎ!L57:L92)/36,0)</f>
        <v>18377</v>
      </c>
      <c r="M411" s="55">
        <f>ROUND(SUM(Ｎ!M57:M92)/36,0)</f>
        <v>11408</v>
      </c>
      <c r="N411" s="55">
        <f>ROUND(SUM(Ｎ!N57:N92)/36,0)</f>
        <v>8204</v>
      </c>
      <c r="O411" s="90">
        <f>ROUND(SUM(Ｎ!O57:O92)/36,0)</f>
        <v>3204</v>
      </c>
      <c r="P411" s="58">
        <f>ROUND(SUM(Ｎ!P57:P92)/36,0)</f>
        <v>103266</v>
      </c>
      <c r="Q411" s="55">
        <f>ROUND(SUM(Ｎ!Q57:Q92)/36,0)</f>
        <v>291504</v>
      </c>
      <c r="R411" s="60">
        <f>Ｎ!D411/Ｎ!P411</f>
        <v>0.38634206805725019</v>
      </c>
      <c r="S411" s="61">
        <f>Ｎ!I411/Ｎ!Q411</f>
        <v>0.27137534990943518</v>
      </c>
      <c r="T411" s="62">
        <f>Ｎ!M411/Ｎ!I411</f>
        <v>0.14420974123655303</v>
      </c>
    </row>
    <row r="412" spans="3:20" x14ac:dyDescent="0.2">
      <c r="C412" s="53">
        <v>8</v>
      </c>
      <c r="D412" s="48">
        <f>ROUND(SUM(Ｎ!D58:D93)/36,0)</f>
        <v>40028</v>
      </c>
      <c r="E412" s="55">
        <f>Ｎ!F412+Ｎ!G412</f>
        <v>34515</v>
      </c>
      <c r="F412" s="55">
        <f>Ｎ!D412-Ｎ!H412-Ｎ!G412</f>
        <v>32801</v>
      </c>
      <c r="G412" s="89">
        <f>ROUND(SUM(Ｎ!G58:G93)/36,0)</f>
        <v>1714</v>
      </c>
      <c r="H412" s="90">
        <f>ROUND(SUM(Ｎ!H58:H93)/36,0)</f>
        <v>5513</v>
      </c>
      <c r="I412" s="58">
        <f>ROUND(SUM(Ｎ!I58:I93)/36,0)</f>
        <v>79309</v>
      </c>
      <c r="J412" s="55">
        <f>ROUND(SUM(Ｎ!J58:J93)/36,0)</f>
        <v>67850</v>
      </c>
      <c r="K412" s="55">
        <f>ROUND(SUM(Ｎ!K58:K93)/36,0)</f>
        <v>49370</v>
      </c>
      <c r="L412" s="89">
        <f>ROUND(SUM(Ｎ!L58:L93)/36,0)</f>
        <v>18480</v>
      </c>
      <c r="M412" s="55">
        <f>ROUND(SUM(Ｎ!M58:M93)/36,0)</f>
        <v>11459</v>
      </c>
      <c r="N412" s="55">
        <f>ROUND(SUM(Ｎ!N58:N93)/36,0)</f>
        <v>8238</v>
      </c>
      <c r="O412" s="90">
        <f>ROUND(SUM(Ｎ!O58:O93)/36,0)</f>
        <v>3221</v>
      </c>
      <c r="P412" s="58">
        <f>ROUND(SUM(Ｎ!P58:P93)/36,0)</f>
        <v>103386</v>
      </c>
      <c r="Q412" s="55">
        <f>ROUND(SUM(Ｎ!Q58:Q93)/36,0)</f>
        <v>291584</v>
      </c>
      <c r="R412" s="60">
        <f>Ｎ!D412/Ｎ!P412</f>
        <v>0.38717040992010526</v>
      </c>
      <c r="S412" s="61">
        <f>Ｎ!I412/Ｎ!Q412</f>
        <v>0.27199366220368743</v>
      </c>
      <c r="T412" s="62">
        <f>Ｎ!M412/Ｎ!I412</f>
        <v>0.14448549344967154</v>
      </c>
    </row>
    <row r="413" spans="3:20" x14ac:dyDescent="0.2">
      <c r="C413" s="53">
        <v>9</v>
      </c>
      <c r="D413" s="58">
        <f>ROUND(SUM(Ｎ!D59:D94)/36,0)</f>
        <v>40162</v>
      </c>
      <c r="E413" s="55">
        <f>Ｎ!F413+Ｎ!G413</f>
        <v>34631</v>
      </c>
      <c r="F413" s="55">
        <f>Ｎ!D413-Ｎ!H413-Ｎ!G413</f>
        <v>32904</v>
      </c>
      <c r="G413" s="89">
        <f>ROUND(SUM(Ｎ!G59:G94)/36,0)</f>
        <v>1727</v>
      </c>
      <c r="H413" s="90">
        <f>ROUND(SUM(Ｎ!H59:H94)/36,0)</f>
        <v>5531</v>
      </c>
      <c r="I413" s="58">
        <f>ROUND(SUM(Ｎ!I59:I94)/36,0)</f>
        <v>79518</v>
      </c>
      <c r="J413" s="55">
        <f>ROUND(SUM(Ｎ!J59:J94)/36,0)</f>
        <v>68008</v>
      </c>
      <c r="K413" s="55">
        <f>ROUND(SUM(Ｎ!K59:K94)/36,0)</f>
        <v>49424</v>
      </c>
      <c r="L413" s="89">
        <f>ROUND(SUM(Ｎ!L59:L94)/36,0)</f>
        <v>18585</v>
      </c>
      <c r="M413" s="55">
        <f>ROUND(SUM(Ｎ!M59:M94)/36,0)</f>
        <v>11510</v>
      </c>
      <c r="N413" s="55">
        <f>ROUND(SUM(Ｎ!N59:N94)/36,0)</f>
        <v>8272</v>
      </c>
      <c r="O413" s="90">
        <f>ROUND(SUM(Ｎ!O59:O94)/36,0)</f>
        <v>3238</v>
      </c>
      <c r="P413" s="58">
        <f>ROUND(SUM(Ｎ!P59:P94)/36,0)</f>
        <v>103507</v>
      </c>
      <c r="Q413" s="55">
        <f>ROUND(SUM(Ｎ!Q59:Q94)/36,0)</f>
        <v>291663</v>
      </c>
      <c r="R413" s="60">
        <f>Ｎ!D413/Ｎ!P413</f>
        <v>0.38801240495811878</v>
      </c>
      <c r="S413" s="61">
        <f>Ｎ!I413/Ｎ!Q413</f>
        <v>0.27263657028831217</v>
      </c>
      <c r="T413" s="62">
        <f>Ｎ!M413/Ｎ!I413</f>
        <v>0.1447471012852436</v>
      </c>
    </row>
    <row r="414" spans="3:20" x14ac:dyDescent="0.2">
      <c r="C414" s="53">
        <v>10</v>
      </c>
      <c r="D414" s="48">
        <f>ROUND(SUM(Ｎ!D60:D95)/36,0)</f>
        <v>40298</v>
      </c>
      <c r="E414" s="45">
        <f>Ｎ!F414+Ｎ!G414</f>
        <v>34750</v>
      </c>
      <c r="F414" s="45">
        <f>Ｎ!D414-Ｎ!H414-Ｎ!G414</f>
        <v>33010</v>
      </c>
      <c r="G414" s="79">
        <f>ROUND(SUM(Ｎ!G60:G95)/36,0)</f>
        <v>1740</v>
      </c>
      <c r="H414" s="80">
        <f>ROUND(SUM(Ｎ!H60:H95)/36,0)</f>
        <v>5548</v>
      </c>
      <c r="I414" s="48">
        <f>ROUND(SUM(Ｎ!I60:I95)/36,0)</f>
        <v>79733</v>
      </c>
      <c r="J414" s="45">
        <f>ROUND(SUM(Ｎ!J60:J95)/36,0)</f>
        <v>68171</v>
      </c>
      <c r="K414" s="45">
        <f>ROUND(SUM(Ｎ!K60:K95)/36,0)</f>
        <v>49482</v>
      </c>
      <c r="L414" s="79">
        <f>ROUND(SUM(Ｎ!L60:L95)/36,0)</f>
        <v>18689</v>
      </c>
      <c r="M414" s="45">
        <f>ROUND(SUM(Ｎ!M60:M95)/36,0)</f>
        <v>11562</v>
      </c>
      <c r="N414" s="45">
        <f>ROUND(SUM(Ｎ!N60:N95)/36,0)</f>
        <v>8306</v>
      </c>
      <c r="O414" s="80">
        <f>ROUND(SUM(Ｎ!O60:O95)/36,0)</f>
        <v>3255</v>
      </c>
      <c r="P414" s="48">
        <f>ROUND(SUM(Ｎ!P60:P95)/36,0)</f>
        <v>103628</v>
      </c>
      <c r="Q414" s="45">
        <f>ROUND(SUM(Ｎ!Q60:Q95)/36,0)</f>
        <v>291743</v>
      </c>
      <c r="R414" s="50">
        <f>Ｎ!D414/Ｎ!P414</f>
        <v>0.38887173350831822</v>
      </c>
      <c r="S414" s="51">
        <f>Ｎ!I414/Ｎ!Q414</f>
        <v>0.2732987595246501</v>
      </c>
      <c r="T414" s="52">
        <f>Ｎ!M414/Ｎ!I414</f>
        <v>0.1450089674287936</v>
      </c>
    </row>
    <row r="415" spans="3:20" x14ac:dyDescent="0.2">
      <c r="C415" s="43">
        <v>11</v>
      </c>
      <c r="D415" s="48">
        <f>ROUND(SUM(Ｎ!D61:D96)/36,0)</f>
        <v>40435</v>
      </c>
      <c r="E415" s="45">
        <f>Ｎ!F415+Ｎ!G415</f>
        <v>34871</v>
      </c>
      <c r="F415" s="45">
        <f>Ｎ!D415-Ｎ!H415-Ｎ!G415</f>
        <v>33118</v>
      </c>
      <c r="G415" s="79">
        <f>ROUND(SUM(Ｎ!G61:G96)/36,0)</f>
        <v>1753</v>
      </c>
      <c r="H415" s="80">
        <f>ROUND(SUM(Ｎ!H61:H96)/36,0)</f>
        <v>5564</v>
      </c>
      <c r="I415" s="48">
        <f>ROUND(SUM(Ｎ!I61:I96)/36,0)</f>
        <v>79948</v>
      </c>
      <c r="J415" s="45">
        <f>ROUND(SUM(Ｎ!J61:J96)/36,0)</f>
        <v>68338</v>
      </c>
      <c r="K415" s="45">
        <f>ROUND(SUM(Ｎ!K61:K96)/36,0)</f>
        <v>49544</v>
      </c>
      <c r="L415" s="79">
        <f>ROUND(SUM(Ｎ!L61:L96)/36,0)</f>
        <v>18794</v>
      </c>
      <c r="M415" s="45">
        <f>ROUND(SUM(Ｎ!M61:M96)/36,0)</f>
        <v>11610</v>
      </c>
      <c r="N415" s="45">
        <f>ROUND(SUM(Ｎ!N61:N96)/36,0)</f>
        <v>8338</v>
      </c>
      <c r="O415" s="80">
        <f>ROUND(SUM(Ｎ!O61:O96)/36,0)</f>
        <v>3272</v>
      </c>
      <c r="P415" s="48">
        <f>ROUND(SUM(Ｎ!P61:P96)/36,0)</f>
        <v>103750</v>
      </c>
      <c r="Q415" s="45">
        <f>ROUND(SUM(Ｎ!Q61:Q96)/36,0)</f>
        <v>291821</v>
      </c>
      <c r="R415" s="50">
        <f>Ｎ!D415/Ｎ!P415</f>
        <v>0.38973493975903617</v>
      </c>
      <c r="S415" s="51">
        <f>Ｎ!I415/Ｎ!Q415</f>
        <v>0.27396246329085294</v>
      </c>
      <c r="T415" s="52">
        <f>Ｎ!M415/Ｎ!I415</f>
        <v>0.14521939260519337</v>
      </c>
    </row>
    <row r="416" spans="3:20" x14ac:dyDescent="0.2">
      <c r="C416" s="43">
        <v>12</v>
      </c>
      <c r="D416" s="48">
        <f>ROUND(SUM(Ｎ!D62:D97)/36,0)</f>
        <v>40574</v>
      </c>
      <c r="E416" s="55">
        <f>Ｎ!F416+Ｎ!G416</f>
        <v>34993</v>
      </c>
      <c r="F416" s="55">
        <f>Ｎ!D416-Ｎ!H416-Ｎ!G416</f>
        <v>33227</v>
      </c>
      <c r="G416" s="89">
        <f>ROUND(SUM(Ｎ!G62:G97)/36,0)</f>
        <v>1766</v>
      </c>
      <c r="H416" s="90">
        <f>ROUND(SUM(Ｎ!H62:H97)/36,0)</f>
        <v>5581</v>
      </c>
      <c r="I416" s="58">
        <f>ROUND(SUM(Ｎ!I62:I97)/36,0)</f>
        <v>80166</v>
      </c>
      <c r="J416" s="55">
        <f>ROUND(SUM(Ｎ!J62:J97)/36,0)</f>
        <v>68506</v>
      </c>
      <c r="K416" s="55">
        <f>ROUND(SUM(Ｎ!K62:K97)/36,0)</f>
        <v>49606</v>
      </c>
      <c r="L416" s="89">
        <f>ROUND(SUM(Ｎ!L62:L97)/36,0)</f>
        <v>18900</v>
      </c>
      <c r="M416" s="55">
        <f>ROUND(SUM(Ｎ!M62:M97)/36,0)</f>
        <v>11660</v>
      </c>
      <c r="N416" s="55">
        <f>ROUND(SUM(Ｎ!N62:N97)/36,0)</f>
        <v>8371</v>
      </c>
      <c r="O416" s="90">
        <f>ROUND(SUM(Ｎ!O62:O97)/36,0)</f>
        <v>3289</v>
      </c>
      <c r="P416" s="58">
        <f>ROUND(SUM(Ｎ!P62:P97)/36,0)</f>
        <v>103871</v>
      </c>
      <c r="Q416" s="55">
        <f>ROUND(SUM(Ｎ!Q62:Q97)/36,0)</f>
        <v>291896</v>
      </c>
      <c r="R416" s="60">
        <f>Ｎ!D416/Ｎ!P416</f>
        <v>0.39061913334809523</v>
      </c>
      <c r="S416" s="61">
        <f>Ｎ!I416/Ｎ!Q416</f>
        <v>0.27463891248937977</v>
      </c>
      <c r="T416" s="62">
        <f>Ｎ!M416/Ｎ!I416</f>
        <v>0.14544819499538458</v>
      </c>
    </row>
    <row r="417" spans="3:20" x14ac:dyDescent="0.2">
      <c r="C417" s="53">
        <v>1</v>
      </c>
      <c r="D417" s="48">
        <f>ROUND(SUM(Ｎ!D63:D98)/36,0)</f>
        <v>40717</v>
      </c>
      <c r="E417" s="45">
        <f>Ｎ!F417+Ｎ!G417</f>
        <v>35120</v>
      </c>
      <c r="F417" s="45">
        <f>Ｎ!D417-Ｎ!H417-Ｎ!G417</f>
        <v>33341</v>
      </c>
      <c r="G417" s="79">
        <f>ROUND(SUM(Ｎ!G63:G98)/36,0)</f>
        <v>1779</v>
      </c>
      <c r="H417" s="80">
        <f>ROUND(SUM(Ｎ!H63:H98)/36,0)</f>
        <v>5597</v>
      </c>
      <c r="I417" s="48">
        <f>ROUND(SUM(Ｎ!I63:I98)/36,0)</f>
        <v>80392</v>
      </c>
      <c r="J417" s="45">
        <f>ROUND(SUM(Ｎ!J63:J98)/36,0)</f>
        <v>68683</v>
      </c>
      <c r="K417" s="45">
        <f>ROUND(SUM(Ｎ!K63:K98)/36,0)</f>
        <v>49672</v>
      </c>
      <c r="L417" s="79">
        <f>ROUND(SUM(Ｎ!L63:L98)/36,0)</f>
        <v>19010</v>
      </c>
      <c r="M417" s="45">
        <f>ROUND(SUM(Ｎ!M63:M98)/36,0)</f>
        <v>11709</v>
      </c>
      <c r="N417" s="45">
        <f>ROUND(SUM(Ｎ!N63:N98)/36,0)</f>
        <v>8403</v>
      </c>
      <c r="O417" s="80">
        <f>ROUND(SUM(Ｎ!O63:O98)/36,0)</f>
        <v>3306</v>
      </c>
      <c r="P417" s="48">
        <f>ROUND(SUM(Ｎ!P63:P98)/36,0)</f>
        <v>103995</v>
      </c>
      <c r="Q417" s="45">
        <f>ROUND(SUM(Ｎ!Q63:Q98)/36,0)</f>
        <v>291976</v>
      </c>
      <c r="R417" s="50">
        <f>Ｎ!D417/Ｎ!P417</f>
        <v>0.39152843886725325</v>
      </c>
      <c r="S417" s="51">
        <f>Ｎ!I417/Ｎ!Q417</f>
        <v>0.27533769898895799</v>
      </c>
      <c r="T417" s="52">
        <f>Ｎ!M417/Ｎ!I417</f>
        <v>0.14564882077818689</v>
      </c>
    </row>
    <row r="418" spans="3:20" x14ac:dyDescent="0.2">
      <c r="C418" s="43">
        <v>2</v>
      </c>
      <c r="D418" s="48">
        <f>ROUND(SUM(Ｎ!D64:D99)/36,0)</f>
        <v>40861</v>
      </c>
      <c r="E418" s="45">
        <f>Ｎ!F418+Ｎ!G418</f>
        <v>35247</v>
      </c>
      <c r="F418" s="45">
        <f>Ｎ!D418-Ｎ!H418-Ｎ!G418</f>
        <v>33456</v>
      </c>
      <c r="G418" s="79">
        <f>ROUND(SUM(Ｎ!G64:G99)/36,0)</f>
        <v>1791</v>
      </c>
      <c r="H418" s="80">
        <f>ROUND(SUM(Ｎ!H64:H99)/36,0)</f>
        <v>5614</v>
      </c>
      <c r="I418" s="48">
        <f>ROUND(SUM(Ｎ!I64:I99)/36,0)</f>
        <v>80619</v>
      </c>
      <c r="J418" s="45">
        <f>ROUND(SUM(Ｎ!J64:J99)/36,0)</f>
        <v>68859</v>
      </c>
      <c r="K418" s="45">
        <f>ROUND(SUM(Ｎ!K64:K99)/36,0)</f>
        <v>49738</v>
      </c>
      <c r="L418" s="79">
        <f>ROUND(SUM(Ｎ!L64:L99)/36,0)</f>
        <v>19122</v>
      </c>
      <c r="M418" s="45">
        <f>ROUND(SUM(Ｎ!M64:M99)/36,0)</f>
        <v>11759</v>
      </c>
      <c r="N418" s="45">
        <f>ROUND(SUM(Ｎ!N64:N99)/36,0)</f>
        <v>8436</v>
      </c>
      <c r="O418" s="80">
        <f>ROUND(SUM(Ｎ!O64:O99)/36,0)</f>
        <v>3324</v>
      </c>
      <c r="P418" s="48">
        <f>ROUND(SUM(Ｎ!P64:P99)/36,0)</f>
        <v>104115</v>
      </c>
      <c r="Q418" s="45">
        <f>ROUND(SUM(Ｎ!Q64:Q99)/36,0)</f>
        <v>292052</v>
      </c>
      <c r="R418" s="50">
        <f>Ｎ!D418/Ｎ!P418</f>
        <v>0.39246026028910341</v>
      </c>
      <c r="S418" s="51">
        <f>Ｎ!I418/Ｎ!Q418</f>
        <v>0.27604330735622423</v>
      </c>
      <c r="T418" s="52">
        <f>Ｎ!M418/Ｎ!I418</f>
        <v>0.1458589166325556</v>
      </c>
    </row>
    <row r="419" spans="3:20" x14ac:dyDescent="0.2">
      <c r="C419" s="91">
        <v>3</v>
      </c>
      <c r="D419" s="92">
        <f>ROUND(SUM(Ｎ!D65:D100)/36,0)</f>
        <v>41005</v>
      </c>
      <c r="E419" s="289">
        <f>Ｎ!F419+Ｎ!G419</f>
        <v>35370</v>
      </c>
      <c r="F419" s="289">
        <f>Ｎ!D419-Ｎ!H419-Ｎ!G419</f>
        <v>33567</v>
      </c>
      <c r="G419" s="290">
        <f>ROUND(SUM(Ｎ!G65:G100)/36,0)</f>
        <v>1803</v>
      </c>
      <c r="H419" s="291">
        <f>ROUND(SUM(Ｎ!H65:H100)/36,0)</f>
        <v>5635</v>
      </c>
      <c r="I419" s="292">
        <f>ROUND(SUM(Ｎ!I65:I100)/36,0)</f>
        <v>80850</v>
      </c>
      <c r="J419" s="289">
        <f>ROUND(SUM(Ｎ!J65:J100)/36,0)</f>
        <v>69033</v>
      </c>
      <c r="K419" s="289">
        <f>ROUND(SUM(Ｎ!K65:K100)/36,0)</f>
        <v>49800</v>
      </c>
      <c r="L419" s="290">
        <f>ROUND(SUM(Ｎ!L65:L100)/36,0)</f>
        <v>19234</v>
      </c>
      <c r="M419" s="289">
        <f>ROUND(SUM(Ｎ!M65:M100)/36,0)</f>
        <v>11816</v>
      </c>
      <c r="N419" s="289">
        <f>ROUND(SUM(Ｎ!N65:N100)/36,0)</f>
        <v>8473</v>
      </c>
      <c r="O419" s="291">
        <f>ROUND(SUM(Ｎ!O65:O100)/36,0)</f>
        <v>3343</v>
      </c>
      <c r="P419" s="292">
        <f>ROUND(SUM(Ｎ!P65:P100)/36,0)</f>
        <v>104238</v>
      </c>
      <c r="Q419" s="289">
        <f>ROUND(SUM(Ｎ!Q65:Q100)/36,0)</f>
        <v>292128</v>
      </c>
      <c r="R419" s="293">
        <f>Ｎ!D419/Ｎ!P419</f>
        <v>0.39337861432491028</v>
      </c>
      <c r="S419" s="294">
        <f>Ｎ!I419/Ｎ!Q419</f>
        <v>0.2767622412093329</v>
      </c>
      <c r="T419" s="295">
        <f>Ｎ!M419/Ｎ!I419</f>
        <v>0.14614718614718614</v>
      </c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86"/>
  <sheetViews>
    <sheetView workbookViewId="0">
      <pane xSplit="2" ySplit="6" topLeftCell="K7" activePane="bottomRight" state="frozen"/>
      <selection activeCell="K28" sqref="K28"/>
      <selection pane="topRight" activeCell="K28" sqref="K28"/>
      <selection pane="bottomLeft" activeCell="K28" sqref="K28"/>
      <selection pane="bottomRight" activeCell="L23" sqref="L23"/>
    </sheetView>
  </sheetViews>
  <sheetFormatPr defaultColWidth="10" defaultRowHeight="14" x14ac:dyDescent="0.2"/>
  <cols>
    <col min="1" max="1" width="10" style="1" customWidth="1"/>
    <col min="2" max="2" width="9.75" style="1" customWidth="1"/>
    <col min="3" max="3" width="9.33203125" style="1" customWidth="1"/>
    <col min="4" max="4" width="9" style="1" customWidth="1"/>
    <col min="5" max="5" width="8.83203125" style="1" customWidth="1"/>
    <col min="6" max="6" width="9" style="1" customWidth="1"/>
    <col min="7" max="7" width="8.75" style="1" customWidth="1"/>
    <col min="8" max="8" width="11.08203125" style="1" customWidth="1"/>
    <col min="9" max="12" width="10" style="1" customWidth="1"/>
    <col min="13" max="13" width="9.33203125" style="1" customWidth="1"/>
    <col min="14" max="14" width="9.25" style="1" customWidth="1"/>
    <col min="15" max="15" width="10.75" style="1" customWidth="1"/>
    <col min="16" max="16" width="9" style="1" customWidth="1"/>
    <col min="17" max="17" width="8.58203125" style="1" customWidth="1"/>
    <col min="18" max="18" width="11" style="1" customWidth="1"/>
    <col min="19" max="19" width="10.83203125" style="1" customWidth="1"/>
    <col min="20" max="20" width="10.58203125" style="1" customWidth="1"/>
    <col min="21" max="21" width="11.58203125" style="1" customWidth="1"/>
    <col min="22" max="22" width="10.58203125" style="1" customWidth="1"/>
    <col min="23" max="16384" width="10" style="1"/>
  </cols>
  <sheetData>
    <row r="1" spans="1:44" ht="20.149999999999999" customHeight="1" x14ac:dyDescent="0.2">
      <c r="B1" s="1" t="s">
        <v>2825</v>
      </c>
      <c r="AJ1" s="1" t="s">
        <v>1032</v>
      </c>
    </row>
    <row r="2" spans="1:44" ht="20.149999999999999" customHeight="1" x14ac:dyDescent="0.2">
      <c r="A2" s="2" t="s">
        <v>815</v>
      </c>
      <c r="C2" s="205">
        <f>SUM(平成17年度!C17:C19)</f>
        <v>164231</v>
      </c>
      <c r="D2" s="205">
        <f>SUM(平成17年度!D17:D19)</f>
        <v>133468</v>
      </c>
      <c r="E2" s="205">
        <f>SUM(平成17年度!E17:E19)</f>
        <v>123957</v>
      </c>
      <c r="F2" s="205">
        <f>SUM(平成17年度!F17:F19)</f>
        <v>9511</v>
      </c>
      <c r="G2" s="205">
        <f>SUM(平成17年度!G17:G19)</f>
        <v>30763</v>
      </c>
      <c r="H2" s="205">
        <f>SUM(平成17年度!H17:H19)</f>
        <v>307606</v>
      </c>
      <c r="I2" s="205">
        <f>SUM(平成17年度!I17:I19)</f>
        <v>241252</v>
      </c>
      <c r="J2" s="205">
        <f>SUM(平成17年度!J17:J19)</f>
        <v>170346</v>
      </c>
      <c r="K2" s="205">
        <f>SUM(平成17年度!K17:K19)</f>
        <v>70906</v>
      </c>
      <c r="L2" s="205">
        <f>SUM(平成17年度!L17:L19)</f>
        <v>66354</v>
      </c>
      <c r="M2" s="205">
        <f>SUM(平成17年度!M17:M19)</f>
        <v>45121</v>
      </c>
      <c r="N2" s="205">
        <f>SUM(平成17年度!N17:N19)</f>
        <v>21233</v>
      </c>
      <c r="O2" s="205">
        <f>SUM(平成17年度!O17:O19)</f>
        <v>90029</v>
      </c>
      <c r="P2" s="205">
        <f>SUM(平成17年度!P17:P19)</f>
        <v>65834</v>
      </c>
      <c r="Q2" s="205">
        <f>SUM(平成17年度!Q17:Q19)</f>
        <v>24195</v>
      </c>
      <c r="R2" s="205">
        <f>SUM(平成17年度!R17:R19)</f>
        <v>360527</v>
      </c>
      <c r="S2" s="205">
        <f>SUM(平成17年度!S17:S19)</f>
        <v>933310</v>
      </c>
    </row>
    <row r="3" spans="1:44" ht="20.149999999999999" customHeight="1" x14ac:dyDescent="0.2">
      <c r="A3" s="2" t="s">
        <v>816</v>
      </c>
      <c r="B3" s="3"/>
      <c r="C3" s="3" t="s">
        <v>2826</v>
      </c>
      <c r="D3" s="3"/>
      <c r="E3" s="3" t="s">
        <v>1357</v>
      </c>
      <c r="F3" s="3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374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AJ4" s="17" t="s">
        <v>1055</v>
      </c>
      <c r="AK4" s="18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ROUND(+平成18年度!AK4/平成18年度!AM4,4)</f>
        <v>#VALUE!</v>
      </c>
      <c r="AP4" s="22" t="e">
        <f>ROUND(+平成18年度!AL4/平成18年度!AN4,4)</f>
        <v>#VALUE!</v>
      </c>
    </row>
    <row r="5" spans="1:44" ht="20.149999999999999" customHeight="1" x14ac:dyDescent="0.2">
      <c r="A5" s="2" t="s">
        <v>829</v>
      </c>
      <c r="B5" s="375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26" t="s">
        <v>19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ROUND(+平成18年度!AK5/平成18年度!AM5,4)</f>
        <v>#VALUE!</v>
      </c>
      <c r="AP5" s="35" t="e">
        <f>ROUND(+平成18年度!AL5/平成18年度!AN5,4)</f>
        <v>#VALUE!</v>
      </c>
      <c r="AQ5" s="36" t="e">
        <f>ROUND((+平成18年度!AO5-平成18年度!AO4),4)</f>
        <v>#VALUE!</v>
      </c>
      <c r="AR5" s="36" t="e">
        <f>ROUND((+平成18年度!AP5-平成18年度!AP4),4)</f>
        <v>#VALUE!</v>
      </c>
    </row>
    <row r="6" spans="1:44" s="343" customFormat="1" ht="20.149999999999999" customHeight="1" thickTop="1" x14ac:dyDescent="0.2">
      <c r="A6" s="356" t="s">
        <v>847</v>
      </c>
      <c r="B6" s="380"/>
      <c r="C6" s="357" t="s">
        <v>1400</v>
      </c>
      <c r="D6" s="358" t="s">
        <v>29</v>
      </c>
      <c r="E6" s="359" t="s">
        <v>30</v>
      </c>
      <c r="F6" s="359" t="s">
        <v>31</v>
      </c>
      <c r="G6" s="360" t="s">
        <v>32</v>
      </c>
      <c r="H6" s="361" t="s">
        <v>1405</v>
      </c>
      <c r="I6" s="358" t="s">
        <v>29</v>
      </c>
      <c r="J6" s="359" t="s">
        <v>30</v>
      </c>
      <c r="K6" s="359" t="s">
        <v>31</v>
      </c>
      <c r="L6" s="359" t="s">
        <v>37</v>
      </c>
      <c r="M6" s="359" t="s">
        <v>32</v>
      </c>
      <c r="N6" s="360" t="s">
        <v>39</v>
      </c>
      <c r="O6" s="357" t="s">
        <v>29</v>
      </c>
      <c r="P6" s="358" t="s">
        <v>30</v>
      </c>
      <c r="Q6" s="360" t="s">
        <v>31</v>
      </c>
      <c r="R6" s="362"/>
      <c r="S6" s="363"/>
      <c r="T6" s="364"/>
      <c r="U6" s="364"/>
      <c r="V6" s="365"/>
      <c r="AJ6" s="349" t="s">
        <v>1088</v>
      </c>
      <c r="AK6" s="350">
        <f>平成11年度!H21</f>
        <v>83847.916666666672</v>
      </c>
      <c r="AL6" s="351">
        <f>平成11年度!C21</f>
        <v>42852.25</v>
      </c>
      <c r="AM6" s="352">
        <f>平成11年度!P21</f>
        <v>292958.75</v>
      </c>
      <c r="AN6" s="352">
        <f>平成11年度!O21</f>
        <v>105725.41666666667</v>
      </c>
      <c r="AO6" s="353">
        <f>ROUND(+平成18年度!AK6/平成18年度!AM6,4)</f>
        <v>0.28620000000000001</v>
      </c>
      <c r="AP6" s="354">
        <f>ROUND(+平成18年度!AL6/平成18年度!AN6,4)</f>
        <v>0.40529999999999999</v>
      </c>
      <c r="AQ6" s="355" t="e">
        <f>ROUND((+平成18年度!AO6-平成18年度!AO5),4)</f>
        <v>#VALUE!</v>
      </c>
      <c r="AR6" s="355" t="e">
        <f>ROUND((+平成18年度!AP6-平成18年度!AP5),4)</f>
        <v>#VALUE!</v>
      </c>
    </row>
    <row r="7" spans="1:44" ht="20.149999999999999" customHeight="1" x14ac:dyDescent="0.2">
      <c r="A7" s="2"/>
      <c r="B7" s="376" t="s">
        <v>51</v>
      </c>
      <c r="C7" s="319">
        <f>平成17年度!C$19</f>
        <v>54759</v>
      </c>
      <c r="D7" s="45">
        <f>E7+F7</f>
        <v>44468</v>
      </c>
      <c r="E7" s="45">
        <f>C7-G7-F7</f>
        <v>41309</v>
      </c>
      <c r="F7" s="46">
        <f>平成17年度!F$19</f>
        <v>3159</v>
      </c>
      <c r="G7" s="47">
        <f>平成17年度!G$19</f>
        <v>10291</v>
      </c>
      <c r="H7" s="315">
        <f>I7+L7</f>
        <v>102387</v>
      </c>
      <c r="I7" s="45">
        <f>J7+K7</f>
        <v>80224</v>
      </c>
      <c r="J7" s="46">
        <f>平成17年度!J$19</f>
        <v>56692</v>
      </c>
      <c r="K7" s="49">
        <f>平成17年度!K$19</f>
        <v>23532</v>
      </c>
      <c r="L7" s="45">
        <f>M7+N7</f>
        <v>22163</v>
      </c>
      <c r="M7" s="46">
        <f>平成17年度!M$19</f>
        <v>15066</v>
      </c>
      <c r="N7" s="47">
        <f>平成17年度!N$19</f>
        <v>7097</v>
      </c>
      <c r="O7" s="319">
        <f>平成17年度!O$19</f>
        <v>29831</v>
      </c>
      <c r="P7" s="45">
        <f>O7-Q7</f>
        <v>21884</v>
      </c>
      <c r="Q7" s="47">
        <f>平成17年度!Q$19</f>
        <v>7947</v>
      </c>
      <c r="R7" s="44">
        <f>平成17年度!R$19</f>
        <v>120273</v>
      </c>
      <c r="S7" s="46">
        <f>平成17年度!S$19</f>
        <v>310710</v>
      </c>
      <c r="T7" s="50">
        <f t="shared" ref="T7:T21" si="0">C7/R7</f>
        <v>0.45528921703125391</v>
      </c>
      <c r="U7" s="51">
        <f t="shared" ref="U7:U21" si="1">H7/S7</f>
        <v>0.32952592449551027</v>
      </c>
      <c r="V7" s="52">
        <f t="shared" ref="V7:V21" si="2">L7/H7</f>
        <v>0.21646302753279226</v>
      </c>
      <c r="AJ7" s="30" t="s">
        <v>1074</v>
      </c>
      <c r="AK7" s="31">
        <v>81903</v>
      </c>
      <c r="AL7" s="32">
        <v>41659</v>
      </c>
      <c r="AM7" s="33">
        <v>291953</v>
      </c>
      <c r="AN7" s="33">
        <v>104651</v>
      </c>
      <c r="AO7" s="34">
        <v>0.28050000000000003</v>
      </c>
      <c r="AP7" s="35">
        <v>0.39810000000000001</v>
      </c>
      <c r="AQ7" s="36">
        <v>9.9000000000000008E-3</v>
      </c>
      <c r="AR7" s="36">
        <v>1.26E-2</v>
      </c>
    </row>
    <row r="8" spans="1:44" ht="20.149999999999999" customHeight="1" x14ac:dyDescent="0.2">
      <c r="A8" s="2" t="s">
        <v>860</v>
      </c>
      <c r="B8" s="377" t="s">
        <v>40</v>
      </c>
      <c r="C8" s="319">
        <v>55278</v>
      </c>
      <c r="D8" s="45">
        <f>E8+F8</f>
        <v>44750</v>
      </c>
      <c r="E8" s="45">
        <f>C8-G8-F8</f>
        <v>41540</v>
      </c>
      <c r="F8" s="46">
        <v>3210</v>
      </c>
      <c r="G8" s="47">
        <v>10528</v>
      </c>
      <c r="H8" s="315">
        <f t="shared" ref="H8:H20" si="3">I8+L8</f>
        <v>103323</v>
      </c>
      <c r="I8" s="45">
        <f>J8+K8</f>
        <v>80607</v>
      </c>
      <c r="J8" s="46">
        <v>57074</v>
      </c>
      <c r="K8" s="49">
        <v>23533</v>
      </c>
      <c r="L8" s="45">
        <f>M8+N8</f>
        <v>22716</v>
      </c>
      <c r="M8" s="46">
        <v>15405</v>
      </c>
      <c r="N8" s="47">
        <v>7311</v>
      </c>
      <c r="O8" s="319">
        <v>30256</v>
      </c>
      <c r="P8" s="45">
        <f t="shared" ref="P8:P19" si="4">O8-Q8</f>
        <v>21990</v>
      </c>
      <c r="Q8" s="47">
        <v>8266</v>
      </c>
      <c r="R8" s="44">
        <v>120273</v>
      </c>
      <c r="S8" s="46">
        <v>310710</v>
      </c>
      <c r="T8" s="50">
        <f t="shared" si="0"/>
        <v>0.45960439999002267</v>
      </c>
      <c r="U8" s="51">
        <f t="shared" si="1"/>
        <v>0.33253837983972195</v>
      </c>
      <c r="V8" s="52">
        <f t="shared" si="2"/>
        <v>0.21985424348886501</v>
      </c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ROUND(+平成18年度!AK8/平成18年度!AM8,4)</f>
        <v>#VALUE!</v>
      </c>
      <c r="AP8" s="35">
        <f>ROUND(+平成18年度!AL8/平成18年度!AN8,4)</f>
        <v>1.6304000000000001</v>
      </c>
      <c r="AQ8" s="36" t="e">
        <f>ROUND((+平成18年度!AO8-平成18年度!AO6),4)</f>
        <v>#VALUE!</v>
      </c>
      <c r="AR8" s="36">
        <f>ROUND((+平成18年度!AP8-平成18年度!AP6),4)</f>
        <v>1.2251000000000001</v>
      </c>
    </row>
    <row r="9" spans="1:44" ht="20.149999999999999" customHeight="1" x14ac:dyDescent="0.2">
      <c r="A9" s="2" t="s">
        <v>862</v>
      </c>
      <c r="B9" s="377" t="s">
        <v>41</v>
      </c>
      <c r="C9" s="319">
        <v>55382</v>
      </c>
      <c r="D9" s="45">
        <f t="shared" ref="D9:D19" si="5">E9+F9</f>
        <v>44835</v>
      </c>
      <c r="E9" s="45">
        <f t="shared" ref="E9:E19" si="6">C9-G9-F9</f>
        <v>41625</v>
      </c>
      <c r="F9" s="46">
        <v>3210</v>
      </c>
      <c r="G9" s="47">
        <v>10547</v>
      </c>
      <c r="H9" s="315">
        <f t="shared" si="3"/>
        <v>103459</v>
      </c>
      <c r="I9" s="45">
        <f t="shared" ref="I9:I19" si="7">J9+K9</f>
        <v>80712</v>
      </c>
      <c r="J9" s="46">
        <v>57237</v>
      </c>
      <c r="K9" s="49">
        <v>23475</v>
      </c>
      <c r="L9" s="45">
        <f t="shared" ref="L9:L19" si="8">M9+N9</f>
        <v>22747</v>
      </c>
      <c r="M9" s="46">
        <v>15425</v>
      </c>
      <c r="N9" s="47">
        <v>7322</v>
      </c>
      <c r="O9" s="319">
        <v>30286</v>
      </c>
      <c r="P9" s="45">
        <f t="shared" si="4"/>
        <v>22088</v>
      </c>
      <c r="Q9" s="47">
        <v>8198</v>
      </c>
      <c r="R9" s="44">
        <v>121132</v>
      </c>
      <c r="S9" s="46">
        <v>311558</v>
      </c>
      <c r="T9" s="50">
        <f t="shared" si="0"/>
        <v>0.4572037116534029</v>
      </c>
      <c r="U9" s="51">
        <f t="shared" si="1"/>
        <v>0.33206979117852858</v>
      </c>
      <c r="V9" s="52">
        <f t="shared" si="2"/>
        <v>0.21986487400806115</v>
      </c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ROUND(+平成18年度!AK9/平成18年度!AM9,4)</f>
        <v>#VALUE!</v>
      </c>
      <c r="AP9" s="35">
        <f>ROUND(+平成18年度!AL9/平成18年度!AN9,4)</f>
        <v>1.6746000000000001</v>
      </c>
      <c r="AQ9" s="36" t="e">
        <f>ROUND((+平成18年度!AO9-平成18年度!AO8),4)</f>
        <v>#VALUE!</v>
      </c>
      <c r="AR9" s="36">
        <f>ROUND((+平成18年度!AP9-平成18年度!AP8),4)</f>
        <v>4.4200000000000003E-2</v>
      </c>
    </row>
    <row r="10" spans="1:44" ht="20.149999999999999" customHeight="1" thickBot="1" x14ac:dyDescent="0.25">
      <c r="A10" s="2" t="s">
        <v>864</v>
      </c>
      <c r="B10" s="378" t="s">
        <v>42</v>
      </c>
      <c r="C10" s="319">
        <v>55448</v>
      </c>
      <c r="D10" s="55">
        <f t="shared" si="5"/>
        <v>44877</v>
      </c>
      <c r="E10" s="55">
        <f t="shared" si="6"/>
        <v>41653</v>
      </c>
      <c r="F10" s="46">
        <v>3224</v>
      </c>
      <c r="G10" s="47">
        <v>10571</v>
      </c>
      <c r="H10" s="315">
        <f t="shared" si="3"/>
        <v>103483</v>
      </c>
      <c r="I10" s="55">
        <f t="shared" si="7"/>
        <v>80676</v>
      </c>
      <c r="J10" s="46">
        <v>57281</v>
      </c>
      <c r="K10" s="49">
        <v>23395</v>
      </c>
      <c r="L10" s="55">
        <f t="shared" si="8"/>
        <v>22807</v>
      </c>
      <c r="M10" s="46">
        <v>15469</v>
      </c>
      <c r="N10" s="47">
        <v>7338</v>
      </c>
      <c r="O10" s="319">
        <v>30241</v>
      </c>
      <c r="P10" s="55">
        <f t="shared" si="4"/>
        <v>22119</v>
      </c>
      <c r="Q10" s="47">
        <v>8122</v>
      </c>
      <c r="R10" s="44">
        <v>121226</v>
      </c>
      <c r="S10" s="46">
        <v>311593</v>
      </c>
      <c r="T10" s="60">
        <f t="shared" si="0"/>
        <v>0.45739362842954484</v>
      </c>
      <c r="U10" s="61">
        <f t="shared" si="1"/>
        <v>0.33210951465533567</v>
      </c>
      <c r="V10" s="62">
        <f t="shared" si="2"/>
        <v>0.22039368785211097</v>
      </c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ROUND(+平成18年度!AK10/平成18年度!AM10,4)</f>
        <v>#VALUE!</v>
      </c>
      <c r="AP10" s="68">
        <f>ROUND(+平成18年度!AL10/平成18年度!AN10,4)</f>
        <v>1.7114</v>
      </c>
      <c r="AQ10" s="36" t="e">
        <f>ROUND((+平成18年度!AO10-平成18年度!AO9),4)</f>
        <v>#VALUE!</v>
      </c>
      <c r="AR10" s="36">
        <f>ROUND((+平成18年度!AP10-平成18年度!AP9),4)</f>
        <v>3.6799999999999999E-2</v>
      </c>
    </row>
    <row r="11" spans="1:44" ht="20.149999999999999" customHeight="1" thickTop="1" thickBot="1" x14ac:dyDescent="0.25">
      <c r="A11" s="2" t="s">
        <v>866</v>
      </c>
      <c r="B11" s="378" t="s">
        <v>43</v>
      </c>
      <c r="C11" s="319">
        <v>55477</v>
      </c>
      <c r="D11" s="55">
        <f t="shared" si="5"/>
        <v>44739</v>
      </c>
      <c r="E11" s="45">
        <f t="shared" si="6"/>
        <v>41501</v>
      </c>
      <c r="F11" s="46">
        <v>3238</v>
      </c>
      <c r="G11" s="47">
        <v>10738</v>
      </c>
      <c r="H11" s="315">
        <f t="shared" si="3"/>
        <v>103426</v>
      </c>
      <c r="I11" s="55">
        <f t="shared" si="7"/>
        <v>80310</v>
      </c>
      <c r="J11" s="46">
        <v>56999</v>
      </c>
      <c r="K11" s="49">
        <v>23311</v>
      </c>
      <c r="L11" s="55">
        <f t="shared" si="8"/>
        <v>23116</v>
      </c>
      <c r="M11" s="46">
        <v>15666</v>
      </c>
      <c r="N11" s="47">
        <v>7450</v>
      </c>
      <c r="O11" s="319">
        <v>30155</v>
      </c>
      <c r="P11" s="55">
        <f t="shared" si="4"/>
        <v>21946</v>
      </c>
      <c r="Q11" s="47">
        <v>8209</v>
      </c>
      <c r="R11" s="44">
        <v>121370</v>
      </c>
      <c r="S11" s="46">
        <v>311715</v>
      </c>
      <c r="T11" s="60">
        <f t="shared" si="0"/>
        <v>0.4570898904177309</v>
      </c>
      <c r="U11" s="61">
        <f t="shared" si="1"/>
        <v>0.3317966732431869</v>
      </c>
      <c r="V11" s="62">
        <f t="shared" si="2"/>
        <v>0.22350279426836578</v>
      </c>
      <c r="AJ11" s="69" t="s">
        <v>907</v>
      </c>
      <c r="AK11" s="70" t="e">
        <f>平成18年度!H21</f>
        <v>#VALUE!</v>
      </c>
      <c r="AL11" s="71" t="e">
        <f>平成18年度!C21</f>
        <v>#VALUE!</v>
      </c>
      <c r="AM11" s="72" t="e">
        <f>平成18年度!S21</f>
        <v>#VALUE!</v>
      </c>
      <c r="AN11" s="72" t="e">
        <f>平成18年度!R21</f>
        <v>#VALUE!</v>
      </c>
      <c r="AO11" s="73" t="e">
        <f>ROUND(+平成18年度!AK11/平成18年度!AM11,4)</f>
        <v>#VALUE!</v>
      </c>
      <c r="AP11" s="74" t="e">
        <f>ROUND(+平成18年度!AL11/平成18年度!AN11,4)</f>
        <v>#VALUE!</v>
      </c>
      <c r="AQ11" s="36" t="e">
        <f>ROUND((+平成18年度!AO11-平成18年度!AO10),4)</f>
        <v>#VALUE!</v>
      </c>
      <c r="AR11" s="36" t="e">
        <f>ROUND((+平成18年度!AP11-平成18年度!AP10),4)</f>
        <v>#VALUE!</v>
      </c>
    </row>
    <row r="12" spans="1:44" ht="20.149999999999999" customHeight="1" thickTop="1" thickBot="1" x14ac:dyDescent="0.25">
      <c r="A12" s="2" t="s">
        <v>868</v>
      </c>
      <c r="B12" s="378" t="s">
        <v>44</v>
      </c>
      <c r="C12" s="319">
        <v>55381</v>
      </c>
      <c r="D12" s="55">
        <f t="shared" si="5"/>
        <v>44617</v>
      </c>
      <c r="E12" s="55">
        <f t="shared" si="6"/>
        <v>41381</v>
      </c>
      <c r="F12" s="46">
        <v>3236</v>
      </c>
      <c r="G12" s="47">
        <v>10764</v>
      </c>
      <c r="H12" s="315">
        <f t="shared" si="3"/>
        <v>103118</v>
      </c>
      <c r="I12" s="55">
        <f t="shared" si="7"/>
        <v>79967</v>
      </c>
      <c r="J12" s="46">
        <v>56748</v>
      </c>
      <c r="K12" s="49">
        <v>23219</v>
      </c>
      <c r="L12" s="55">
        <f t="shared" si="8"/>
        <v>23151</v>
      </c>
      <c r="M12" s="46">
        <v>15696</v>
      </c>
      <c r="N12" s="47">
        <v>7455</v>
      </c>
      <c r="O12" s="319">
        <v>29957</v>
      </c>
      <c r="P12" s="55">
        <f t="shared" si="4"/>
        <v>21864</v>
      </c>
      <c r="Q12" s="47">
        <v>8093</v>
      </c>
      <c r="R12" s="44">
        <v>121445</v>
      </c>
      <c r="S12" s="46">
        <v>311843</v>
      </c>
      <c r="T12" s="60">
        <f t="shared" si="0"/>
        <v>0.45601712709456954</v>
      </c>
      <c r="U12" s="61">
        <f t="shared" si="1"/>
        <v>0.33067280650840325</v>
      </c>
      <c r="V12" s="62">
        <f t="shared" si="2"/>
        <v>0.22450978490661183</v>
      </c>
      <c r="AJ12" s="1" t="s">
        <v>1103</v>
      </c>
    </row>
    <row r="13" spans="1:44" ht="20.149999999999999" customHeight="1" x14ac:dyDescent="0.2">
      <c r="A13" s="75" t="s">
        <v>275</v>
      </c>
      <c r="B13" s="377" t="s">
        <v>45</v>
      </c>
      <c r="C13" s="319">
        <v>55330</v>
      </c>
      <c r="D13" s="45">
        <f t="shared" si="5"/>
        <v>44490</v>
      </c>
      <c r="E13" s="45">
        <f t="shared" si="6"/>
        <v>41263</v>
      </c>
      <c r="F13" s="46">
        <v>3227</v>
      </c>
      <c r="G13" s="47">
        <v>10840</v>
      </c>
      <c r="H13" s="315">
        <f t="shared" si="3"/>
        <v>102904</v>
      </c>
      <c r="I13" s="45">
        <f t="shared" si="7"/>
        <v>79682</v>
      </c>
      <c r="J13" s="46">
        <v>56531</v>
      </c>
      <c r="K13" s="49">
        <v>23151</v>
      </c>
      <c r="L13" s="45">
        <f t="shared" si="8"/>
        <v>23222</v>
      </c>
      <c r="M13" s="46">
        <v>15764</v>
      </c>
      <c r="N13" s="47">
        <v>7458</v>
      </c>
      <c r="O13" s="319">
        <v>29781</v>
      </c>
      <c r="P13" s="45">
        <f t="shared" si="4"/>
        <v>21747</v>
      </c>
      <c r="Q13" s="47">
        <v>8034</v>
      </c>
      <c r="R13" s="44">
        <v>121636</v>
      </c>
      <c r="S13" s="46">
        <v>312062</v>
      </c>
      <c r="T13" s="50">
        <f t="shared" si="0"/>
        <v>0.45488177842086225</v>
      </c>
      <c r="U13" s="51">
        <f t="shared" si="1"/>
        <v>0.32975498458639629</v>
      </c>
      <c r="V13" s="52">
        <f t="shared" si="2"/>
        <v>0.22566664075254605</v>
      </c>
      <c r="AJ13" s="69" t="s">
        <v>1106</v>
      </c>
      <c r="AK13" s="76" t="e">
        <f>平成18年度!AK10/平成18年度!AK4</f>
        <v>#VALUE!</v>
      </c>
      <c r="AL13" s="77" t="e">
        <f>平成18年度!AL10/平成18年度!AL4</f>
        <v>#VALUE!</v>
      </c>
      <c r="AM13" s="77" t="e">
        <f>平成18年度!AM10/平成18年度!AM4</f>
        <v>#VALUE!</v>
      </c>
      <c r="AN13" s="77" t="e">
        <f>平成18年度!AN10/平成18年度!AN4</f>
        <v>#VALUE!</v>
      </c>
      <c r="AO13" s="78" t="e">
        <f>平成18年度!AO10/平成18年度!AO4</f>
        <v>#VALUE!</v>
      </c>
      <c r="AP13" s="74" t="e">
        <f>平成18年度!AP10/平成18年度!AP4</f>
        <v>#VALUE!</v>
      </c>
    </row>
    <row r="14" spans="1:44" ht="20.149999999999999" customHeight="1" x14ac:dyDescent="0.2">
      <c r="A14" s="75" t="s">
        <v>275</v>
      </c>
      <c r="B14" s="377" t="s">
        <v>46</v>
      </c>
      <c r="C14" s="319">
        <v>55373</v>
      </c>
      <c r="D14" s="45">
        <f t="shared" si="5"/>
        <v>44476</v>
      </c>
      <c r="E14" s="45">
        <f t="shared" si="6"/>
        <v>41239</v>
      </c>
      <c r="F14" s="46">
        <v>3237</v>
      </c>
      <c r="G14" s="47">
        <v>10897</v>
      </c>
      <c r="H14" s="315">
        <f t="shared" si="3"/>
        <v>102885</v>
      </c>
      <c r="I14" s="45">
        <f t="shared" si="7"/>
        <v>79543</v>
      </c>
      <c r="J14" s="46">
        <v>56455</v>
      </c>
      <c r="K14" s="49">
        <v>23088</v>
      </c>
      <c r="L14" s="45">
        <f t="shared" si="8"/>
        <v>23342</v>
      </c>
      <c r="M14" s="46">
        <v>15833</v>
      </c>
      <c r="N14" s="47">
        <v>7509</v>
      </c>
      <c r="O14" s="319">
        <v>29686</v>
      </c>
      <c r="P14" s="45">
        <f t="shared" si="4"/>
        <v>21698</v>
      </c>
      <c r="Q14" s="47">
        <v>7988</v>
      </c>
      <c r="R14" s="44">
        <v>121801</v>
      </c>
      <c r="S14" s="46">
        <v>312245</v>
      </c>
      <c r="T14" s="50">
        <f t="shared" si="0"/>
        <v>0.45461859919048286</v>
      </c>
      <c r="U14" s="51">
        <f t="shared" si="1"/>
        <v>0.32950087271213307</v>
      </c>
      <c r="V14" s="52">
        <f t="shared" si="2"/>
        <v>0.22687466588909949</v>
      </c>
    </row>
    <row r="15" spans="1:44" ht="20.149999999999999" customHeight="1" x14ac:dyDescent="0.2">
      <c r="A15" s="75" t="s">
        <v>2820</v>
      </c>
      <c r="B15" s="378" t="s">
        <v>47</v>
      </c>
      <c r="C15" s="319">
        <v>55381</v>
      </c>
      <c r="D15" s="55">
        <f t="shared" si="5"/>
        <v>44467</v>
      </c>
      <c r="E15" s="55">
        <f t="shared" si="6"/>
        <v>41251</v>
      </c>
      <c r="F15" s="46">
        <v>3216</v>
      </c>
      <c r="G15" s="47">
        <v>10914</v>
      </c>
      <c r="H15" s="315">
        <f t="shared" si="3"/>
        <v>102828</v>
      </c>
      <c r="I15" s="55">
        <f t="shared" si="7"/>
        <v>79504</v>
      </c>
      <c r="J15" s="46">
        <v>56497</v>
      </c>
      <c r="K15" s="49">
        <v>23007</v>
      </c>
      <c r="L15" s="55">
        <f t="shared" si="8"/>
        <v>23324</v>
      </c>
      <c r="M15" s="46">
        <v>15825</v>
      </c>
      <c r="N15" s="47">
        <v>7499</v>
      </c>
      <c r="O15" s="319">
        <v>29506</v>
      </c>
      <c r="P15" s="55">
        <f t="shared" si="4"/>
        <v>21647</v>
      </c>
      <c r="Q15" s="47">
        <v>7859</v>
      </c>
      <c r="R15" s="44">
        <v>121915</v>
      </c>
      <c r="S15" s="46">
        <v>312336</v>
      </c>
      <c r="T15" s="60">
        <f t="shared" si="0"/>
        <v>0.45425911495714227</v>
      </c>
      <c r="U15" s="61">
        <f t="shared" si="1"/>
        <v>0.32922237590287384</v>
      </c>
      <c r="V15" s="62">
        <f t="shared" si="2"/>
        <v>0.22682537830162991</v>
      </c>
      <c r="AJ15" s="1" t="s">
        <v>1111</v>
      </c>
    </row>
    <row r="16" spans="1:44" ht="20.149999999999999" customHeight="1" x14ac:dyDescent="0.2">
      <c r="A16" s="1" t="s">
        <v>275</v>
      </c>
      <c r="B16" s="377" t="s">
        <v>48</v>
      </c>
      <c r="C16" s="319">
        <v>55319</v>
      </c>
      <c r="D16" s="45">
        <f t="shared" si="5"/>
        <v>44320</v>
      </c>
      <c r="E16" s="45">
        <f t="shared" si="6"/>
        <v>41094</v>
      </c>
      <c r="F16" s="46">
        <v>3226</v>
      </c>
      <c r="G16" s="47">
        <v>10999</v>
      </c>
      <c r="H16" s="315">
        <f t="shared" si="3"/>
        <v>102643</v>
      </c>
      <c r="I16" s="45">
        <f t="shared" si="7"/>
        <v>79185</v>
      </c>
      <c r="J16" s="46">
        <v>56273</v>
      </c>
      <c r="K16" s="49">
        <v>22912</v>
      </c>
      <c r="L16" s="45">
        <f t="shared" si="8"/>
        <v>23458</v>
      </c>
      <c r="M16" s="46">
        <v>15922</v>
      </c>
      <c r="N16" s="47">
        <v>7536</v>
      </c>
      <c r="O16" s="319">
        <v>29334</v>
      </c>
      <c r="P16" s="45">
        <f t="shared" si="4"/>
        <v>21487</v>
      </c>
      <c r="Q16" s="47">
        <v>7847</v>
      </c>
      <c r="R16" s="44">
        <v>121959</v>
      </c>
      <c r="S16" s="46">
        <v>312333</v>
      </c>
      <c r="T16" s="50">
        <f t="shared" si="0"/>
        <v>0.45358686115825808</v>
      </c>
      <c r="U16" s="51">
        <f t="shared" si="1"/>
        <v>0.32863322159361963</v>
      </c>
      <c r="V16" s="52">
        <f t="shared" si="2"/>
        <v>0.22853969583897588</v>
      </c>
    </row>
    <row r="17" spans="2:44" ht="20.149999999999999" customHeight="1" x14ac:dyDescent="0.2">
      <c r="B17" s="377" t="s">
        <v>49</v>
      </c>
      <c r="C17" s="319">
        <v>55298</v>
      </c>
      <c r="D17" s="45">
        <f t="shared" si="5"/>
        <v>44215</v>
      </c>
      <c r="E17" s="45">
        <f t="shared" si="6"/>
        <v>40979</v>
      </c>
      <c r="F17" s="46">
        <v>3236</v>
      </c>
      <c r="G17" s="47">
        <v>11083</v>
      </c>
      <c r="H17" s="315">
        <f t="shared" si="3"/>
        <v>102503</v>
      </c>
      <c r="I17" s="45">
        <f t="shared" si="7"/>
        <v>78888</v>
      </c>
      <c r="J17" s="46">
        <v>56086</v>
      </c>
      <c r="K17" s="49">
        <v>22802</v>
      </c>
      <c r="L17" s="45">
        <f t="shared" si="8"/>
        <v>23615</v>
      </c>
      <c r="M17" s="46">
        <v>16026</v>
      </c>
      <c r="N17" s="47">
        <v>7589</v>
      </c>
      <c r="O17" s="319">
        <v>29100</v>
      </c>
      <c r="P17" s="45">
        <f t="shared" si="4"/>
        <v>21347</v>
      </c>
      <c r="Q17" s="47">
        <v>7753</v>
      </c>
      <c r="R17" s="44">
        <v>122099</v>
      </c>
      <c r="S17" s="46">
        <v>312492</v>
      </c>
      <c r="T17" s="50">
        <f t="shared" si="0"/>
        <v>0.45289478210304751</v>
      </c>
      <c r="U17" s="51">
        <f t="shared" si="1"/>
        <v>0.32801799726072989</v>
      </c>
      <c r="V17" s="52">
        <f t="shared" si="2"/>
        <v>0.23038350097070329</v>
      </c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2:44" ht="20.149999999999999" customHeight="1" x14ac:dyDescent="0.2">
      <c r="B18" s="378" t="s">
        <v>50</v>
      </c>
      <c r="C18" s="319">
        <v>55140</v>
      </c>
      <c r="D18" s="55">
        <f t="shared" si="5"/>
        <v>44036</v>
      </c>
      <c r="E18" s="55">
        <f t="shared" si="6"/>
        <v>40810</v>
      </c>
      <c r="F18" s="46">
        <v>3226</v>
      </c>
      <c r="G18" s="47">
        <v>11104</v>
      </c>
      <c r="H18" s="315">
        <f t="shared" si="3"/>
        <v>102132</v>
      </c>
      <c r="I18" s="55">
        <f t="shared" si="7"/>
        <v>78527</v>
      </c>
      <c r="J18" s="46">
        <v>55813</v>
      </c>
      <c r="K18" s="49">
        <v>22714</v>
      </c>
      <c r="L18" s="55">
        <f t="shared" si="8"/>
        <v>23605</v>
      </c>
      <c r="M18" s="46">
        <v>16029</v>
      </c>
      <c r="N18" s="47">
        <v>7576</v>
      </c>
      <c r="O18" s="319">
        <v>28838</v>
      </c>
      <c r="P18" s="55">
        <f t="shared" si="4"/>
        <v>21226</v>
      </c>
      <c r="Q18" s="47">
        <v>7612</v>
      </c>
      <c r="R18" s="44">
        <v>122164</v>
      </c>
      <c r="S18" s="46">
        <v>312476</v>
      </c>
      <c r="T18" s="60">
        <f t="shared" si="0"/>
        <v>0.4513604662584722</v>
      </c>
      <c r="U18" s="61">
        <f t="shared" si="1"/>
        <v>0.32684750188814499</v>
      </c>
      <c r="V18" s="62">
        <f t="shared" si="2"/>
        <v>0.2311224689617358</v>
      </c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ROUND(+平成18年度!AK18/平成18年度!AM18,4)</f>
        <v>0.27060000000000001</v>
      </c>
      <c r="AP18" s="22">
        <f>ROUND(+平成18年度!AL18/平成18年度!AN18,4)</f>
        <v>0.38550000000000001</v>
      </c>
    </row>
    <row r="19" spans="2:44" ht="20.149999999999999" customHeight="1" x14ac:dyDescent="0.2">
      <c r="B19" s="378" t="s">
        <v>51</v>
      </c>
      <c r="C19" s="319">
        <v>55099</v>
      </c>
      <c r="D19" s="55">
        <f t="shared" si="5"/>
        <v>43986</v>
      </c>
      <c r="E19" s="55">
        <f t="shared" si="6"/>
        <v>40756</v>
      </c>
      <c r="F19" s="46">
        <v>3230</v>
      </c>
      <c r="G19" s="47">
        <v>11113</v>
      </c>
      <c r="H19" s="315">
        <f t="shared" si="3"/>
        <v>101909</v>
      </c>
      <c r="I19" s="55">
        <f t="shared" si="7"/>
        <v>78274</v>
      </c>
      <c r="J19" s="46">
        <v>55663</v>
      </c>
      <c r="K19" s="49">
        <v>22611</v>
      </c>
      <c r="L19" s="55">
        <f t="shared" si="8"/>
        <v>23635</v>
      </c>
      <c r="M19" s="46">
        <v>16046</v>
      </c>
      <c r="N19" s="47">
        <v>7589</v>
      </c>
      <c r="O19" s="319">
        <v>28697</v>
      </c>
      <c r="P19" s="55">
        <f t="shared" si="4"/>
        <v>21208</v>
      </c>
      <c r="Q19" s="47">
        <v>7489</v>
      </c>
      <c r="R19" s="44">
        <v>122284</v>
      </c>
      <c r="S19" s="46">
        <v>311904</v>
      </c>
      <c r="T19" s="60">
        <f t="shared" si="0"/>
        <v>0.45058225115305356</v>
      </c>
      <c r="U19" s="61">
        <f t="shared" si="1"/>
        <v>0.32673194316199855</v>
      </c>
      <c r="V19" s="62">
        <f t="shared" si="2"/>
        <v>0.23192259761159464</v>
      </c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ROUND(+平成18年度!AK19/平成18年度!AM19,4)</f>
        <v>0.28050000000000003</v>
      </c>
      <c r="AP19" s="35">
        <f>ROUND(+平成18年度!AL19/平成18年度!AN19,4)</f>
        <v>0.39810000000000001</v>
      </c>
      <c r="AQ19" s="36">
        <f>ROUND((+平成18年度!AO19-平成18年度!AO18),4)</f>
        <v>9.9000000000000008E-3</v>
      </c>
      <c r="AR19" s="36">
        <f>ROUND((+平成18年度!AP19-平成18年度!AP18),4)</f>
        <v>1.26E-2</v>
      </c>
    </row>
    <row r="20" spans="2:44" s="404" customFormat="1" ht="20.149999999999999" customHeight="1" x14ac:dyDescent="0.2">
      <c r="B20" s="405" t="s">
        <v>52</v>
      </c>
      <c r="C20" s="406">
        <f>SUM(C8:C19)</f>
        <v>663906</v>
      </c>
      <c r="D20" s="407">
        <f t="shared" ref="D20:S20" si="9">SUM(D8:D19)</f>
        <v>533808</v>
      </c>
      <c r="E20" s="408">
        <f t="shared" si="9"/>
        <v>495092</v>
      </c>
      <c r="F20" s="408">
        <f t="shared" si="9"/>
        <v>38716</v>
      </c>
      <c r="G20" s="409">
        <f t="shared" si="9"/>
        <v>130098</v>
      </c>
      <c r="H20" s="406">
        <f t="shared" si="3"/>
        <v>1234613</v>
      </c>
      <c r="I20" s="407">
        <f t="shared" si="9"/>
        <v>955875</v>
      </c>
      <c r="J20" s="408">
        <f t="shared" si="9"/>
        <v>678657</v>
      </c>
      <c r="K20" s="408">
        <f t="shared" si="9"/>
        <v>277218</v>
      </c>
      <c r="L20" s="408">
        <f t="shared" si="9"/>
        <v>278738</v>
      </c>
      <c r="M20" s="408">
        <f t="shared" si="9"/>
        <v>189106</v>
      </c>
      <c r="N20" s="409">
        <f t="shared" si="9"/>
        <v>89632</v>
      </c>
      <c r="O20" s="406">
        <f t="shared" si="9"/>
        <v>355837</v>
      </c>
      <c r="P20" s="407">
        <f t="shared" si="9"/>
        <v>260367</v>
      </c>
      <c r="Q20" s="409">
        <f t="shared" si="9"/>
        <v>95470</v>
      </c>
      <c r="R20" s="429">
        <f t="shared" si="9"/>
        <v>1459304</v>
      </c>
      <c r="S20" s="407">
        <f t="shared" si="9"/>
        <v>3743267</v>
      </c>
      <c r="T20" s="412">
        <f t="shared" si="0"/>
        <v>0.45494701583768699</v>
      </c>
      <c r="U20" s="413">
        <f t="shared" si="1"/>
        <v>0.32982231831178488</v>
      </c>
      <c r="V20" s="414">
        <f t="shared" si="2"/>
        <v>0.2257695326389727</v>
      </c>
      <c r="AJ20" s="415" t="s">
        <v>1088</v>
      </c>
      <c r="AK20" s="416">
        <f>平成11年度!H19</f>
        <v>85006</v>
      </c>
      <c r="AL20" s="417">
        <f>平成11年度!C19</f>
        <v>43579</v>
      </c>
      <c r="AM20" s="418">
        <f>平成11年度!P19</f>
        <v>292833</v>
      </c>
      <c r="AN20" s="418">
        <f>平成11年度!O19</f>
        <v>106170</v>
      </c>
      <c r="AO20" s="419">
        <f>ROUND(+平成18年度!AK20/平成18年度!AM20,4)</f>
        <v>0.2903</v>
      </c>
      <c r="AP20" s="420">
        <f>ROUND(+平成18年度!AL20/平成18年度!AN20,4)</f>
        <v>0.41049999999999998</v>
      </c>
      <c r="AQ20" s="421">
        <f>ROUND((+平成18年度!AO20-平成18年度!AO19),4)</f>
        <v>9.7999999999999997E-3</v>
      </c>
      <c r="AR20" s="421">
        <f>ROUND((+平成18年度!AP20-平成18年度!AP19),4)</f>
        <v>1.24E-2</v>
      </c>
    </row>
    <row r="21" spans="2:44" s="404" customFormat="1" ht="20.149999999999999" customHeight="1" x14ac:dyDescent="0.2">
      <c r="B21" s="430" t="s">
        <v>53</v>
      </c>
      <c r="C21" s="431" t="e">
        <f>#VALUE!</f>
        <v>#VALUE!</v>
      </c>
      <c r="D21" s="431" t="e">
        <f>#VALUE!</f>
        <v>#VALUE!</v>
      </c>
      <c r="E21" s="432" t="e">
        <f>#VALUE!</f>
        <v>#VALUE!</v>
      </c>
      <c r="F21" s="432" t="e">
        <f>#VALUE!</f>
        <v>#VALUE!</v>
      </c>
      <c r="G21" s="432" t="e">
        <f>#VALUE!</f>
        <v>#VALUE!</v>
      </c>
      <c r="H21" s="433" t="e">
        <f>#VALUE!</f>
        <v>#VALUE!</v>
      </c>
      <c r="I21" s="431" t="e">
        <f>#VALUE!</f>
        <v>#VALUE!</v>
      </c>
      <c r="J21" s="431" t="e">
        <f>#VALUE!</f>
        <v>#VALUE!</v>
      </c>
      <c r="K21" s="431" t="e">
        <f>#VALUE!</f>
        <v>#VALUE!</v>
      </c>
      <c r="L21" s="432" t="e">
        <f>#VALUE!</f>
        <v>#VALUE!</v>
      </c>
      <c r="M21" s="432" t="e">
        <f>#VALUE!</f>
        <v>#VALUE!</v>
      </c>
      <c r="N21" s="434" t="e">
        <f>#VALUE!</f>
        <v>#VALUE!</v>
      </c>
      <c r="O21" s="433" t="e">
        <f>#VALUE!</f>
        <v>#VALUE!</v>
      </c>
      <c r="P21" s="431" t="e">
        <f>#VALUE!</f>
        <v>#VALUE!</v>
      </c>
      <c r="Q21" s="431" t="e">
        <f>#VALUE!</f>
        <v>#VALUE!</v>
      </c>
      <c r="R21" s="433" t="e">
        <f>#VALUE!</f>
        <v>#VALUE!</v>
      </c>
      <c r="S21" s="432" t="e">
        <f>#VALUE!</f>
        <v>#VALUE!</v>
      </c>
      <c r="T21" s="435" t="e">
        <f t="shared" si="0"/>
        <v>#VALUE!</v>
      </c>
      <c r="U21" s="436" t="e">
        <f t="shared" si="1"/>
        <v>#VALUE!</v>
      </c>
      <c r="V21" s="437" t="e">
        <f t="shared" si="2"/>
        <v>#VALUE!</v>
      </c>
      <c r="AJ21" s="415" t="s">
        <v>284</v>
      </c>
      <c r="AK21" s="416">
        <f>平成12年度!H19</f>
        <v>87854</v>
      </c>
      <c r="AL21" s="417">
        <f>平成12年度!C19</f>
        <v>45290</v>
      </c>
      <c r="AM21" s="418">
        <f>平成12年度!P19</f>
        <v>20917</v>
      </c>
      <c r="AN21" s="418">
        <f>平成12年度!O19</f>
        <v>27178</v>
      </c>
      <c r="AO21" s="419">
        <f>ROUND(+平成18年度!AK21/平成18年度!AM21,4)</f>
        <v>4.2000999999999999</v>
      </c>
      <c r="AP21" s="420">
        <f>ROUND(+平成18年度!AL21/平成18年度!AN21,4)</f>
        <v>1.6664000000000001</v>
      </c>
      <c r="AQ21" s="421">
        <f>ROUND((+平成18年度!AO21-平成18年度!AO20),4)</f>
        <v>3.9098000000000002</v>
      </c>
      <c r="AR21" s="421">
        <f>ROUND((+平成18年度!AP21-平成18年度!AP20),4)</f>
        <v>1.2559</v>
      </c>
    </row>
    <row r="22" spans="2:44" s="343" customFormat="1" ht="20.149999999999999" customHeight="1" x14ac:dyDescent="0.2">
      <c r="B22" s="381"/>
      <c r="C22" s="344"/>
      <c r="D22" s="345"/>
      <c r="E22" s="345"/>
      <c r="F22" s="345"/>
      <c r="G22" s="346"/>
      <c r="H22" s="344"/>
      <c r="I22" s="345"/>
      <c r="J22" s="345"/>
      <c r="K22" s="345"/>
      <c r="L22" s="345"/>
      <c r="M22" s="345"/>
      <c r="N22" s="346"/>
      <c r="O22" s="344"/>
      <c r="P22" s="383"/>
      <c r="Q22" s="384"/>
      <c r="R22" s="385"/>
      <c r="S22" s="383"/>
      <c r="T22" s="348"/>
      <c r="U22" s="348"/>
      <c r="V22" s="347"/>
      <c r="AJ22" s="349" t="s">
        <v>607</v>
      </c>
      <c r="AK22" s="350">
        <f>平成13年度!H19</f>
        <v>91363</v>
      </c>
      <c r="AL22" s="351">
        <f>平成13年度!C19</f>
        <v>47502</v>
      </c>
      <c r="AM22" s="352">
        <f>平成13年度!P19</f>
        <v>21019</v>
      </c>
      <c r="AN22" s="352">
        <f>平成13年度!O19</f>
        <v>27824</v>
      </c>
      <c r="AO22" s="353">
        <f>ROUND(+平成18年度!AK22/平成18年度!AM22,4)</f>
        <v>4.3467000000000002</v>
      </c>
      <c r="AP22" s="354">
        <f>ROUND(+平成18年度!AL22/平成18年度!AN22,4)</f>
        <v>1.7072000000000001</v>
      </c>
      <c r="AQ22" s="355">
        <f>ROUND((+平成18年度!AO22-平成18年度!AO21),4)</f>
        <v>0.14660000000000001</v>
      </c>
      <c r="AR22" s="355">
        <f>ROUND((+平成18年度!AP22-平成18年度!AP21),4)</f>
        <v>4.0800000000000003E-2</v>
      </c>
    </row>
    <row r="23" spans="2:44" ht="20.149999999999999" customHeight="1" x14ac:dyDescent="0.2">
      <c r="B23" s="377" t="s">
        <v>54</v>
      </c>
      <c r="C23" s="314">
        <f>SUM(C8)</f>
        <v>55278</v>
      </c>
      <c r="D23" s="45">
        <f t="shared" ref="D23:S23" si="10">SUM(D8)</f>
        <v>44750</v>
      </c>
      <c r="E23" s="79">
        <f t="shared" si="10"/>
        <v>41540</v>
      </c>
      <c r="F23" s="79">
        <f t="shared" si="10"/>
        <v>3210</v>
      </c>
      <c r="G23" s="80">
        <f t="shared" si="10"/>
        <v>10528</v>
      </c>
      <c r="H23" s="314">
        <f t="shared" si="10"/>
        <v>103323</v>
      </c>
      <c r="I23" s="45">
        <f t="shared" si="10"/>
        <v>80607</v>
      </c>
      <c r="J23" s="79">
        <f t="shared" si="10"/>
        <v>57074</v>
      </c>
      <c r="K23" s="79">
        <f t="shared" si="10"/>
        <v>23533</v>
      </c>
      <c r="L23" s="79">
        <f t="shared" si="10"/>
        <v>22716</v>
      </c>
      <c r="M23" s="79">
        <f t="shared" si="10"/>
        <v>15405</v>
      </c>
      <c r="N23" s="80">
        <f t="shared" si="10"/>
        <v>7311</v>
      </c>
      <c r="O23" s="314">
        <f t="shared" si="10"/>
        <v>30256</v>
      </c>
      <c r="P23" s="45">
        <f t="shared" si="10"/>
        <v>21990</v>
      </c>
      <c r="Q23" s="80">
        <f t="shared" si="10"/>
        <v>8266</v>
      </c>
      <c r="R23" s="48">
        <f t="shared" si="10"/>
        <v>120273</v>
      </c>
      <c r="S23" s="45">
        <f t="shared" si="10"/>
        <v>310710</v>
      </c>
      <c r="T23" s="50">
        <f>C23/R23</f>
        <v>0.45960439999002267</v>
      </c>
      <c r="U23" s="51">
        <f>H23/S23</f>
        <v>0.33253837983972195</v>
      </c>
      <c r="V23" s="52">
        <f>L23/H23</f>
        <v>0.21985424348886501</v>
      </c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ROUND(+平成18年度!AK23/平成18年度!AM23,4)</f>
        <v>4.4180999999999999</v>
      </c>
      <c r="AP23" s="68">
        <f>ROUND(+平成18年度!AL23/平成18年度!AN23,4)</f>
        <v>1.7375</v>
      </c>
      <c r="AQ23" s="36">
        <f>ROUND((+平成18年度!AO23-平成18年度!AO22),4)</f>
        <v>7.1400000000000005E-2</v>
      </c>
      <c r="AR23" s="36">
        <f>ROUND((+平成18年度!AP23-平成18年度!AP22),4)</f>
        <v>3.0300000000000001E-2</v>
      </c>
    </row>
    <row r="24" spans="2:44" ht="20.149999999999999" customHeight="1" x14ac:dyDescent="0.2">
      <c r="B24" s="378" t="s">
        <v>55</v>
      </c>
      <c r="C24" s="315">
        <f>SUM(C8:C9)</f>
        <v>110660</v>
      </c>
      <c r="D24" s="55">
        <f t="shared" ref="D24:S24" si="11">SUM(D8:D9)</f>
        <v>89585</v>
      </c>
      <c r="E24" s="89">
        <f t="shared" si="11"/>
        <v>83165</v>
      </c>
      <c r="F24" s="89">
        <f t="shared" si="11"/>
        <v>6420</v>
      </c>
      <c r="G24" s="90">
        <f t="shared" si="11"/>
        <v>21075</v>
      </c>
      <c r="H24" s="315">
        <f t="shared" si="11"/>
        <v>206782</v>
      </c>
      <c r="I24" s="55">
        <f t="shared" si="11"/>
        <v>161319</v>
      </c>
      <c r="J24" s="89">
        <f t="shared" si="11"/>
        <v>114311</v>
      </c>
      <c r="K24" s="89">
        <f t="shared" si="11"/>
        <v>47008</v>
      </c>
      <c r="L24" s="89">
        <f t="shared" si="11"/>
        <v>45463</v>
      </c>
      <c r="M24" s="89">
        <f t="shared" si="11"/>
        <v>30830</v>
      </c>
      <c r="N24" s="90">
        <f t="shared" si="11"/>
        <v>14633</v>
      </c>
      <c r="O24" s="315">
        <f t="shared" si="11"/>
        <v>60542</v>
      </c>
      <c r="P24" s="55">
        <f t="shared" si="11"/>
        <v>44078</v>
      </c>
      <c r="Q24" s="90">
        <f t="shared" si="11"/>
        <v>16464</v>
      </c>
      <c r="R24" s="58">
        <f t="shared" si="11"/>
        <v>241405</v>
      </c>
      <c r="S24" s="55">
        <f t="shared" si="11"/>
        <v>622268</v>
      </c>
      <c r="T24" s="60">
        <f t="shared" ref="T24:T35" si="12">C24/R24</f>
        <v>0.45839978459435388</v>
      </c>
      <c r="U24" s="61">
        <f t="shared" ref="U24:U35" si="13">H24/S24</f>
        <v>0.33230376622291358</v>
      </c>
      <c r="V24" s="62">
        <f t="shared" ref="V24:V35" si="14">L24/H24</f>
        <v>0.21985956224429593</v>
      </c>
      <c r="AJ24" s="69" t="s">
        <v>907</v>
      </c>
      <c r="AK24" s="70">
        <f>平成18年度!H14</f>
        <v>102885</v>
      </c>
      <c r="AL24" s="71">
        <f>平成18年度!C14</f>
        <v>55373</v>
      </c>
      <c r="AM24" s="72">
        <f>平成18年度!S14</f>
        <v>312245</v>
      </c>
      <c r="AN24" s="72">
        <f>平成18年度!R14</f>
        <v>121801</v>
      </c>
      <c r="AO24" s="73">
        <f>ROUND(+平成18年度!AK24/平成18年度!AM24,4)</f>
        <v>0.32950000000000002</v>
      </c>
      <c r="AP24" s="74">
        <f>ROUND(+平成18年度!AL24/平成18年度!AN24,4)</f>
        <v>0.4546</v>
      </c>
      <c r="AQ24" s="36">
        <f>ROUND((+平成18年度!AO24-平成18年度!AO23),4)</f>
        <v>-4.0885999999999996</v>
      </c>
      <c r="AR24" s="36">
        <f>ROUND((+平成18年度!AP24-平成18年度!AP23),4)</f>
        <v>-1.2828999999999999</v>
      </c>
    </row>
    <row r="25" spans="2:44" ht="20.149999999999999" customHeight="1" x14ac:dyDescent="0.2">
      <c r="B25" s="378" t="s">
        <v>56</v>
      </c>
      <c r="C25" s="315">
        <f>SUM(C8:C10)</f>
        <v>166108</v>
      </c>
      <c r="D25" s="55">
        <f t="shared" ref="D25:S25" si="15">SUM(D8:D10)</f>
        <v>134462</v>
      </c>
      <c r="E25" s="89">
        <f t="shared" si="15"/>
        <v>124818</v>
      </c>
      <c r="F25" s="89">
        <f t="shared" si="15"/>
        <v>9644</v>
      </c>
      <c r="G25" s="90">
        <f t="shared" si="15"/>
        <v>31646</v>
      </c>
      <c r="H25" s="315">
        <f t="shared" si="15"/>
        <v>310265</v>
      </c>
      <c r="I25" s="55">
        <f t="shared" si="15"/>
        <v>241995</v>
      </c>
      <c r="J25" s="89">
        <f t="shared" si="15"/>
        <v>171592</v>
      </c>
      <c r="K25" s="89">
        <f t="shared" si="15"/>
        <v>70403</v>
      </c>
      <c r="L25" s="89">
        <f t="shared" si="15"/>
        <v>68270</v>
      </c>
      <c r="M25" s="89">
        <f t="shared" si="15"/>
        <v>46299</v>
      </c>
      <c r="N25" s="90">
        <f t="shared" si="15"/>
        <v>21971</v>
      </c>
      <c r="O25" s="315">
        <f t="shared" si="15"/>
        <v>90783</v>
      </c>
      <c r="P25" s="55">
        <f t="shared" si="15"/>
        <v>66197</v>
      </c>
      <c r="Q25" s="90">
        <f t="shared" si="15"/>
        <v>24586</v>
      </c>
      <c r="R25" s="58">
        <f t="shared" si="15"/>
        <v>362631</v>
      </c>
      <c r="S25" s="55">
        <f t="shared" si="15"/>
        <v>933861</v>
      </c>
      <c r="T25" s="60">
        <f t="shared" si="12"/>
        <v>0.45806343087049922</v>
      </c>
      <c r="U25" s="61">
        <f t="shared" si="13"/>
        <v>0.33223895204960907</v>
      </c>
      <c r="V25" s="62">
        <f t="shared" si="14"/>
        <v>0.22003770969977277</v>
      </c>
      <c r="AJ25" s="1" t="s">
        <v>1137</v>
      </c>
    </row>
    <row r="26" spans="2:44" ht="20.149999999999999" customHeight="1" x14ac:dyDescent="0.2">
      <c r="B26" s="378" t="s">
        <v>57</v>
      </c>
      <c r="C26" s="315">
        <f>SUM(C8:C11)</f>
        <v>221585</v>
      </c>
      <c r="D26" s="55">
        <f t="shared" ref="D26:S26" si="16">SUM(D8:D11)</f>
        <v>179201</v>
      </c>
      <c r="E26" s="89">
        <f t="shared" si="16"/>
        <v>166319</v>
      </c>
      <c r="F26" s="89">
        <f t="shared" si="16"/>
        <v>12882</v>
      </c>
      <c r="G26" s="90">
        <f t="shared" si="16"/>
        <v>42384</v>
      </c>
      <c r="H26" s="315">
        <f t="shared" si="16"/>
        <v>413691</v>
      </c>
      <c r="I26" s="55">
        <f t="shared" si="16"/>
        <v>322305</v>
      </c>
      <c r="J26" s="89">
        <f t="shared" si="16"/>
        <v>228591</v>
      </c>
      <c r="K26" s="89">
        <f t="shared" si="16"/>
        <v>93714</v>
      </c>
      <c r="L26" s="89">
        <f t="shared" si="16"/>
        <v>91386</v>
      </c>
      <c r="M26" s="89">
        <f t="shared" si="16"/>
        <v>61965</v>
      </c>
      <c r="N26" s="90">
        <f t="shared" si="16"/>
        <v>29421</v>
      </c>
      <c r="O26" s="315">
        <f t="shared" si="16"/>
        <v>120938</v>
      </c>
      <c r="P26" s="55">
        <f t="shared" si="16"/>
        <v>88143</v>
      </c>
      <c r="Q26" s="90">
        <f t="shared" si="16"/>
        <v>32795</v>
      </c>
      <c r="R26" s="58">
        <f t="shared" si="16"/>
        <v>484001</v>
      </c>
      <c r="S26" s="55">
        <f t="shared" si="16"/>
        <v>1245576</v>
      </c>
      <c r="T26" s="60">
        <f t="shared" si="12"/>
        <v>0.4578193020262355</v>
      </c>
      <c r="U26" s="61">
        <f t="shared" si="13"/>
        <v>0.33212826836740594</v>
      </c>
      <c r="V26" s="62">
        <f t="shared" si="14"/>
        <v>0.2209040080639898</v>
      </c>
      <c r="AJ26" s="69" t="s">
        <v>1106</v>
      </c>
      <c r="AK26" s="76">
        <f>平成18年度!AK23/平成18年度!AK18</f>
        <v>1.2014763517369964</v>
      </c>
      <c r="AL26" s="77">
        <f>平成18年度!AL23/平成18年度!AL18</f>
        <v>1.241609726688103</v>
      </c>
      <c r="AM26" s="77">
        <f>平成18年度!AM23/平成18年度!AM18</f>
        <v>7.3587858569634068E-2</v>
      </c>
      <c r="AN26" s="77">
        <f>平成18年度!AN23/平成18年度!AN18</f>
        <v>0.27549271221732602</v>
      </c>
      <c r="AO26" s="78">
        <f>平成18年度!AO23/平成18年度!AO18</f>
        <v>16.327050997782706</v>
      </c>
      <c r="AP26" s="74">
        <f>平成18年度!AP23/平成18年度!AP18</f>
        <v>4.5071335927367056</v>
      </c>
    </row>
    <row r="27" spans="2:44" ht="20.149999999999999" customHeight="1" x14ac:dyDescent="0.2">
      <c r="B27" s="378" t="s">
        <v>58</v>
      </c>
      <c r="C27" s="315">
        <f>SUM(C8:C12)</f>
        <v>276966</v>
      </c>
      <c r="D27" s="55">
        <f t="shared" ref="D27:S27" si="17">SUM(D8:D12)</f>
        <v>223818</v>
      </c>
      <c r="E27" s="89">
        <f t="shared" si="17"/>
        <v>207700</v>
      </c>
      <c r="F27" s="89">
        <f t="shared" si="17"/>
        <v>16118</v>
      </c>
      <c r="G27" s="90">
        <f t="shared" si="17"/>
        <v>53148</v>
      </c>
      <c r="H27" s="315">
        <f t="shared" si="17"/>
        <v>516809</v>
      </c>
      <c r="I27" s="55">
        <f t="shared" si="17"/>
        <v>402272</v>
      </c>
      <c r="J27" s="89">
        <f t="shared" si="17"/>
        <v>285339</v>
      </c>
      <c r="K27" s="89">
        <f t="shared" si="17"/>
        <v>116933</v>
      </c>
      <c r="L27" s="89">
        <f t="shared" si="17"/>
        <v>114537</v>
      </c>
      <c r="M27" s="89">
        <f t="shared" si="17"/>
        <v>77661</v>
      </c>
      <c r="N27" s="90">
        <f t="shared" si="17"/>
        <v>36876</v>
      </c>
      <c r="O27" s="315">
        <f t="shared" si="17"/>
        <v>150895</v>
      </c>
      <c r="P27" s="55">
        <f t="shared" si="17"/>
        <v>110007</v>
      </c>
      <c r="Q27" s="90">
        <f t="shared" si="17"/>
        <v>40888</v>
      </c>
      <c r="R27" s="58">
        <f t="shared" si="17"/>
        <v>605446</v>
      </c>
      <c r="S27" s="55">
        <f t="shared" si="17"/>
        <v>1557419</v>
      </c>
      <c r="T27" s="60">
        <f t="shared" si="12"/>
        <v>0.45745780796305535</v>
      </c>
      <c r="U27" s="61">
        <f t="shared" si="13"/>
        <v>0.33183684031079624</v>
      </c>
      <c r="V27" s="62">
        <f t="shared" si="14"/>
        <v>0.2216234624397021</v>
      </c>
    </row>
    <row r="28" spans="2:44" ht="20.149999999999999" customHeight="1" x14ac:dyDescent="0.2">
      <c r="B28" s="378" t="s">
        <v>59</v>
      </c>
      <c r="C28" s="315">
        <f>SUM(C8:C13)</f>
        <v>332296</v>
      </c>
      <c r="D28" s="55">
        <f t="shared" ref="D28:S28" si="18">SUM(D8:D13)</f>
        <v>268308</v>
      </c>
      <c r="E28" s="89">
        <f t="shared" si="18"/>
        <v>248963</v>
      </c>
      <c r="F28" s="89">
        <f t="shared" si="18"/>
        <v>19345</v>
      </c>
      <c r="G28" s="90">
        <f t="shared" si="18"/>
        <v>63988</v>
      </c>
      <c r="H28" s="315">
        <f t="shared" si="18"/>
        <v>619713</v>
      </c>
      <c r="I28" s="55">
        <f t="shared" si="18"/>
        <v>481954</v>
      </c>
      <c r="J28" s="89">
        <f t="shared" si="18"/>
        <v>341870</v>
      </c>
      <c r="K28" s="89">
        <f t="shared" si="18"/>
        <v>140084</v>
      </c>
      <c r="L28" s="89">
        <f t="shared" si="18"/>
        <v>137759</v>
      </c>
      <c r="M28" s="89">
        <f t="shared" si="18"/>
        <v>93425</v>
      </c>
      <c r="N28" s="90">
        <f t="shared" si="18"/>
        <v>44334</v>
      </c>
      <c r="O28" s="315">
        <f t="shared" si="18"/>
        <v>180676</v>
      </c>
      <c r="P28" s="55">
        <f t="shared" si="18"/>
        <v>131754</v>
      </c>
      <c r="Q28" s="90">
        <f t="shared" si="18"/>
        <v>48922</v>
      </c>
      <c r="R28" s="58">
        <f t="shared" si="18"/>
        <v>727082</v>
      </c>
      <c r="S28" s="55">
        <f t="shared" si="18"/>
        <v>1869481</v>
      </c>
      <c r="T28" s="60">
        <f t="shared" si="12"/>
        <v>0.45702685529280052</v>
      </c>
      <c r="U28" s="61">
        <f t="shared" si="13"/>
        <v>0.33148932778669588</v>
      </c>
      <c r="V28" s="62">
        <f t="shared" si="14"/>
        <v>0.22229483648075804</v>
      </c>
    </row>
    <row r="29" spans="2:44" ht="20.149999999999999" customHeight="1" x14ac:dyDescent="0.2">
      <c r="B29" s="378" t="s">
        <v>60</v>
      </c>
      <c r="C29" s="315">
        <f>SUM(C8:C14)</f>
        <v>387669</v>
      </c>
      <c r="D29" s="55">
        <f t="shared" ref="D29:S29" si="19">SUM(D8:D14)</f>
        <v>312784</v>
      </c>
      <c r="E29" s="89">
        <f t="shared" si="19"/>
        <v>290202</v>
      </c>
      <c r="F29" s="89">
        <f t="shared" si="19"/>
        <v>22582</v>
      </c>
      <c r="G29" s="90">
        <f t="shared" si="19"/>
        <v>74885</v>
      </c>
      <c r="H29" s="315">
        <f t="shared" si="19"/>
        <v>722598</v>
      </c>
      <c r="I29" s="55">
        <f t="shared" si="19"/>
        <v>561497</v>
      </c>
      <c r="J29" s="89">
        <f t="shared" si="19"/>
        <v>398325</v>
      </c>
      <c r="K29" s="89">
        <f t="shared" si="19"/>
        <v>163172</v>
      </c>
      <c r="L29" s="89">
        <f t="shared" si="19"/>
        <v>161101</v>
      </c>
      <c r="M29" s="89">
        <f t="shared" si="19"/>
        <v>109258</v>
      </c>
      <c r="N29" s="90">
        <f t="shared" si="19"/>
        <v>51843</v>
      </c>
      <c r="O29" s="315">
        <f t="shared" si="19"/>
        <v>210362</v>
      </c>
      <c r="P29" s="55">
        <f t="shared" si="19"/>
        <v>153452</v>
      </c>
      <c r="Q29" s="90">
        <f t="shared" si="19"/>
        <v>56910</v>
      </c>
      <c r="R29" s="58">
        <f t="shared" si="19"/>
        <v>848883</v>
      </c>
      <c r="S29" s="55">
        <f t="shared" si="19"/>
        <v>2181726</v>
      </c>
      <c r="T29" s="60">
        <f t="shared" si="12"/>
        <v>0.45668130943840318</v>
      </c>
      <c r="U29" s="61">
        <f t="shared" si="13"/>
        <v>0.33120474340040867</v>
      </c>
      <c r="V29" s="62">
        <f t="shared" si="14"/>
        <v>0.22294692207838937</v>
      </c>
    </row>
    <row r="30" spans="2:44" ht="20.149999999999999" customHeight="1" x14ac:dyDescent="0.2">
      <c r="B30" s="378" t="s">
        <v>61</v>
      </c>
      <c r="C30" s="315">
        <f>SUM(C8:C15)</f>
        <v>443050</v>
      </c>
      <c r="D30" s="55">
        <f t="shared" ref="D30:S30" si="20">SUM(D8:D15)</f>
        <v>357251</v>
      </c>
      <c r="E30" s="89">
        <f t="shared" si="20"/>
        <v>331453</v>
      </c>
      <c r="F30" s="89">
        <f t="shared" si="20"/>
        <v>25798</v>
      </c>
      <c r="G30" s="90">
        <f t="shared" si="20"/>
        <v>85799</v>
      </c>
      <c r="H30" s="315">
        <f t="shared" si="20"/>
        <v>825426</v>
      </c>
      <c r="I30" s="55">
        <f t="shared" si="20"/>
        <v>641001</v>
      </c>
      <c r="J30" s="89">
        <f t="shared" si="20"/>
        <v>454822</v>
      </c>
      <c r="K30" s="89">
        <f t="shared" si="20"/>
        <v>186179</v>
      </c>
      <c r="L30" s="89">
        <f t="shared" si="20"/>
        <v>184425</v>
      </c>
      <c r="M30" s="89">
        <f t="shared" si="20"/>
        <v>125083</v>
      </c>
      <c r="N30" s="90">
        <f t="shared" si="20"/>
        <v>59342</v>
      </c>
      <c r="O30" s="315">
        <f t="shared" si="20"/>
        <v>239868</v>
      </c>
      <c r="P30" s="55">
        <f t="shared" si="20"/>
        <v>175099</v>
      </c>
      <c r="Q30" s="90">
        <f t="shared" si="20"/>
        <v>64769</v>
      </c>
      <c r="R30" s="58">
        <f t="shared" si="20"/>
        <v>970798</v>
      </c>
      <c r="S30" s="55">
        <f t="shared" si="20"/>
        <v>2494062</v>
      </c>
      <c r="T30" s="60">
        <f t="shared" si="12"/>
        <v>0.45637712479836173</v>
      </c>
      <c r="U30" s="61">
        <f t="shared" si="13"/>
        <v>0.33095648784994119</v>
      </c>
      <c r="V30" s="62">
        <f t="shared" si="14"/>
        <v>0.22343008337512993</v>
      </c>
    </row>
    <row r="31" spans="2:44" ht="20.149999999999999" customHeight="1" x14ac:dyDescent="0.2">
      <c r="B31" s="378" t="s">
        <v>62</v>
      </c>
      <c r="C31" s="315">
        <f>SUM(C8:C16)</f>
        <v>498369</v>
      </c>
      <c r="D31" s="55">
        <f t="shared" ref="D31:S31" si="21">SUM(D8:D16)</f>
        <v>401571</v>
      </c>
      <c r="E31" s="89">
        <f t="shared" si="21"/>
        <v>372547</v>
      </c>
      <c r="F31" s="89">
        <f t="shared" si="21"/>
        <v>29024</v>
      </c>
      <c r="G31" s="90">
        <f t="shared" si="21"/>
        <v>96798</v>
      </c>
      <c r="H31" s="315">
        <f t="shared" si="21"/>
        <v>928069</v>
      </c>
      <c r="I31" s="55">
        <f t="shared" si="21"/>
        <v>720186</v>
      </c>
      <c r="J31" s="89">
        <f t="shared" si="21"/>
        <v>511095</v>
      </c>
      <c r="K31" s="89">
        <f t="shared" si="21"/>
        <v>209091</v>
      </c>
      <c r="L31" s="89">
        <f t="shared" si="21"/>
        <v>207883</v>
      </c>
      <c r="M31" s="89">
        <f t="shared" si="21"/>
        <v>141005</v>
      </c>
      <c r="N31" s="90">
        <f t="shared" si="21"/>
        <v>66878</v>
      </c>
      <c r="O31" s="315">
        <f t="shared" si="21"/>
        <v>269202</v>
      </c>
      <c r="P31" s="55">
        <f t="shared" si="21"/>
        <v>196586</v>
      </c>
      <c r="Q31" s="90">
        <f t="shared" si="21"/>
        <v>72616</v>
      </c>
      <c r="R31" s="58">
        <f t="shared" si="21"/>
        <v>1092757</v>
      </c>
      <c r="S31" s="55">
        <f t="shared" si="21"/>
        <v>2806395</v>
      </c>
      <c r="T31" s="60">
        <f t="shared" si="12"/>
        <v>0.4560657126881823</v>
      </c>
      <c r="U31" s="61">
        <f t="shared" si="13"/>
        <v>0.3306979238489236</v>
      </c>
      <c r="V31" s="62">
        <f t="shared" si="14"/>
        <v>0.22399519863286027</v>
      </c>
    </row>
    <row r="32" spans="2:44" ht="20.149999999999999" customHeight="1" x14ac:dyDescent="0.2">
      <c r="B32" s="378" t="s">
        <v>63</v>
      </c>
      <c r="C32" s="315">
        <f>SUM(C8:C17)</f>
        <v>553667</v>
      </c>
      <c r="D32" s="55">
        <f t="shared" ref="D32:S32" si="22">SUM(D8:D17)</f>
        <v>445786</v>
      </c>
      <c r="E32" s="89">
        <f t="shared" si="22"/>
        <v>413526</v>
      </c>
      <c r="F32" s="89">
        <f t="shared" si="22"/>
        <v>32260</v>
      </c>
      <c r="G32" s="90">
        <f t="shared" si="22"/>
        <v>107881</v>
      </c>
      <c r="H32" s="315">
        <f t="shared" si="22"/>
        <v>1030572</v>
      </c>
      <c r="I32" s="55">
        <f t="shared" si="22"/>
        <v>799074</v>
      </c>
      <c r="J32" s="89">
        <f t="shared" si="22"/>
        <v>567181</v>
      </c>
      <c r="K32" s="89">
        <f t="shared" si="22"/>
        <v>231893</v>
      </c>
      <c r="L32" s="89">
        <f t="shared" si="22"/>
        <v>231498</v>
      </c>
      <c r="M32" s="89">
        <f t="shared" si="22"/>
        <v>157031</v>
      </c>
      <c r="N32" s="90">
        <f t="shared" si="22"/>
        <v>74467</v>
      </c>
      <c r="O32" s="315">
        <f t="shared" si="22"/>
        <v>298302</v>
      </c>
      <c r="P32" s="55">
        <f t="shared" si="22"/>
        <v>217933</v>
      </c>
      <c r="Q32" s="90">
        <f t="shared" si="22"/>
        <v>80369</v>
      </c>
      <c r="R32" s="58">
        <f t="shared" si="22"/>
        <v>1214856</v>
      </c>
      <c r="S32" s="55">
        <f t="shared" si="22"/>
        <v>3118887</v>
      </c>
      <c r="T32" s="60">
        <f t="shared" si="12"/>
        <v>0.45574701857668726</v>
      </c>
      <c r="U32" s="61">
        <f t="shared" si="13"/>
        <v>0.33042941280014315</v>
      </c>
      <c r="V32" s="62">
        <f t="shared" si="14"/>
        <v>0.22463059349565095</v>
      </c>
    </row>
    <row r="33" spans="2:35" ht="20.149999999999999" customHeight="1" x14ac:dyDescent="0.2">
      <c r="B33" s="378" t="s">
        <v>64</v>
      </c>
      <c r="C33" s="315">
        <f>SUM(C8:C18)</f>
        <v>608807</v>
      </c>
      <c r="D33" s="55">
        <f t="shared" ref="D33:S33" si="23">SUM(D8:D18)</f>
        <v>489822</v>
      </c>
      <c r="E33" s="89">
        <f t="shared" si="23"/>
        <v>454336</v>
      </c>
      <c r="F33" s="89">
        <f t="shared" si="23"/>
        <v>35486</v>
      </c>
      <c r="G33" s="90">
        <f t="shared" si="23"/>
        <v>118985</v>
      </c>
      <c r="H33" s="315">
        <f t="shared" si="23"/>
        <v>1132704</v>
      </c>
      <c r="I33" s="55">
        <f t="shared" si="23"/>
        <v>877601</v>
      </c>
      <c r="J33" s="89">
        <f t="shared" si="23"/>
        <v>622994</v>
      </c>
      <c r="K33" s="89">
        <f t="shared" si="23"/>
        <v>254607</v>
      </c>
      <c r="L33" s="89">
        <f t="shared" si="23"/>
        <v>255103</v>
      </c>
      <c r="M33" s="89">
        <f t="shared" si="23"/>
        <v>173060</v>
      </c>
      <c r="N33" s="90">
        <f t="shared" si="23"/>
        <v>82043</v>
      </c>
      <c r="O33" s="315">
        <f t="shared" si="23"/>
        <v>327140</v>
      </c>
      <c r="P33" s="55">
        <f t="shared" si="23"/>
        <v>239159</v>
      </c>
      <c r="Q33" s="90">
        <f t="shared" si="23"/>
        <v>87981</v>
      </c>
      <c r="R33" s="58">
        <f t="shared" si="23"/>
        <v>1337020</v>
      </c>
      <c r="S33" s="55">
        <f t="shared" si="23"/>
        <v>3431363</v>
      </c>
      <c r="T33" s="60">
        <f t="shared" si="12"/>
        <v>0.45534621770803729</v>
      </c>
      <c r="U33" s="61">
        <f t="shared" si="13"/>
        <v>0.33010322720155227</v>
      </c>
      <c r="V33" s="62">
        <f t="shared" si="14"/>
        <v>0.22521594344153459</v>
      </c>
    </row>
    <row r="34" spans="2:35" ht="20.149999999999999" customHeight="1" thickBot="1" x14ac:dyDescent="0.25">
      <c r="B34" s="379" t="s">
        <v>65</v>
      </c>
      <c r="C34" s="366">
        <f>SUM(C8:C19)</f>
        <v>663906</v>
      </c>
      <c r="D34" s="367">
        <f t="shared" ref="D34:S34" si="24">SUM(D8:D19)</f>
        <v>533808</v>
      </c>
      <c r="E34" s="368">
        <f t="shared" si="24"/>
        <v>495092</v>
      </c>
      <c r="F34" s="368">
        <f t="shared" si="24"/>
        <v>38716</v>
      </c>
      <c r="G34" s="369">
        <f t="shared" si="24"/>
        <v>130098</v>
      </c>
      <c r="H34" s="366">
        <f t="shared" si="24"/>
        <v>1234613</v>
      </c>
      <c r="I34" s="367">
        <f t="shared" si="24"/>
        <v>955875</v>
      </c>
      <c r="J34" s="368">
        <f t="shared" si="24"/>
        <v>678657</v>
      </c>
      <c r="K34" s="368">
        <f t="shared" si="24"/>
        <v>277218</v>
      </c>
      <c r="L34" s="368">
        <f t="shared" si="24"/>
        <v>278738</v>
      </c>
      <c r="M34" s="368">
        <f t="shared" si="24"/>
        <v>189106</v>
      </c>
      <c r="N34" s="369">
        <f t="shared" si="24"/>
        <v>89632</v>
      </c>
      <c r="O34" s="366">
        <f t="shared" si="24"/>
        <v>355837</v>
      </c>
      <c r="P34" s="367">
        <f t="shared" si="24"/>
        <v>260367</v>
      </c>
      <c r="Q34" s="369">
        <f t="shared" si="24"/>
        <v>95470</v>
      </c>
      <c r="R34" s="370">
        <f t="shared" si="24"/>
        <v>1459304</v>
      </c>
      <c r="S34" s="367">
        <f t="shared" si="24"/>
        <v>3743267</v>
      </c>
      <c r="T34" s="371">
        <f t="shared" si="12"/>
        <v>0.45494701583768699</v>
      </c>
      <c r="U34" s="372">
        <f t="shared" si="13"/>
        <v>0.32982231831178488</v>
      </c>
      <c r="V34" s="373">
        <f t="shared" si="14"/>
        <v>0.2257695326389727</v>
      </c>
    </row>
    <row r="35" spans="2:35" s="404" customFormat="1" ht="20.149999999999999" customHeight="1" thickTop="1" x14ac:dyDescent="0.2">
      <c r="B35" s="438" t="s">
        <v>66</v>
      </c>
      <c r="C35" s="439">
        <f>SUM(C7:C18)</f>
        <v>663566</v>
      </c>
      <c r="D35" s="440">
        <f t="shared" ref="D35:S35" si="25">SUM(D7:D18)</f>
        <v>534290</v>
      </c>
      <c r="E35" s="440">
        <f t="shared" si="25"/>
        <v>495645</v>
      </c>
      <c r="F35" s="440">
        <f t="shared" si="25"/>
        <v>38645</v>
      </c>
      <c r="G35" s="441">
        <f t="shared" si="25"/>
        <v>129276</v>
      </c>
      <c r="H35" s="439">
        <f t="shared" si="25"/>
        <v>1235091</v>
      </c>
      <c r="I35" s="440">
        <f t="shared" si="25"/>
        <v>957825</v>
      </c>
      <c r="J35" s="440">
        <f t="shared" si="25"/>
        <v>679686</v>
      </c>
      <c r="K35" s="440">
        <f t="shared" si="25"/>
        <v>278139</v>
      </c>
      <c r="L35" s="440">
        <f t="shared" si="25"/>
        <v>277266</v>
      </c>
      <c r="M35" s="440">
        <f t="shared" si="25"/>
        <v>188126</v>
      </c>
      <c r="N35" s="442">
        <f t="shared" si="25"/>
        <v>89140</v>
      </c>
      <c r="O35" s="439">
        <f t="shared" si="25"/>
        <v>356971</v>
      </c>
      <c r="P35" s="440">
        <f t="shared" si="25"/>
        <v>261043</v>
      </c>
      <c r="Q35" s="442">
        <f t="shared" si="25"/>
        <v>95928</v>
      </c>
      <c r="R35" s="439">
        <f t="shared" si="25"/>
        <v>1457293</v>
      </c>
      <c r="S35" s="440">
        <f t="shared" si="25"/>
        <v>3742073</v>
      </c>
      <c r="T35" s="443">
        <f t="shared" si="12"/>
        <v>0.45534151334014505</v>
      </c>
      <c r="U35" s="443">
        <f t="shared" si="13"/>
        <v>0.3300552928817797</v>
      </c>
      <c r="V35" s="444">
        <f t="shared" si="14"/>
        <v>0.2244903411975312</v>
      </c>
      <c r="AA35" s="445"/>
    </row>
    <row r="36" spans="2:35" s="446" customFormat="1" ht="20.149999999999999" customHeight="1" thickBot="1" x14ac:dyDescent="0.25">
      <c r="B36" s="447" t="s">
        <v>53</v>
      </c>
      <c r="C36" s="448">
        <f>C35/12</f>
        <v>55297.166666666664</v>
      </c>
      <c r="D36" s="449">
        <f t="shared" ref="D36:S36" si="26">D35/12</f>
        <v>44524.166666666664</v>
      </c>
      <c r="E36" s="449">
        <f t="shared" si="26"/>
        <v>41303.75</v>
      </c>
      <c r="F36" s="449">
        <f t="shared" si="26"/>
        <v>3220.4166666666665</v>
      </c>
      <c r="G36" s="450">
        <f t="shared" si="26"/>
        <v>10773</v>
      </c>
      <c r="H36" s="448">
        <f t="shared" si="26"/>
        <v>102924.25</v>
      </c>
      <c r="I36" s="449">
        <f t="shared" si="26"/>
        <v>79818.75</v>
      </c>
      <c r="J36" s="449">
        <f t="shared" si="26"/>
        <v>56640.5</v>
      </c>
      <c r="K36" s="449">
        <f t="shared" si="26"/>
        <v>23178.25</v>
      </c>
      <c r="L36" s="449">
        <f t="shared" si="26"/>
        <v>23105.5</v>
      </c>
      <c r="M36" s="449">
        <f t="shared" si="26"/>
        <v>15677.166666666666</v>
      </c>
      <c r="N36" s="451">
        <f t="shared" si="26"/>
        <v>7428.333333333333</v>
      </c>
      <c r="O36" s="448">
        <f t="shared" si="26"/>
        <v>29747.583333333332</v>
      </c>
      <c r="P36" s="449">
        <f t="shared" si="26"/>
        <v>21753.583333333332</v>
      </c>
      <c r="Q36" s="451">
        <f t="shared" si="26"/>
        <v>7994</v>
      </c>
      <c r="R36" s="448">
        <f t="shared" si="26"/>
        <v>121441.08333333333</v>
      </c>
      <c r="S36" s="449">
        <f t="shared" si="26"/>
        <v>311839.41666666669</v>
      </c>
      <c r="T36" s="452">
        <f>C36/R36</f>
        <v>0.45534151334014505</v>
      </c>
      <c r="U36" s="453">
        <f>H36/S36</f>
        <v>0.3300552928817797</v>
      </c>
      <c r="V36" s="454">
        <f>L36/H36</f>
        <v>0.2244903411975312</v>
      </c>
      <c r="X36" s="455"/>
      <c r="Y36" s="455"/>
      <c r="Z36" s="455"/>
      <c r="AA36" s="455"/>
    </row>
    <row r="37" spans="2:35" s="404" customFormat="1" ht="20.149999999999999" customHeight="1" thickTop="1" x14ac:dyDescent="0.2">
      <c r="B37" s="456" t="s">
        <v>67</v>
      </c>
      <c r="C37" s="457">
        <f>平成18年度!C2+平成18年度!C31</f>
        <v>662600</v>
      </c>
      <c r="D37" s="458">
        <f>平成18年度!D2+平成18年度!D31</f>
        <v>535039</v>
      </c>
      <c r="E37" s="459">
        <f>平成18年度!E2+平成18年度!E31</f>
        <v>496504</v>
      </c>
      <c r="F37" s="459">
        <f>平成18年度!F2+平成18年度!F31</f>
        <v>38535</v>
      </c>
      <c r="G37" s="460">
        <f>平成18年度!G2+平成18年度!G31</f>
        <v>127561</v>
      </c>
      <c r="H37" s="457">
        <f>平成18年度!H2+平成18年度!H31</f>
        <v>1235675</v>
      </c>
      <c r="I37" s="458">
        <f>平成18年度!I2+平成18年度!I31</f>
        <v>961438</v>
      </c>
      <c r="J37" s="459">
        <f>平成18年度!J2+平成18年度!J31</f>
        <v>681441</v>
      </c>
      <c r="K37" s="459">
        <f>平成18年度!K2+平成18年度!K31</f>
        <v>279997</v>
      </c>
      <c r="L37" s="459">
        <f>平成18年度!L2+平成18年度!L31</f>
        <v>274237</v>
      </c>
      <c r="M37" s="459">
        <f>平成18年度!M2+平成18年度!M31</f>
        <v>186126</v>
      </c>
      <c r="N37" s="461">
        <f>平成18年度!N2+平成18年度!N31</f>
        <v>88111</v>
      </c>
      <c r="O37" s="462">
        <f>平成18年度!O2+平成18年度!O31</f>
        <v>359231</v>
      </c>
      <c r="P37" s="461">
        <f>平成18年度!P2+平成18年度!P31</f>
        <v>262420</v>
      </c>
      <c r="Q37" s="460">
        <f>平成18年度!Q2+平成18年度!Q31</f>
        <v>96811</v>
      </c>
      <c r="R37" s="463">
        <f>平成18年度!R2+平成18年度!R31</f>
        <v>1453284</v>
      </c>
      <c r="S37" s="458">
        <f>平成18年度!S2+平成18年度!S31</f>
        <v>3739705</v>
      </c>
      <c r="T37" s="464">
        <f>平成18年度!C37/平成18年度!R37</f>
        <v>0.45593290781430196</v>
      </c>
      <c r="U37" s="464">
        <f>平成18年度!H37/平成18年度!S37</f>
        <v>0.33042044760215045</v>
      </c>
      <c r="V37" s="465">
        <f>平成18年度!L37/平成18年度!H37</f>
        <v>0.2219329516256297</v>
      </c>
      <c r="AA37" s="445"/>
    </row>
    <row r="38" spans="2:35" s="404" customFormat="1" ht="20.149999999999999" customHeight="1" x14ac:dyDescent="0.2">
      <c r="B38" s="466" t="s">
        <v>53</v>
      </c>
      <c r="C38" s="467" t="e">
        <f>#VALUE!</f>
        <v>#VALUE!</v>
      </c>
      <c r="D38" s="468" t="e">
        <f>#VALUE!</f>
        <v>#VALUE!</v>
      </c>
      <c r="E38" s="469" t="e">
        <f>#VALUE!</f>
        <v>#VALUE!</v>
      </c>
      <c r="F38" s="469" t="e">
        <f>#VALUE!</f>
        <v>#VALUE!</v>
      </c>
      <c r="G38" s="470" t="e">
        <f>#VALUE!</f>
        <v>#VALUE!</v>
      </c>
      <c r="H38" s="467" t="e">
        <f>#VALUE!</f>
        <v>#VALUE!</v>
      </c>
      <c r="I38" s="468" t="e">
        <f>#VALUE!</f>
        <v>#VALUE!</v>
      </c>
      <c r="J38" s="469" t="e">
        <f>#VALUE!</f>
        <v>#VALUE!</v>
      </c>
      <c r="K38" s="469" t="e">
        <f>#VALUE!</f>
        <v>#VALUE!</v>
      </c>
      <c r="L38" s="469" t="e">
        <f>#VALUE!</f>
        <v>#VALUE!</v>
      </c>
      <c r="M38" s="469" t="e">
        <f>#VALUE!</f>
        <v>#VALUE!</v>
      </c>
      <c r="N38" s="471" t="e">
        <f>#VALUE!</f>
        <v>#VALUE!</v>
      </c>
      <c r="O38" s="472" t="e">
        <f>#VALUE!</f>
        <v>#VALUE!</v>
      </c>
      <c r="P38" s="471" t="e">
        <f>#VALUE!</f>
        <v>#VALUE!</v>
      </c>
      <c r="Q38" s="470" t="e">
        <f>#VALUE!</f>
        <v>#VALUE!</v>
      </c>
      <c r="R38" s="473" t="e">
        <f>#VALUE!</f>
        <v>#VALUE!</v>
      </c>
      <c r="S38" s="468" t="e">
        <f>#VALUE!</f>
        <v>#VALUE!</v>
      </c>
      <c r="T38" s="474" t="e">
        <f>平成18年度!C38/平成18年度!R38</f>
        <v>#VALUE!</v>
      </c>
      <c r="U38" s="474" t="e">
        <f>平成18年度!H38/平成18年度!S38</f>
        <v>#VALUE!</v>
      </c>
      <c r="V38" s="475" t="e">
        <f>平成18年度!L38/平成18年度!H38</f>
        <v>#VALUE!</v>
      </c>
      <c r="X38" s="476"/>
      <c r="Y38" s="476"/>
    </row>
    <row r="39" spans="2:35" ht="20.149999999999999" customHeight="1" x14ac:dyDescent="0.2"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2:35" ht="20.149999999999999" customHeight="1" x14ac:dyDescent="0.2">
      <c r="B40" s="1" t="s">
        <v>475</v>
      </c>
      <c r="J40" s="1" t="s">
        <v>1152</v>
      </c>
      <c r="R40" s="1">
        <v>29298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2:35" ht="20.149999999999999" customHeight="1" x14ac:dyDescent="0.2">
      <c r="C41" s="1" t="s">
        <v>682</v>
      </c>
      <c r="D41" s="1" t="s">
        <v>1483</v>
      </c>
      <c r="E41" s="1" t="s">
        <v>1484</v>
      </c>
      <c r="F41" s="1" t="s">
        <v>1485</v>
      </c>
      <c r="K41" s="1" t="s">
        <v>405</v>
      </c>
      <c r="L41" s="1" t="s">
        <v>1160</v>
      </c>
      <c r="M41" s="1" t="s">
        <v>817</v>
      </c>
      <c r="N41" s="1" t="s">
        <v>907</v>
      </c>
      <c r="R41" s="1" t="s">
        <v>1158</v>
      </c>
    </row>
    <row r="42" spans="2:35" ht="20.149999999999999" customHeight="1" x14ac:dyDescent="0.2"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ROUND(+平成18年度!R43*平成18年度!N42,0)</f>
        <v>27605</v>
      </c>
      <c r="S42" s="1" t="s">
        <v>1165</v>
      </c>
      <c r="W42" s="117"/>
      <c r="X42" s="117"/>
      <c r="AD42" s="119"/>
    </row>
    <row r="43" spans="2:35" ht="20.149999999999999" customHeight="1" x14ac:dyDescent="0.2"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ROUND((+平成14年度!K19+平成18年度!K27)/6,0)</f>
        <v>23661</v>
      </c>
      <c r="L43" s="1">
        <f>ROUND(+平成18年度!L42/平成18年度!K42,4)</f>
        <v>0.99850000000000005</v>
      </c>
      <c r="M43" s="1">
        <f>ROUND(+平成18年度!M42/平成18年度!L42,4)</f>
        <v>1.0199</v>
      </c>
      <c r="N43" s="1">
        <f>平成18年度!M43</f>
        <v>1.0199</v>
      </c>
      <c r="R43" s="1">
        <f>ROUND((平成18年度!M43+平成18年度!N43)/2,4)</f>
        <v>1.0199</v>
      </c>
      <c r="Y43" s="117"/>
    </row>
    <row r="44" spans="2:35" ht="20.149999999999999" customHeight="1" x14ac:dyDescent="0.2">
      <c r="B44" s="121" t="s">
        <v>482</v>
      </c>
      <c r="C44" s="121"/>
      <c r="D44" s="122">
        <f>平成18年度!D43/平成18年度!C43</f>
        <v>1.0781186534811042</v>
      </c>
      <c r="E44" s="122">
        <f>平成18年度!E43/平成18年度!D43</f>
        <v>1.0713588239364606</v>
      </c>
      <c r="F44" s="123">
        <f>ROUND(+平成18年度!F43/平成18年度!E43,4)</f>
        <v>1.0658000000000001</v>
      </c>
      <c r="G44" s="123">
        <f>ROUND(+平成18年度!G43/平成18年度!F43,4)</f>
        <v>0.95589999999999997</v>
      </c>
      <c r="J44" s="1" t="s">
        <v>1168</v>
      </c>
      <c r="K44" s="1">
        <f>ROUND(+平成18年度!K46/平成18年度!K42,4)</f>
        <v>0.99309999999999998</v>
      </c>
      <c r="L44" s="1">
        <f>ROUND(+平成18年度!L46/平成18年度!L42,4)</f>
        <v>0.99739999999999995</v>
      </c>
      <c r="M44" s="1">
        <f>ROUND(+平成18年度!M46/平成18年度!M42,4)</f>
        <v>1.0001</v>
      </c>
      <c r="N44" s="1">
        <f>平成18年度!M44</f>
        <v>1.0001</v>
      </c>
      <c r="R44" s="1">
        <f>ROUND((+平成18年度!N44+平成18年度!M44)/2,4)</f>
        <v>1.0001</v>
      </c>
      <c r="W44" s="117"/>
      <c r="X44" s="124" t="s">
        <v>275</v>
      </c>
      <c r="Z44" s="125" t="str">
        <f>平成18年度!C3</f>
        <v>平成18年度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</row>
    <row r="45" spans="2:35" ht="20.149999999999999" customHeight="1" x14ac:dyDescent="0.25"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ROUND(+平成18年度!F46*平成18年度!G43,0)</f>
        <v>23902</v>
      </c>
      <c r="H45" s="126">
        <f>平成18年度!G45*平成18年度!G47</f>
        <v>22847.9218</v>
      </c>
      <c r="N45" s="3">
        <f>ROUND(+平成18年度!N44*平成18年度!N42,0)</f>
        <v>27069</v>
      </c>
      <c r="O45" s="3"/>
      <c r="P45" s="3"/>
      <c r="Q45" s="3"/>
      <c r="R45" s="3">
        <f>ROUND(+平成18年度!R42*平成18年度!R44,0)</f>
        <v>27608</v>
      </c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</row>
    <row r="46" spans="2:35" ht="20.149999999999999" customHeight="1" x14ac:dyDescent="0.2">
      <c r="B46" s="121" t="s">
        <v>498</v>
      </c>
      <c r="C46" s="122">
        <f>平成18年度!C45/平成18年度!C43</f>
        <v>1.0183691570579507</v>
      </c>
      <c r="D46" s="122">
        <f>平成18年度!D45/平成18年度!D43</f>
        <v>1.0172149991157995</v>
      </c>
      <c r="E46" s="122">
        <f>平成18年度!E45/平成18年度!E43</f>
        <v>1.0149703606952676</v>
      </c>
      <c r="F46" s="122">
        <f>ROUND(+平成18年度!F45/平成18年度!F43,4)</f>
        <v>1.0102</v>
      </c>
      <c r="G46" s="122">
        <f>ROUND((+平成18年度!E46+平成18年度!F46)/2,4)</f>
        <v>1.0125999999999999</v>
      </c>
      <c r="J46" s="1" t="s">
        <v>1185</v>
      </c>
      <c r="K46" s="118">
        <v>25949</v>
      </c>
      <c r="L46" s="118">
        <v>26021</v>
      </c>
      <c r="M46" s="118">
        <v>26608</v>
      </c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</row>
    <row r="47" spans="2:35" ht="20.149999999999999" customHeight="1" x14ac:dyDescent="0.2">
      <c r="B47" s="121" t="s">
        <v>509</v>
      </c>
      <c r="C47" s="121"/>
      <c r="D47" s="122">
        <f>平成18年度!D45/平成18年度!C45</f>
        <v>1.076896779077434</v>
      </c>
      <c r="E47" s="122">
        <f>平成18年度!E45/平成18年度!D45</f>
        <v>1.0689947089947089</v>
      </c>
      <c r="F47" s="122">
        <f>ROUND(+平成18年度!F45/平成18年度!E45,4)</f>
        <v>1.0608</v>
      </c>
      <c r="G47" s="122">
        <f>ROUND(+平成18年度!G45/平成18年度!F45,4)</f>
        <v>0.95589999999999997</v>
      </c>
      <c r="L47" s="1">
        <f>ROUND(+平成18年度!L46/平成18年度!K46,4)</f>
        <v>1.0027999999999999</v>
      </c>
      <c r="M47" s="1">
        <f>ROUND(+平成18年度!M46/平成18年度!L46,4)</f>
        <v>1.0226</v>
      </c>
      <c r="N47" s="1">
        <f>平成18年度!M47</f>
        <v>1.0226</v>
      </c>
      <c r="R47" s="1">
        <f>平成18年度!N47</f>
        <v>1.0226</v>
      </c>
      <c r="W47" s="117"/>
      <c r="X47" s="142"/>
      <c r="Y47" s="143"/>
      <c r="Z47" s="144"/>
      <c r="AA47" s="144"/>
      <c r="AB47" s="144"/>
      <c r="AC47" s="145"/>
      <c r="AD47" s="146">
        <f>平成18年度!M8</f>
        <v>15405</v>
      </c>
      <c r="AE47" s="144" t="s">
        <v>275</v>
      </c>
      <c r="AF47" s="144"/>
      <c r="AG47" s="147"/>
      <c r="AH47" s="147"/>
      <c r="AI47" s="148"/>
    </row>
    <row r="48" spans="2:35" ht="20.149999999999999" customHeight="1" x14ac:dyDescent="0.2">
      <c r="J48" s="1" t="s">
        <v>1198</v>
      </c>
      <c r="N48" s="3">
        <f>ROUND(+平成18年度!M46*平成18年度!N47,0)</f>
        <v>27209</v>
      </c>
      <c r="O48" s="3"/>
      <c r="P48" s="3"/>
      <c r="Q48" s="3"/>
      <c r="R48" s="149">
        <f>ROUND(+平成18年度!N48*平成18年度!R47,0)</f>
        <v>27824</v>
      </c>
      <c r="W48" s="117" t="s">
        <v>308</v>
      </c>
      <c r="X48" s="134" t="s">
        <v>40</v>
      </c>
      <c r="Y48" s="150">
        <f>平成18年度!C8</f>
        <v>55278</v>
      </c>
      <c r="Z48" s="151">
        <f>平成18年度!H8</f>
        <v>103323</v>
      </c>
      <c r="AA48" s="151">
        <f>平成18年度!Z48-平成18年度!AB48-平成18年度!AC48</f>
        <v>57074</v>
      </c>
      <c r="AB48" s="151">
        <f>平成18年度!K8</f>
        <v>23533</v>
      </c>
      <c r="AC48" s="152">
        <f>平成18年度!AD47+平成18年度!AD48</f>
        <v>22716</v>
      </c>
      <c r="AD48" s="153">
        <f>平成18年度!N8</f>
        <v>7311</v>
      </c>
      <c r="AE48" s="151">
        <f>平成18年度!R8</f>
        <v>120273</v>
      </c>
      <c r="AF48" s="150">
        <f>平成18年度!S8</f>
        <v>310710</v>
      </c>
      <c r="AG48" s="154">
        <f>平成18年度!Y48/+平成18年度!AE48</f>
        <v>0.45960439999002267</v>
      </c>
      <c r="AH48" s="155">
        <f>平成18年度!Z48/+平成18年度!AF48</f>
        <v>0.33253837983972195</v>
      </c>
      <c r="AI48" s="156">
        <f>平成18年度!AC48/+平成18年度!Z48</f>
        <v>0.21985424348886501</v>
      </c>
    </row>
    <row r="49" spans="1:35" ht="20.149999999999999" customHeight="1" x14ac:dyDescent="0.2">
      <c r="G49" s="99" t="s">
        <v>940</v>
      </c>
      <c r="H49" s="99" t="s">
        <v>940</v>
      </c>
      <c r="W49" s="117"/>
      <c r="X49" s="142"/>
      <c r="Y49" s="143" t="s">
        <v>275</v>
      </c>
      <c r="Z49" s="144"/>
      <c r="AA49" s="144"/>
      <c r="AB49" s="144"/>
      <c r="AC49" s="157"/>
      <c r="AD49" s="146">
        <f>平成18年度!M9</f>
        <v>15425</v>
      </c>
      <c r="AE49" s="144"/>
      <c r="AF49" s="143"/>
      <c r="AG49" s="158"/>
      <c r="AH49" s="147"/>
      <c r="AI49" s="159"/>
    </row>
    <row r="50" spans="1:35" ht="20.149999999999999" customHeight="1" x14ac:dyDescent="0.2">
      <c r="G50" s="160">
        <f>IF(+平成18年度!G45&gt;0,ROUNDUP(+平成18年度!G45,-2),ROUNDDOWN(+平成18年度!G45,-2))</f>
        <v>24000</v>
      </c>
      <c r="H50" s="160">
        <f>IF(+平成18年度!H45&gt;0,ROUNDUP(+平成18年度!H45,-2),ROUNDDOWN(+平成18年度!H45,-2))</f>
        <v>22900</v>
      </c>
      <c r="W50" s="117"/>
      <c r="X50" s="134" t="s">
        <v>41</v>
      </c>
      <c r="Y50" s="150">
        <f>平成18年度!C9</f>
        <v>55382</v>
      </c>
      <c r="Z50" s="151">
        <f>平成18年度!H9</f>
        <v>103459</v>
      </c>
      <c r="AA50" s="151">
        <f>平成18年度!Z50-平成18年度!AB50-平成18年度!AC50</f>
        <v>57237</v>
      </c>
      <c r="AB50" s="151">
        <f>平成18年度!K9</f>
        <v>23475</v>
      </c>
      <c r="AC50" s="152">
        <f>平成18年度!AD49+平成18年度!AD50</f>
        <v>22747</v>
      </c>
      <c r="AD50" s="153">
        <f>平成18年度!N9</f>
        <v>7322</v>
      </c>
      <c r="AE50" s="151">
        <f>平成18年度!R9</f>
        <v>121132</v>
      </c>
      <c r="AF50" s="150">
        <f>平成18年度!S9</f>
        <v>311558</v>
      </c>
      <c r="AG50" s="154">
        <f>平成18年度!Y50/+平成18年度!AE50</f>
        <v>0.4572037116534029</v>
      </c>
      <c r="AH50" s="155">
        <f>平成18年度!Z50/+平成18年度!AF50</f>
        <v>0.33206979117852858</v>
      </c>
      <c r="AI50" s="156">
        <f>平成18年度!AC50/+平成18年度!Z50</f>
        <v>0.21986487400806115</v>
      </c>
    </row>
    <row r="51" spans="1:35" ht="20.149999999999999" customHeight="1" x14ac:dyDescent="0.2">
      <c r="A51" s="161" t="s">
        <v>1205</v>
      </c>
      <c r="K51" s="1" t="s">
        <v>405</v>
      </c>
      <c r="L51" s="1" t="s">
        <v>1160</v>
      </c>
      <c r="M51" s="1" t="s">
        <v>817</v>
      </c>
      <c r="N51" s="1" t="s">
        <v>907</v>
      </c>
      <c r="R51" s="1" t="s">
        <v>1158</v>
      </c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平成18年度!M10</f>
        <v>15469</v>
      </c>
      <c r="AE51" s="144"/>
      <c r="AF51" s="144"/>
      <c r="AG51" s="147" t="s">
        <v>275</v>
      </c>
      <c r="AH51" s="147" t="s">
        <v>275</v>
      </c>
      <c r="AI51" s="148" t="s">
        <v>275</v>
      </c>
    </row>
    <row r="52" spans="1:35" ht="20.149999999999999" customHeight="1" x14ac:dyDescent="0.2">
      <c r="A52" s="1" t="s">
        <v>1217</v>
      </c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W52" s="117"/>
      <c r="X52" s="134" t="s">
        <v>42</v>
      </c>
      <c r="Y52" s="150">
        <f>平成18年度!C10</f>
        <v>55448</v>
      </c>
      <c r="Z52" s="151">
        <f>平成18年度!H10</f>
        <v>103483</v>
      </c>
      <c r="AA52" s="151">
        <f>平成18年度!Z52-平成18年度!AB52-平成18年度!AC52</f>
        <v>57281</v>
      </c>
      <c r="AB52" s="151">
        <f>平成18年度!K10</f>
        <v>23395</v>
      </c>
      <c r="AC52" s="152">
        <f>平成18年度!AD51+平成18年度!AD52</f>
        <v>22807</v>
      </c>
      <c r="AD52" s="153">
        <f>平成18年度!N10</f>
        <v>7338</v>
      </c>
      <c r="AE52" s="151">
        <f>平成18年度!R10</f>
        <v>121226</v>
      </c>
      <c r="AF52" s="150">
        <f>平成18年度!S10</f>
        <v>311593</v>
      </c>
      <c r="AG52" s="154">
        <f>平成18年度!Y52/+平成18年度!AE52</f>
        <v>0.45739362842954484</v>
      </c>
      <c r="AH52" s="155">
        <f>平成18年度!Z52/+平成18年度!AF52</f>
        <v>0.33210951465533567</v>
      </c>
      <c r="AI52" s="156">
        <f>平成18年度!AC52/+平成18年度!Z52</f>
        <v>0.22039368785211097</v>
      </c>
    </row>
    <row r="53" spans="1:35" ht="20.149999999999999" customHeight="1" x14ac:dyDescent="0.2">
      <c r="K53" s="1">
        <v>48779</v>
      </c>
      <c r="L53" s="1">
        <v>48738</v>
      </c>
      <c r="M53" s="1">
        <v>49951</v>
      </c>
      <c r="N53" s="1">
        <v>50707</v>
      </c>
      <c r="W53" s="117"/>
      <c r="X53" s="142"/>
      <c r="Y53" s="143"/>
      <c r="Z53" s="144"/>
      <c r="AA53" s="144" t="s">
        <v>275</v>
      </c>
      <c r="AB53" s="144"/>
      <c r="AC53" s="157"/>
      <c r="AD53" s="146">
        <f>平成18年度!M11</f>
        <v>15666</v>
      </c>
      <c r="AE53" s="144"/>
      <c r="AF53" s="143"/>
      <c r="AG53" s="158" t="s">
        <v>275</v>
      </c>
      <c r="AH53" s="147" t="s">
        <v>275</v>
      </c>
      <c r="AI53" s="159" t="s">
        <v>275</v>
      </c>
    </row>
    <row r="54" spans="1:35" ht="20.149999999999999" customHeight="1" x14ac:dyDescent="0.2"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ROUND(SUM(+平成18年度!S8:S12)/5,0)</f>
        <v>#VALUE!</v>
      </c>
      <c r="W54" s="117"/>
      <c r="X54" s="134" t="s">
        <v>43</v>
      </c>
      <c r="Y54" s="150">
        <f>平成18年度!C11</f>
        <v>55477</v>
      </c>
      <c r="Z54" s="151">
        <f>平成18年度!H11</f>
        <v>103426</v>
      </c>
      <c r="AA54" s="151">
        <f>平成18年度!Z54-平成18年度!AB54-平成18年度!AC54</f>
        <v>56999</v>
      </c>
      <c r="AB54" s="151">
        <f>平成18年度!K11</f>
        <v>23311</v>
      </c>
      <c r="AC54" s="152">
        <f>平成18年度!AD53+平成18年度!AD54</f>
        <v>23116</v>
      </c>
      <c r="AD54" s="153">
        <f>平成18年度!N11</f>
        <v>7450</v>
      </c>
      <c r="AE54" s="151">
        <f>平成18年度!R11</f>
        <v>121370</v>
      </c>
      <c r="AF54" s="150">
        <f>平成18年度!S11</f>
        <v>311715</v>
      </c>
      <c r="AG54" s="154">
        <f>平成18年度!Y54/+平成18年度!AE54</f>
        <v>0.4570898904177309</v>
      </c>
      <c r="AH54" s="155">
        <f>平成18年度!Z54/+平成18年度!AF54</f>
        <v>0.3317966732431869</v>
      </c>
      <c r="AI54" s="156">
        <f>平成18年度!AC54/+平成18年度!Z54</f>
        <v>0.22350279426836578</v>
      </c>
    </row>
    <row r="55" spans="1:35" ht="20.149999999999999" customHeight="1" x14ac:dyDescent="0.2">
      <c r="B55" s="121" t="s">
        <v>1232</v>
      </c>
      <c r="C55" s="121"/>
      <c r="D55" s="122" t="e">
        <f>平成18年度!D54/平成18年度!C54</f>
        <v>#VALUE!</v>
      </c>
      <c r="E55" s="122" t="e">
        <f>平成18年度!E54/平成18年度!D54</f>
        <v>#VALUE!</v>
      </c>
      <c r="F55" s="123" t="e">
        <f>ROUND(+平成18年度!F54/平成18年度!E54,4)</f>
        <v>#VALUE!</v>
      </c>
      <c r="G55" s="123" t="e">
        <f>ROUND(+平成18年度!G54/平成18年度!F54,4)</f>
        <v>#VALUE!</v>
      </c>
      <c r="H55" s="123" t="e">
        <f>ROUND(+平成18年度!H54/平成18年度!G54,4)</f>
        <v>#VALUE!</v>
      </c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ROUND(ROUND(+平成18年度!M55/平成18年度!L55,4)*平成18年度!M55,0)</f>
        <v>27209</v>
      </c>
      <c r="W55" s="117"/>
      <c r="X55" s="142"/>
      <c r="Y55" s="143"/>
      <c r="Z55" s="144"/>
      <c r="AA55" s="144" t="s">
        <v>275</v>
      </c>
      <c r="AB55" s="144"/>
      <c r="AC55" s="145"/>
      <c r="AD55" s="146">
        <f>平成18年度!M12</f>
        <v>15696</v>
      </c>
      <c r="AE55" s="144"/>
      <c r="AF55" s="144"/>
      <c r="AG55" s="147" t="s">
        <v>275</v>
      </c>
      <c r="AH55" s="147" t="s">
        <v>275</v>
      </c>
      <c r="AI55" s="148" t="s">
        <v>275</v>
      </c>
    </row>
    <row r="56" spans="1:35" ht="20.149999999999999" customHeight="1" x14ac:dyDescent="0.25"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K56" s="1">
        <v>48708</v>
      </c>
      <c r="L56" s="1">
        <v>49113</v>
      </c>
      <c r="M56" s="1">
        <v>50246</v>
      </c>
      <c r="N56" s="1">
        <f>ROUND(ROUND(+平成18年度!M56/平成18年度!L56,4)*平成18年度!M56,0)</f>
        <v>51407</v>
      </c>
      <c r="W56" s="117"/>
      <c r="X56" s="134" t="s">
        <v>44</v>
      </c>
      <c r="Y56" s="150">
        <f>平成18年度!C12</f>
        <v>55381</v>
      </c>
      <c r="Z56" s="151">
        <f>平成18年度!H12</f>
        <v>103118</v>
      </c>
      <c r="AA56" s="151">
        <f>平成18年度!Z56-平成18年度!AB56-平成18年度!AC56</f>
        <v>56748</v>
      </c>
      <c r="AB56" s="151">
        <f>平成18年度!K12</f>
        <v>23219</v>
      </c>
      <c r="AC56" s="152">
        <f>平成18年度!AD55+平成18年度!AD56</f>
        <v>23151</v>
      </c>
      <c r="AD56" s="153">
        <f>平成18年度!N12</f>
        <v>7455</v>
      </c>
      <c r="AE56" s="151">
        <f>平成18年度!R12</f>
        <v>121445</v>
      </c>
      <c r="AF56" s="150">
        <f>平成18年度!S12</f>
        <v>311843</v>
      </c>
      <c r="AG56" s="154">
        <f>平成18年度!Y56/+平成18年度!AE56</f>
        <v>0.45601712709456954</v>
      </c>
      <c r="AH56" s="155">
        <f>平成18年度!Z56/+平成18年度!AF56</f>
        <v>0.33067280650840325</v>
      </c>
      <c r="AI56" s="156">
        <f>平成18年度!AC56/+平成18年度!Z56</f>
        <v>0.22450978490661183</v>
      </c>
    </row>
    <row r="57" spans="1:35" ht="20.149999999999999" customHeight="1" x14ac:dyDescent="0.2">
      <c r="B57" s="121" t="s">
        <v>1241</v>
      </c>
      <c r="C57" s="122" t="e">
        <f>平成18年度!C56/平成18年度!C54</f>
        <v>#VALUE!</v>
      </c>
      <c r="D57" s="122" t="e">
        <f>平成18年度!D56/平成18年度!D54</f>
        <v>#VALUE!</v>
      </c>
      <c r="E57" s="122" t="e">
        <f>平成18年度!E56/平成18年度!E54</f>
        <v>#VALUE!</v>
      </c>
      <c r="F57" s="122" t="e">
        <f>ROUND(+平成18年度!F56/平成18年度!F54,4)</f>
        <v>#VALUE!</v>
      </c>
      <c r="G57" s="122" t="e">
        <f>ROUND((+平成18年度!E57+平成18年度!F57)/2,4)</f>
        <v>#VALUE!</v>
      </c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R57" s="1" t="s">
        <v>1247</v>
      </c>
      <c r="S57" s="1" t="s">
        <v>1248</v>
      </c>
      <c r="W57" s="117"/>
      <c r="X57" s="142"/>
      <c r="Y57" s="143"/>
      <c r="Z57" s="144"/>
      <c r="AA57" s="144" t="s">
        <v>275</v>
      </c>
      <c r="AB57" s="144"/>
      <c r="AC57" s="145"/>
      <c r="AD57" s="146">
        <f>平成18年度!M13</f>
        <v>15764</v>
      </c>
      <c r="AE57" s="144"/>
      <c r="AF57" s="144"/>
      <c r="AG57" s="147" t="s">
        <v>275</v>
      </c>
      <c r="AH57" s="147" t="s">
        <v>275</v>
      </c>
      <c r="AI57" s="148" t="s">
        <v>275</v>
      </c>
    </row>
    <row r="58" spans="1:35" ht="20.149999999999999" customHeight="1" x14ac:dyDescent="0.2">
      <c r="B58" s="121" t="s">
        <v>509</v>
      </c>
      <c r="C58" s="121"/>
      <c r="D58" s="122" t="e">
        <f>平成18年度!D56/平成18年度!C56</f>
        <v>#VALUE!</v>
      </c>
      <c r="E58" s="122" t="e">
        <f>平成18年度!E56/平成18年度!D56</f>
        <v>#VALUE!</v>
      </c>
      <c r="F58" s="122" t="e">
        <f>ROUND(+平成18年度!F56/平成18年度!E56,4)</f>
        <v>#VALUE!</v>
      </c>
      <c r="G58" s="122" t="e">
        <f>ROUND(+平成18年度!G56/平成18年度!F56,4)</f>
        <v>#VALUE!</v>
      </c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W58" s="117"/>
      <c r="X58" s="134" t="s">
        <v>45</v>
      </c>
      <c r="Y58" s="150">
        <f>平成18年度!C13</f>
        <v>55330</v>
      </c>
      <c r="Z58" s="151">
        <f>平成18年度!H13</f>
        <v>102904</v>
      </c>
      <c r="AA58" s="151">
        <f>平成18年度!Z58-平成18年度!AB58-平成18年度!AC58</f>
        <v>56531</v>
      </c>
      <c r="AB58" s="151">
        <f>平成18年度!K13</f>
        <v>23151</v>
      </c>
      <c r="AC58" s="152">
        <f>平成18年度!AD57+平成18年度!AD58</f>
        <v>23222</v>
      </c>
      <c r="AD58" s="153">
        <f>平成18年度!N13</f>
        <v>7458</v>
      </c>
      <c r="AE58" s="151">
        <f>平成18年度!R13</f>
        <v>121636</v>
      </c>
      <c r="AF58" s="150">
        <f>平成18年度!S13</f>
        <v>312062</v>
      </c>
      <c r="AG58" s="154">
        <f>平成18年度!Y58/+平成18年度!AE58</f>
        <v>0.45488177842086225</v>
      </c>
      <c r="AH58" s="155">
        <f>平成18年度!Z58/+平成18年度!AF58</f>
        <v>0.32975498458639629</v>
      </c>
      <c r="AI58" s="156">
        <f>平成18年度!AC58/+平成18年度!Z58</f>
        <v>0.22566664075254605</v>
      </c>
    </row>
    <row r="59" spans="1:35" ht="20.149999999999999" customHeight="1" x14ac:dyDescent="0.2">
      <c r="J59" s="36">
        <v>1</v>
      </c>
      <c r="K59" s="36">
        <f>ROUND(+平成18年度!K58/平成18年度!J58,4)</f>
        <v>0.99309999999999998</v>
      </c>
      <c r="L59" s="36">
        <f>ROUND(+平成18年度!L58/平成18年度!K58,4)</f>
        <v>1.0054000000000001</v>
      </c>
      <c r="M59" s="36">
        <f>ROUND(+平成18年度!M58/平成18年度!L58,4)</f>
        <v>0.99739999999999995</v>
      </c>
      <c r="N59" s="36">
        <f>ROUND(+平成18年度!N58/平成18年度!M58,4)</f>
        <v>1.0225</v>
      </c>
      <c r="O59" s="36"/>
      <c r="P59" s="36"/>
      <c r="Q59" s="36"/>
      <c r="R59" s="36">
        <f>ROUND(+平成18年度!R58/平成18年度!N58,4)</f>
        <v>1.0001</v>
      </c>
      <c r="S59" s="36">
        <f>ROUND(+平成18年度!S58/平成18年度!R58,4)</f>
        <v>1.0172000000000001</v>
      </c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平成18年度!M14</f>
        <v>15833</v>
      </c>
      <c r="AE59" s="144"/>
      <c r="AF59" s="144"/>
      <c r="AG59" s="147" t="s">
        <v>275</v>
      </c>
      <c r="AH59" s="147" t="s">
        <v>275</v>
      </c>
      <c r="AI59" s="148" t="s">
        <v>275</v>
      </c>
    </row>
    <row r="60" spans="1:35" ht="20.149999999999999" customHeight="1" x14ac:dyDescent="0.2">
      <c r="D60" s="1" t="e">
        <f>平成18年度!C57*平成18年度!D54</f>
        <v>#VALUE!</v>
      </c>
      <c r="E60" s="1" t="e">
        <f>平成18年度!D57*平成18年度!E54</f>
        <v>#VALUE!</v>
      </c>
      <c r="F60" s="1" t="e">
        <f>平成18年度!E57*平成18年度!F54</f>
        <v>#VALUE!</v>
      </c>
      <c r="G60" s="1" t="e">
        <f>平成18年度!F57*平成18年度!G54</f>
        <v>#VALUE!</v>
      </c>
      <c r="H60" s="162" t="e">
        <f>IF(+平成18年度!G57*平成18年度!H54&gt;0,ROUNDDOWN(+平成18年度!G57*平成18年度!H54,-2),ROUNDUP(+平成18年度!G57*平成18年度!H54,-2))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R60" s="1">
        <v>50246</v>
      </c>
      <c r="S60" s="1">
        <v>50707</v>
      </c>
      <c r="W60" s="117"/>
      <c r="X60" s="134" t="s">
        <v>46</v>
      </c>
      <c r="Y60" s="150">
        <f>平成18年度!C14</f>
        <v>55373</v>
      </c>
      <c r="Z60" s="151">
        <f>平成18年度!H14</f>
        <v>102885</v>
      </c>
      <c r="AA60" s="151">
        <f>平成18年度!Z60-平成18年度!AB60-平成18年度!AC60</f>
        <v>56455</v>
      </c>
      <c r="AB60" s="151">
        <f>平成18年度!K14</f>
        <v>23088</v>
      </c>
      <c r="AC60" s="152">
        <f>平成18年度!AD59+平成18年度!AD60</f>
        <v>23342</v>
      </c>
      <c r="AD60" s="153">
        <f>平成18年度!N14</f>
        <v>7509</v>
      </c>
      <c r="AE60" s="151">
        <f>平成18年度!R14</f>
        <v>121801</v>
      </c>
      <c r="AF60" s="150">
        <f>平成18年度!S14</f>
        <v>312245</v>
      </c>
      <c r="AG60" s="154">
        <f>平成18年度!Y60/+平成18年度!AE60</f>
        <v>0.45461859919048286</v>
      </c>
      <c r="AH60" s="155">
        <f>平成18年度!Z60/+平成18年度!AF60</f>
        <v>0.32950087271213307</v>
      </c>
      <c r="AI60" s="156">
        <f>平成18年度!AC60/+平成18年度!Z60</f>
        <v>0.22687466588909949</v>
      </c>
    </row>
    <row r="61" spans="1:35" ht="20.149999999999999" customHeight="1" x14ac:dyDescent="0.2">
      <c r="J61" s="36">
        <v>1</v>
      </c>
      <c r="K61" s="36">
        <f>ROUND(+平成18年度!K60/平成18年度!J60,4)</f>
        <v>0.99850000000000005</v>
      </c>
      <c r="L61" s="36">
        <f>ROUND(+平成18年度!L60/平成18年度!K60,4)</f>
        <v>1.0005999999999999</v>
      </c>
      <c r="M61" s="36">
        <f>ROUND(+平成18年度!M60/平成18年度!L60,4)</f>
        <v>1.0077</v>
      </c>
      <c r="N61" s="36">
        <f>ROUND(+平成18年度!N60/平成18年度!M60,4)</f>
        <v>1.0170999999999999</v>
      </c>
      <c r="O61" s="36"/>
      <c r="P61" s="36"/>
      <c r="Q61" s="36"/>
      <c r="R61" s="36">
        <f>ROUND(+平成18年度!R60/平成18年度!N60,4)</f>
        <v>1.0059</v>
      </c>
      <c r="S61" s="36">
        <f>ROUND(+平成18年度!S60/平成18年度!R60,4)</f>
        <v>1.0092000000000001</v>
      </c>
      <c r="W61" s="117"/>
      <c r="X61" s="142"/>
      <c r="Y61" s="143"/>
      <c r="Z61" s="144"/>
      <c r="AA61" s="144" t="s">
        <v>275</v>
      </c>
      <c r="AB61" s="144"/>
      <c r="AC61" s="145"/>
      <c r="AD61" s="146">
        <f>平成18年度!M15</f>
        <v>15825</v>
      </c>
      <c r="AE61" s="144"/>
      <c r="AF61" s="144"/>
      <c r="AG61" s="147" t="s">
        <v>275</v>
      </c>
      <c r="AH61" s="147" t="s">
        <v>275</v>
      </c>
      <c r="AI61" s="148" t="s">
        <v>275</v>
      </c>
    </row>
    <row r="62" spans="1:35" ht="20.149999999999999" customHeight="1" x14ac:dyDescent="0.2">
      <c r="A62" s="1" t="s">
        <v>11</v>
      </c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R62" s="1">
        <v>81903</v>
      </c>
      <c r="S62" s="1">
        <v>83699</v>
      </c>
      <c r="W62" s="117"/>
      <c r="X62" s="134" t="s">
        <v>47</v>
      </c>
      <c r="Y62" s="150">
        <f>平成18年度!C15</f>
        <v>55381</v>
      </c>
      <c r="Z62" s="151">
        <f>平成18年度!H15</f>
        <v>102828</v>
      </c>
      <c r="AA62" s="151">
        <f>平成18年度!Z62-平成18年度!AB62-平成18年度!AC62</f>
        <v>56497</v>
      </c>
      <c r="AB62" s="151">
        <f>平成18年度!K15</f>
        <v>23007</v>
      </c>
      <c r="AC62" s="152">
        <f>平成18年度!AD61+平成18年度!AD62</f>
        <v>23324</v>
      </c>
      <c r="AD62" s="153">
        <f>平成18年度!N15</f>
        <v>7499</v>
      </c>
      <c r="AE62" s="151">
        <f>平成18年度!R15</f>
        <v>121915</v>
      </c>
      <c r="AF62" s="150">
        <f>平成18年度!S15</f>
        <v>312336</v>
      </c>
      <c r="AG62" s="154">
        <f>平成18年度!Y62/+平成18年度!AE62</f>
        <v>0.45425911495714227</v>
      </c>
      <c r="AH62" s="155">
        <f>平成18年度!Z62/+平成18年度!AF62</f>
        <v>0.32922237590287384</v>
      </c>
      <c r="AI62" s="156">
        <f>平成18年度!AC62/+平成18年度!Z62</f>
        <v>0.22682537830162991</v>
      </c>
    </row>
    <row r="63" spans="1:35" ht="20.149999999999999" customHeight="1" x14ac:dyDescent="0.2">
      <c r="J63" s="36">
        <v>1</v>
      </c>
      <c r="K63" s="36">
        <f>ROUND(+平成18年度!K62/平成18年度!J62,4)</f>
        <v>1.0068999999999999</v>
      </c>
      <c r="L63" s="36">
        <f>ROUND(+平成18年度!L62/平成18年度!K62,4)</f>
        <v>1.0145</v>
      </c>
      <c r="M63" s="36">
        <f>ROUND(+平成18年度!M62/平成18年度!L62,4)</f>
        <v>1.0133000000000001</v>
      </c>
      <c r="N63" s="36">
        <f>ROUND(+平成18年度!N62/平成18年度!M62,4)</f>
        <v>1.0256000000000001</v>
      </c>
      <c r="O63" s="36"/>
      <c r="P63" s="36"/>
      <c r="Q63" s="36"/>
      <c r="R63" s="36">
        <f>ROUND(+平成18年度!R62/平成18年度!N62,4)</f>
        <v>1.0128999999999999</v>
      </c>
      <c r="S63" s="36">
        <f>ROUND(+平成18年度!S62/平成18年度!R62,4)</f>
        <v>1.0219</v>
      </c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平成18年度!M16</f>
        <v>15922</v>
      </c>
      <c r="AE63" s="144"/>
      <c r="AF63" s="143"/>
      <c r="AG63" s="158" t="s">
        <v>275</v>
      </c>
      <c r="AH63" s="147" t="s">
        <v>275</v>
      </c>
      <c r="AI63" s="159" t="s">
        <v>275</v>
      </c>
    </row>
    <row r="64" spans="1:35" ht="20.149999999999999" customHeight="1" x14ac:dyDescent="0.2"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ROUND(SUM(+平成18年度!R8:R12)/5,0)</f>
        <v>#VALUE!</v>
      </c>
      <c r="W64" s="117"/>
      <c r="X64" s="134" t="s">
        <v>48</v>
      </c>
      <c r="Y64" s="150">
        <f>平成18年度!C16</f>
        <v>55319</v>
      </c>
      <c r="Z64" s="151">
        <f>平成18年度!H16</f>
        <v>102643</v>
      </c>
      <c r="AA64" s="151">
        <f>平成18年度!Z64-平成18年度!AB64-平成18年度!AC64</f>
        <v>56273</v>
      </c>
      <c r="AB64" s="151">
        <f>平成18年度!K16</f>
        <v>22912</v>
      </c>
      <c r="AC64" s="152">
        <f>平成18年度!AD63+平成18年度!AD64</f>
        <v>23458</v>
      </c>
      <c r="AD64" s="153">
        <f>平成18年度!N16</f>
        <v>7536</v>
      </c>
      <c r="AE64" s="151">
        <f>平成18年度!R16</f>
        <v>121959</v>
      </c>
      <c r="AF64" s="150">
        <f>平成18年度!S16</f>
        <v>312333</v>
      </c>
      <c r="AG64" s="154">
        <f>平成18年度!Y64/+平成18年度!AE64</f>
        <v>0.45358686115825808</v>
      </c>
      <c r="AH64" s="155">
        <f>平成18年度!Z64/+平成18年度!AF64</f>
        <v>0.32863322159361963</v>
      </c>
      <c r="AI64" s="156">
        <f>平成18年度!AC64/+平成18年度!Z64</f>
        <v>0.22853969583897588</v>
      </c>
    </row>
    <row r="65" spans="1:35" ht="20.149999999999999" customHeight="1" x14ac:dyDescent="0.2">
      <c r="A65" s="163"/>
      <c r="B65" s="121" t="s">
        <v>1232</v>
      </c>
      <c r="C65" s="121"/>
      <c r="D65" s="122" t="e">
        <f>平成18年度!D64/平成18年度!C64</f>
        <v>#VALUE!</v>
      </c>
      <c r="E65" s="122" t="e">
        <f>平成18年度!E64/平成18年度!D64</f>
        <v>#VALUE!</v>
      </c>
      <c r="F65" s="123" t="e">
        <f>ROUND(+平成18年度!F64/平成18年度!E64,4)</f>
        <v>#VALUE!</v>
      </c>
      <c r="G65" s="123" t="e">
        <f>ROUND(+平成18年度!G64/平成18年度!F64,4)</f>
        <v>#VALUE!</v>
      </c>
      <c r="H65" s="123" t="e">
        <f>ROUND(+平成18年度!H64/平成18年度!G64,4)</f>
        <v>#VALUE!</v>
      </c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平成18年度!M17</f>
        <v>16026</v>
      </c>
      <c r="AE65" s="144"/>
      <c r="AF65" s="143"/>
      <c r="AG65" s="158" t="s">
        <v>275</v>
      </c>
      <c r="AH65" s="147" t="s">
        <v>275</v>
      </c>
      <c r="AI65" s="159" t="s">
        <v>275</v>
      </c>
    </row>
    <row r="66" spans="1:35" ht="20.149999999999999" customHeight="1" x14ac:dyDescent="0.25"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W66" s="117"/>
      <c r="X66" s="134" t="s">
        <v>49</v>
      </c>
      <c r="Y66" s="150">
        <f>平成18年度!C17</f>
        <v>55298</v>
      </c>
      <c r="Z66" s="151">
        <f>平成18年度!H17</f>
        <v>102503</v>
      </c>
      <c r="AA66" s="151">
        <f>平成18年度!Z66-平成18年度!AB66-平成18年度!AC66</f>
        <v>56086</v>
      </c>
      <c r="AB66" s="151">
        <f>平成18年度!K17</f>
        <v>22802</v>
      </c>
      <c r="AC66" s="152">
        <f>平成18年度!AD65+平成18年度!AD66</f>
        <v>23615</v>
      </c>
      <c r="AD66" s="153">
        <f>平成18年度!N17</f>
        <v>7589</v>
      </c>
      <c r="AE66" s="151">
        <f>平成18年度!R17</f>
        <v>122099</v>
      </c>
      <c r="AF66" s="150">
        <f>平成18年度!S17</f>
        <v>312492</v>
      </c>
      <c r="AG66" s="154">
        <f>平成18年度!Y66/+平成18年度!AE66</f>
        <v>0.45289478210304751</v>
      </c>
      <c r="AH66" s="155">
        <f>平成18年度!Z66/+平成18年度!AF66</f>
        <v>0.32801799726072989</v>
      </c>
      <c r="AI66" s="156">
        <f>平成18年度!AC66/+平成18年度!Z66</f>
        <v>0.23038350097070329</v>
      </c>
    </row>
    <row r="67" spans="1:35" ht="20.149999999999999" customHeight="1" x14ac:dyDescent="0.2">
      <c r="B67" s="121" t="s">
        <v>1241</v>
      </c>
      <c r="C67" s="122" t="e">
        <f>平成18年度!C66/平成18年度!C64</f>
        <v>#VALUE!</v>
      </c>
      <c r="D67" s="122" t="e">
        <f>平成18年度!D66/平成18年度!D64</f>
        <v>#VALUE!</v>
      </c>
      <c r="E67" s="122" t="e">
        <f>平成18年度!E66/平成18年度!E64</f>
        <v>#VALUE!</v>
      </c>
      <c r="F67" s="122" t="e">
        <f>ROUND(+平成18年度!F66/平成18年度!F64,4)</f>
        <v>#VALUE!</v>
      </c>
      <c r="G67" s="122" t="e">
        <f>ROUND((+平成18年度!E67+平成18年度!F67)/2,4)</f>
        <v>#VALUE!</v>
      </c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平成18年度!M18</f>
        <v>16029</v>
      </c>
      <c r="AE67" s="144"/>
      <c r="AF67" s="143"/>
      <c r="AG67" s="158" t="s">
        <v>275</v>
      </c>
      <c r="AH67" s="147" t="s">
        <v>275</v>
      </c>
      <c r="AI67" s="159" t="s">
        <v>275</v>
      </c>
    </row>
    <row r="68" spans="1:35" ht="20.149999999999999" customHeight="1" x14ac:dyDescent="0.2">
      <c r="B68" s="121" t="s">
        <v>509</v>
      </c>
      <c r="C68" s="121"/>
      <c r="D68" s="122" t="e">
        <f>平成18年度!D66/平成18年度!C66</f>
        <v>#VALUE!</v>
      </c>
      <c r="E68" s="122">
        <f>平成18年度!E66/平成18年度!D66</f>
        <v>0.25925412132844117</v>
      </c>
      <c r="F68" s="122">
        <f>ROUND(+平成18年度!F66/平成18年度!E66,4)</f>
        <v>1.0185999999999999</v>
      </c>
      <c r="G68" s="122">
        <f>ROUND(+平成18年度!G66/平成18年度!F66,4)</f>
        <v>1.0221</v>
      </c>
      <c r="W68" s="117"/>
      <c r="X68" s="134" t="s">
        <v>50</v>
      </c>
      <c r="Y68" s="150">
        <f>平成18年度!C18</f>
        <v>55140</v>
      </c>
      <c r="Z68" s="151">
        <f>平成18年度!H18</f>
        <v>102132</v>
      </c>
      <c r="AA68" s="151">
        <f>平成18年度!Z68-平成18年度!AB68-平成18年度!AC68</f>
        <v>55813</v>
      </c>
      <c r="AB68" s="151">
        <f>平成18年度!K18</f>
        <v>22714</v>
      </c>
      <c r="AC68" s="152">
        <f>平成18年度!AD67+平成18年度!AD68</f>
        <v>23605</v>
      </c>
      <c r="AD68" s="153">
        <f>平成18年度!N18</f>
        <v>7576</v>
      </c>
      <c r="AE68" s="151">
        <f>平成18年度!R18</f>
        <v>122164</v>
      </c>
      <c r="AF68" s="150">
        <f>平成18年度!S18</f>
        <v>312476</v>
      </c>
      <c r="AG68" s="154">
        <f>平成18年度!Y68/+平成18年度!AE68</f>
        <v>0.4513604662584722</v>
      </c>
      <c r="AH68" s="155">
        <f>平成18年度!Z68/+平成18年度!AF68</f>
        <v>0.32684750188814499</v>
      </c>
      <c r="AI68" s="156">
        <f>平成18年度!AC68/+平成18年度!Z68</f>
        <v>0.2311224689617358</v>
      </c>
    </row>
    <row r="69" spans="1:35" ht="20.149999999999999" customHeight="1" x14ac:dyDescent="0.2">
      <c r="W69" s="117"/>
      <c r="X69" s="142"/>
      <c r="Y69" s="143"/>
      <c r="Z69" s="144"/>
      <c r="AA69" s="144" t="s">
        <v>275</v>
      </c>
      <c r="AB69" s="144"/>
      <c r="AC69" s="157"/>
      <c r="AD69" s="146">
        <f>平成18年度!M19</f>
        <v>16046</v>
      </c>
      <c r="AE69" s="144"/>
      <c r="AF69" s="143"/>
      <c r="AG69" s="158" t="s">
        <v>275</v>
      </c>
      <c r="AH69" s="147" t="s">
        <v>275</v>
      </c>
      <c r="AI69" s="159" t="s">
        <v>275</v>
      </c>
    </row>
    <row r="70" spans="1:35" ht="20.149999999999999" customHeight="1" x14ac:dyDescent="0.2">
      <c r="D70" s="1" t="e">
        <f>平成18年度!C67*平成18年度!D64</f>
        <v>#VALUE!</v>
      </c>
      <c r="E70" s="1" t="e">
        <f>平成18年度!D67*平成18年度!E64</f>
        <v>#VALUE!</v>
      </c>
      <c r="F70" s="1" t="e">
        <f>平成18年度!E67*平成18年度!F64</f>
        <v>#VALUE!</v>
      </c>
      <c r="G70" s="1" t="e">
        <f>平成18年度!F67*平成18年度!G64</f>
        <v>#VALUE!</v>
      </c>
      <c r="H70" s="162" t="e">
        <f>IF(+平成18年度!G67*平成18年度!H64&gt;0,ROUNDDOWN(+平成18年度!G67*平成18年度!H64,-2),ROUNDUP(+平成18年度!G67*平成18年度!H64,-2))</f>
        <v>#VALUE!</v>
      </c>
      <c r="W70" s="117"/>
      <c r="X70" s="134" t="s">
        <v>51</v>
      </c>
      <c r="Y70" s="150">
        <f>平成18年度!C19</f>
        <v>55099</v>
      </c>
      <c r="Z70" s="151">
        <f>平成18年度!H19</f>
        <v>101909</v>
      </c>
      <c r="AA70" s="151">
        <f>平成18年度!Z70-平成18年度!AB70-平成18年度!AC70</f>
        <v>55663</v>
      </c>
      <c r="AB70" s="151">
        <f>平成18年度!K19</f>
        <v>22611</v>
      </c>
      <c r="AC70" s="152">
        <f>平成18年度!AD69+平成18年度!AD70</f>
        <v>23635</v>
      </c>
      <c r="AD70" s="153">
        <f>平成18年度!N19</f>
        <v>7589</v>
      </c>
      <c r="AE70" s="151">
        <f>平成18年度!R19</f>
        <v>122284</v>
      </c>
      <c r="AF70" s="150">
        <f>平成18年度!S19</f>
        <v>311904</v>
      </c>
      <c r="AG70" s="154">
        <f>平成18年度!Y70/+平成18年度!AE70</f>
        <v>0.45058225115305356</v>
      </c>
      <c r="AH70" s="155">
        <f>平成18年度!Z70/+平成18年度!AF70</f>
        <v>0.32673194316199855</v>
      </c>
      <c r="AI70" s="156">
        <f>平成18年度!AC70/+平成18年度!Z70</f>
        <v>0.23192259761159464</v>
      </c>
    </row>
    <row r="71" spans="1:35" ht="20.149999999999999" customHeight="1" x14ac:dyDescent="0.2"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平成18年度!AD47+平成18年度!AD49+平成18年度!AD51+平成18年度!AD53+平成18年度!AD55+平成18年度!AD57+平成18年度!AD59+平成18年度!AD61+平成18年度!AD63+平成18年度!AD65+平成18年度!AD67+平成18年度!AD69</f>
        <v>189106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</row>
    <row r="72" spans="1:35" ht="20.149999999999999" customHeight="1" x14ac:dyDescent="0.2">
      <c r="W72" s="117"/>
      <c r="X72" s="134" t="s">
        <v>52</v>
      </c>
      <c r="Y72" s="150">
        <f>SUM(平成18年度!Y48:Y70)</f>
        <v>663906</v>
      </c>
      <c r="Z72" s="151">
        <f>SUM(平成18年度!Z48:Z70)</f>
        <v>1234613</v>
      </c>
      <c r="AA72" s="151">
        <f>SUM(平成18年度!AA48:AA70)</f>
        <v>678657</v>
      </c>
      <c r="AB72" s="151">
        <f>SUM(平成18年度!AB48:AB70)</f>
        <v>277218</v>
      </c>
      <c r="AC72" s="152">
        <f>SUM(平成18年度!AC48:AC70)</f>
        <v>278738</v>
      </c>
      <c r="AD72" s="153">
        <f>平成18年度!AD48+平成18年度!AD50+平成18年度!AD52+平成18年度!AD54+平成18年度!AD56+平成18年度!AD58+平成18年度!AD60+平成18年度!AD62+平成18年度!AD64+平成18年度!AD66+平成18年度!AD68+平成18年度!AD70</f>
        <v>89632</v>
      </c>
      <c r="AE72" s="150">
        <f>SUM(平成18年度!AE48:AE70)</f>
        <v>1459304</v>
      </c>
      <c r="AF72" s="151">
        <f>SUM(平成18年度!AF48:AF70)</f>
        <v>3743267</v>
      </c>
      <c r="AG72" s="154">
        <f>平成18年度!Y72/+平成18年度!AE72</f>
        <v>0.45494701583768699</v>
      </c>
      <c r="AH72" s="155">
        <f>平成18年度!Z72/+平成18年度!AF72</f>
        <v>0.32982231831178488</v>
      </c>
      <c r="AI72" s="156">
        <f>平成18年度!AC72/+平成18年度!Z72</f>
        <v>0.2257695326389727</v>
      </c>
    </row>
    <row r="73" spans="1:35" ht="20.149999999999999" customHeight="1" x14ac:dyDescent="0.2">
      <c r="W73" s="117"/>
      <c r="X73" s="142" t="s">
        <v>69</v>
      </c>
      <c r="Y73" s="143" t="s">
        <v>69</v>
      </c>
      <c r="Z73" s="144" t="s">
        <v>69</v>
      </c>
      <c r="AA73" s="144" t="e">
        <f>平成18年度!AA74+平成18年度!AB74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</row>
    <row r="74" spans="1:35" ht="20.149999999999999" customHeight="1" x14ac:dyDescent="0.2"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平成18年度!Y74/+平成18年度!AE74</f>
        <v>#VALUE!</v>
      </c>
      <c r="AH74" s="170" t="e">
        <f>平成18年度!Z74/+平成18年度!AF74</f>
        <v>#VALUE!</v>
      </c>
      <c r="AI74" s="171" t="e">
        <f>平成18年度!AC74/+平成18年度!Z74</f>
        <v>#VALUE!</v>
      </c>
    </row>
    <row r="75" spans="1:35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平成18年度!M2+平成18年度!AD47+平成18年度!AD49+平成18年度!AD51+平成18年度!AD53+平成18年度!AD55+平成18年度!AD57+平成18年度!AD59+平成18年度!AD61+平成18年度!AD63</f>
        <v>186126</v>
      </c>
      <c r="AE75" s="174"/>
      <c r="AF75" s="173"/>
      <c r="AG75" s="177"/>
      <c r="AH75" s="178"/>
      <c r="AI75" s="179"/>
    </row>
    <row r="76" spans="1:35" ht="20.149999999999999" customHeight="1" x14ac:dyDescent="0.2">
      <c r="A76" s="1" t="s">
        <v>1339</v>
      </c>
      <c r="B76" s="1">
        <v>2</v>
      </c>
      <c r="C76" s="1">
        <f>平成18年度!C75+平成18年度!C77</f>
        <v>478663</v>
      </c>
      <c r="D76" s="1">
        <f>平成18年度!D75+平成18年度!D77</f>
        <v>497118</v>
      </c>
      <c r="E76" s="1">
        <f>平成18年度!E75+平成18年度!E77</f>
        <v>515553</v>
      </c>
      <c r="F76" s="1">
        <f>平成18年度!F75+平成18年度!F77</f>
        <v>534452</v>
      </c>
      <c r="G76" s="1">
        <f>平成18年度!G75+平成18年度!G77</f>
        <v>555972</v>
      </c>
      <c r="H76" s="1">
        <f>平成18年度!H75+平成18年度!H77</f>
        <v>611537</v>
      </c>
      <c r="W76" s="180" t="s">
        <v>593</v>
      </c>
      <c r="X76" s="134" t="s">
        <v>52</v>
      </c>
      <c r="Y76" s="181">
        <f>平成18年度!C2+SUM(平成18年度!Y48:Y64)</f>
        <v>662600</v>
      </c>
      <c r="Z76" s="182">
        <f>平成18年度!H2+SUM(平成18年度!Z48:Z64)</f>
        <v>1235675</v>
      </c>
      <c r="AA76" s="182">
        <f>平成18年度!J2+SUM(平成18年度!AA48:AA64)</f>
        <v>681441</v>
      </c>
      <c r="AB76" s="182">
        <f>平成18年度!K2+SUM(平成18年度!AB48:AB64)</f>
        <v>279997</v>
      </c>
      <c r="AC76" s="183">
        <f>平成18年度!L2+SUM(平成18年度!AC48:AC64)</f>
        <v>274237</v>
      </c>
      <c r="AD76" s="184">
        <f>平成18年度!N2+平成18年度!AD48+平成18年度!AD50+平成18年度!AD52+平成18年度!AD54+平成18年度!AD56+平成18年度!AD58+平成18年度!AD60+平成18年度!AD62+平成18年度!AD64</f>
        <v>88111</v>
      </c>
      <c r="AE76" s="181">
        <f>平成18年度!R2+SUM(平成18年度!AE48:AE64)</f>
        <v>1453284</v>
      </c>
      <c r="AF76" s="182">
        <f>平成18年度!S2+SUM(平成18年度!AF48:AF64)</f>
        <v>3739705</v>
      </c>
      <c r="AG76" s="185">
        <f>平成18年度!Y76/+平成18年度!AE76</f>
        <v>0.45593290781430196</v>
      </c>
      <c r="AH76" s="186">
        <f>平成18年度!Z76/+平成18年度!AF76</f>
        <v>0.33042044760215045</v>
      </c>
      <c r="AI76" s="187">
        <f>平成18年度!AC76/+平成18年度!Z76</f>
        <v>0.2219329516256297</v>
      </c>
    </row>
    <row r="77" spans="1:35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平成18年度!H27</f>
        <v>516809</v>
      </c>
      <c r="W77" s="188" t="s">
        <v>1343</v>
      </c>
      <c r="X77" s="142" t="s">
        <v>69</v>
      </c>
      <c r="Y77" s="189"/>
      <c r="Z77" s="190"/>
      <c r="AA77" s="190" t="e">
        <f>平成18年度!AA78+平成18年度!AB78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</row>
    <row r="78" spans="1:35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平成18年度!H20</f>
        <v>1234613</v>
      </c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平成18年度!Y78/+平成18年度!AE78</f>
        <v>#VALUE!</v>
      </c>
      <c r="AH78" s="202" t="e">
        <f>平成18年度!Z78/+平成18年度!AF78</f>
        <v>#VALUE!</v>
      </c>
      <c r="AI78" s="203" t="e">
        <f>平成18年度!AC78/+平成18年度!Z78</f>
        <v>#VALUE!</v>
      </c>
    </row>
    <row r="79" spans="1:35" ht="20.149999999999999" customHeight="1" x14ac:dyDescent="0.2"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平成18年度!H21</f>
        <v>#VALUE!</v>
      </c>
    </row>
    <row r="80" spans="1:35" ht="20.149999999999999" customHeight="1" x14ac:dyDescent="0.2">
      <c r="A80" s="1" t="s">
        <v>1347</v>
      </c>
      <c r="C80" s="204">
        <f>ROUND(+平成18年度!C78/平成18年度!C76,8)</f>
        <v>2.02529337</v>
      </c>
      <c r="D80" s="204">
        <f>ROUND(+平成18年度!D78/平成18年度!D76,8)</f>
        <v>2.0240164300000001</v>
      </c>
      <c r="E80" s="204">
        <f>ROUND(+平成18年度!E78/平成18年度!E76,8)</f>
        <v>2.02072144</v>
      </c>
      <c r="F80" s="204">
        <f>ROUND(+平成18年度!F78/平成18年度!F76,8)</f>
        <v>2.0253886200000002</v>
      </c>
      <c r="G80" s="204">
        <f>ROUND(+平成18年度!G78/平成18年度!G76,8)</f>
        <v>2.02343283</v>
      </c>
    </row>
    <row r="81" spans="1:8" ht="20.149999999999999" customHeight="1" x14ac:dyDescent="0.2">
      <c r="A81" s="1" t="s">
        <v>1348</v>
      </c>
      <c r="C81" s="204">
        <f>ROUND(+平成18年度!C78/平成18年度!C77,8)</f>
        <v>2.4246736000000002</v>
      </c>
      <c r="D81" s="204">
        <f>ROUND(+平成18年度!D78/平成18年度!D77,8)</f>
        <v>2.4232626499999999</v>
      </c>
      <c r="E81" s="204">
        <f>ROUND(+平成18年度!E78/平成18年度!E77,8)</f>
        <v>2.4196870499999998</v>
      </c>
      <c r="F81" s="204">
        <f>ROUND(+平成18年度!F78/平成18年度!F77,8)</f>
        <v>2.4238196300000001</v>
      </c>
      <c r="G81" s="204">
        <f>ROUND(+平成18年度!G78/平成18年度!G77,8)</f>
        <v>2.42133062</v>
      </c>
    </row>
    <row r="82" spans="1:8" ht="20.149999999999999" customHeight="1" x14ac:dyDescent="0.2">
      <c r="A82" s="1" t="s">
        <v>1349</v>
      </c>
      <c r="D82" s="204">
        <f>ROUND(+平成18年度!D78/平成18年度!C78,8)</f>
        <v>1.0379004999999999</v>
      </c>
      <c r="E82" s="204">
        <f>ROUND(+平成18年度!E78/平成18年度!D78,8)</f>
        <v>1.0353954299999999</v>
      </c>
      <c r="F82" s="204">
        <f>ROUND(+平成18年度!F78/平成18年度!E78,8)</f>
        <v>1.03905205</v>
      </c>
      <c r="G82" s="204">
        <f>ROUND(+平成18年度!G78/平成18年度!F78,8)</f>
        <v>1.03926103</v>
      </c>
      <c r="H82" s="204" t="s">
        <v>275</v>
      </c>
    </row>
    <row r="83" spans="1:8" ht="20.149999999999999" customHeight="1" x14ac:dyDescent="0.2">
      <c r="A83" s="1" t="s">
        <v>1351</v>
      </c>
      <c r="E83" s="1">
        <f>(+平成18年度!C81+平成18年度!D81)/2*平成18年度!E77/12</f>
        <v>86969.35035953125</v>
      </c>
      <c r="F83" s="1">
        <f>(+平成18年度!D81+平成18年度!E81)/2*平成18年度!F77/12</f>
        <v>90118.818755025</v>
      </c>
      <c r="G83" s="1">
        <f>(+平成18年度!E81+平成18年度!F81)/2*平成18年度!G77/12</f>
        <v>93764.033128671654</v>
      </c>
      <c r="H83" s="1">
        <f>(+平成18年度!F81+平成18年度!G81)/2*平成18年度!H77/12</f>
        <v>104334.05231467709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1" t="e">
        <f>(+平成18年度!D82+平成18年度!E82)/2*平成18年度!E79</f>
        <v>#VALUE!</v>
      </c>
      <c r="G86" s="1" t="e">
        <f>(+平成18年度!E82+平成18年度!F82)/2*平成18年度!F79</f>
        <v>#VALUE!</v>
      </c>
      <c r="H86" s="1" t="e">
        <f>(+平成18年度!F82+平成18年度!G82)/2*平成18年度!G79</f>
        <v>#VALUE!</v>
      </c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4" orientation="landscape" horizontalDpi="400" verticalDpi="300" r:id="rId1"/>
  <headerFooter alignWithMargins="0">
    <oddHeader>&amp;L</oddHeader>
    <oddFooter>&amp;L&amp;Z&amp;F&amp;R&amp;F&amp;A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86"/>
  <sheetViews>
    <sheetView workbookViewId="0">
      <pane xSplit="2" ySplit="6" topLeftCell="C7" activePane="bottomRight" state="frozen"/>
      <selection activeCell="P5" sqref="P5:P19"/>
      <selection pane="topRight" activeCell="P5" sqref="P5:P19"/>
      <selection pane="bottomLeft" activeCell="P5" sqref="P5:P19"/>
      <selection pane="bottomRight" activeCell="J5" sqref="J5"/>
    </sheetView>
  </sheetViews>
  <sheetFormatPr defaultColWidth="10" defaultRowHeight="14" x14ac:dyDescent="0.2"/>
  <cols>
    <col min="1" max="1" width="10" style="1"/>
    <col min="2" max="2" width="9.75" style="1" customWidth="1"/>
    <col min="3" max="3" width="9.33203125" style="1" customWidth="1"/>
    <col min="4" max="4" width="9" style="1" customWidth="1"/>
    <col min="5" max="5" width="8.83203125" style="1" customWidth="1"/>
    <col min="6" max="6" width="9" style="1" customWidth="1"/>
    <col min="7" max="7" width="8.75" style="1" customWidth="1"/>
    <col min="8" max="8" width="11.08203125" style="1" customWidth="1"/>
    <col min="9" max="12" width="10" style="1"/>
    <col min="13" max="13" width="9.33203125" style="1" customWidth="1"/>
    <col min="14" max="14" width="9.25" style="1" customWidth="1"/>
    <col min="15" max="15" width="10.75" style="1" customWidth="1"/>
    <col min="16" max="16" width="9" style="1" customWidth="1"/>
    <col min="17" max="17" width="8.58203125" style="1" customWidth="1"/>
    <col min="18" max="18" width="11" style="1" customWidth="1"/>
    <col min="19" max="19" width="10.83203125" style="1" customWidth="1"/>
    <col min="20" max="20" width="10.58203125" style="1" customWidth="1"/>
    <col min="21" max="21" width="11.58203125" style="1" customWidth="1"/>
    <col min="22" max="22" width="10.58203125" style="1" customWidth="1"/>
    <col min="23" max="16384" width="10" style="1"/>
  </cols>
  <sheetData>
    <row r="1" spans="1:44" ht="20.149999999999999" customHeight="1" x14ac:dyDescent="0.2">
      <c r="B1" s="1" t="s">
        <v>2815</v>
      </c>
      <c r="AJ1" s="1" t="s">
        <v>1032</v>
      </c>
    </row>
    <row r="2" spans="1:44" ht="20.149999999999999" customHeight="1" x14ac:dyDescent="0.2">
      <c r="A2" s="2" t="s">
        <v>815</v>
      </c>
      <c r="C2" s="205">
        <f>SUM(平成18年度!C17:C19)</f>
        <v>165537</v>
      </c>
      <c r="D2" s="205">
        <f>SUM(平成18年度!D17:D19)</f>
        <v>132237</v>
      </c>
      <c r="E2" s="205">
        <f>SUM(平成18年度!E17:E19)</f>
        <v>122545</v>
      </c>
      <c r="F2" s="205">
        <f>SUM(平成18年度!F17:F19)</f>
        <v>9692</v>
      </c>
      <c r="G2" s="205">
        <f>SUM(平成18年度!G17:G19)</f>
        <v>33300</v>
      </c>
      <c r="H2" s="205">
        <f>SUM(平成18年度!H17:H19)</f>
        <v>306544</v>
      </c>
      <c r="I2" s="205">
        <f>SUM(平成18年度!I17:I19)</f>
        <v>235689</v>
      </c>
      <c r="J2" s="205">
        <f>SUM(平成18年度!J17:J19)</f>
        <v>167562</v>
      </c>
      <c r="K2" s="205">
        <f>SUM(平成18年度!K17:K19)</f>
        <v>68127</v>
      </c>
      <c r="L2" s="205">
        <f>SUM(平成18年度!L17:L19)</f>
        <v>70855</v>
      </c>
      <c r="M2" s="205">
        <f>SUM(平成18年度!M17:M19)</f>
        <v>48101</v>
      </c>
      <c r="N2" s="205">
        <f>SUM(平成18年度!N17:N19)</f>
        <v>22754</v>
      </c>
      <c r="O2" s="205">
        <f>SUM(平成18年度!O17:O19)</f>
        <v>86635</v>
      </c>
      <c r="P2" s="205">
        <f>SUM(平成18年度!P17:P19)</f>
        <v>63781</v>
      </c>
      <c r="Q2" s="205">
        <f>SUM(平成18年度!Q17:Q19)</f>
        <v>22854</v>
      </c>
      <c r="R2" s="205">
        <f>SUM(平成18年度!R17:R19)</f>
        <v>366547</v>
      </c>
      <c r="S2" s="205">
        <f>SUM(平成18年度!S17:S19)</f>
        <v>936872</v>
      </c>
    </row>
    <row r="3" spans="1:44" ht="20.149999999999999" customHeight="1" x14ac:dyDescent="0.2">
      <c r="A3" s="2" t="s">
        <v>816</v>
      </c>
      <c r="B3" s="3"/>
      <c r="C3" s="3" t="s">
        <v>2814</v>
      </c>
      <c r="D3" s="3"/>
      <c r="E3" s="3" t="s">
        <v>1357</v>
      </c>
      <c r="F3" s="3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374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AJ4" s="17" t="s">
        <v>1055</v>
      </c>
      <c r="AK4" s="327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ROUND(+平成19年度!AK4/平成19年度!AM4,4)</f>
        <v>#VALUE!</v>
      </c>
      <c r="AP4" s="22" t="e">
        <f>ROUND(+平成19年度!AL4/平成19年度!AN4,4)</f>
        <v>#VALUE!</v>
      </c>
    </row>
    <row r="5" spans="1:44" ht="20.149999999999999" customHeight="1" x14ac:dyDescent="0.2">
      <c r="A5" s="2" t="s">
        <v>829</v>
      </c>
      <c r="B5" s="375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26" t="s">
        <v>2816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ROUND(+平成19年度!AK5/平成19年度!AM5,4)</f>
        <v>#VALUE!</v>
      </c>
      <c r="AP5" s="35" t="e">
        <f>ROUND(+平成19年度!AL5/平成19年度!AN5,4)</f>
        <v>#VALUE!</v>
      </c>
      <c r="AQ5" s="36" t="e">
        <f>ROUND((+平成19年度!AO5-平成19年度!AO4),4)</f>
        <v>#VALUE!</v>
      </c>
      <c r="AR5" s="36" t="e">
        <f>ROUND((+平成19年度!AP5-平成19年度!AP4),4)</f>
        <v>#VALUE!</v>
      </c>
    </row>
    <row r="6" spans="1:44" ht="20.149999999999999" customHeight="1" thickTop="1" x14ac:dyDescent="0.2">
      <c r="A6" s="2" t="s">
        <v>847</v>
      </c>
      <c r="B6" s="382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ROUND(+平成19年度!AK6/平成19年度!AM6,4)</f>
        <v>0.28620000000000001</v>
      </c>
      <c r="AP6" s="35">
        <f>ROUND(+平成19年度!AL6/平成19年度!AN6,4)</f>
        <v>0.40529999999999999</v>
      </c>
      <c r="AQ6" s="36" t="e">
        <f>ROUND((+平成19年度!AO6-平成19年度!AO5),4)</f>
        <v>#VALUE!</v>
      </c>
      <c r="AR6" s="36" t="e">
        <f>ROUND((+平成19年度!AP6-平成19年度!AP5),4)</f>
        <v>#VALUE!</v>
      </c>
    </row>
    <row r="7" spans="1:44" ht="20.149999999999999" customHeight="1" x14ac:dyDescent="0.2">
      <c r="A7" s="2"/>
      <c r="B7" s="376" t="s">
        <v>51</v>
      </c>
      <c r="C7" s="319">
        <f>平成18年度!C$19</f>
        <v>55099</v>
      </c>
      <c r="D7" s="45">
        <f>E7+F7</f>
        <v>43986</v>
      </c>
      <c r="E7" s="45">
        <f>C7-G7-F7</f>
        <v>40756</v>
      </c>
      <c r="F7" s="46">
        <f>平成18年度!F$19</f>
        <v>3230</v>
      </c>
      <c r="G7" s="47">
        <f>平成18年度!G$19</f>
        <v>11113</v>
      </c>
      <c r="H7" s="315">
        <f>I7+L7</f>
        <v>101909</v>
      </c>
      <c r="I7" s="45">
        <f>J7+K7</f>
        <v>78274</v>
      </c>
      <c r="J7" s="46">
        <f>平成18年度!J$19</f>
        <v>55663</v>
      </c>
      <c r="K7" s="49">
        <f>平成18年度!K$19</f>
        <v>22611</v>
      </c>
      <c r="L7" s="45">
        <f>M7+N7</f>
        <v>23635</v>
      </c>
      <c r="M7" s="46">
        <f>平成18年度!M$19</f>
        <v>16046</v>
      </c>
      <c r="N7" s="47">
        <f>平成18年度!N$19</f>
        <v>7589</v>
      </c>
      <c r="O7" s="319">
        <f>平成18年度!O$19</f>
        <v>28697</v>
      </c>
      <c r="P7" s="45">
        <f>O7-Q7</f>
        <v>21208</v>
      </c>
      <c r="Q7" s="47">
        <f>平成18年度!Q$19</f>
        <v>7489</v>
      </c>
      <c r="R7" s="44">
        <f>平成18年度!R$19</f>
        <v>122284</v>
      </c>
      <c r="S7" s="46">
        <f>平成18年度!S$19</f>
        <v>311904</v>
      </c>
      <c r="T7" s="50">
        <f>C7/R7</f>
        <v>0.45058225115305356</v>
      </c>
      <c r="U7" s="51">
        <f>H7/S7</f>
        <v>0.32673194316199855</v>
      </c>
      <c r="V7" s="52">
        <f>L7/H7</f>
        <v>0.23192259761159464</v>
      </c>
      <c r="AJ7" s="30" t="s">
        <v>1074</v>
      </c>
      <c r="AK7" s="31">
        <v>81903</v>
      </c>
      <c r="AL7" s="32">
        <v>41659</v>
      </c>
      <c r="AM7" s="33">
        <v>291953</v>
      </c>
      <c r="AN7" s="33">
        <v>104651</v>
      </c>
      <c r="AO7" s="34">
        <v>0.28050000000000003</v>
      </c>
      <c r="AP7" s="35">
        <v>0.39810000000000001</v>
      </c>
      <c r="AQ7" s="36">
        <v>9.9000000000000008E-3</v>
      </c>
      <c r="AR7" s="36">
        <v>1.26E-2</v>
      </c>
    </row>
    <row r="8" spans="1:44" ht="20.149999999999999" customHeight="1" x14ac:dyDescent="0.2">
      <c r="A8" s="2" t="s">
        <v>860</v>
      </c>
      <c r="B8" s="377" t="s">
        <v>40</v>
      </c>
      <c r="C8" s="319">
        <v>55468</v>
      </c>
      <c r="D8" s="45">
        <f>平成19年度!E8+平成19年度!F8</f>
        <v>44865</v>
      </c>
      <c r="E8" s="45">
        <v>41585</v>
      </c>
      <c r="F8" s="46">
        <v>3280</v>
      </c>
      <c r="G8" s="47">
        <v>11361</v>
      </c>
      <c r="H8" s="315">
        <f t="shared" ref="H8:H19" si="0">I8+L8</f>
        <v>102502</v>
      </c>
      <c r="I8" s="45">
        <f>平成19年度!J8+平成19年度!K8</f>
        <v>78279</v>
      </c>
      <c r="J8" s="46">
        <f>102502-L8-K8</f>
        <v>55706</v>
      </c>
      <c r="K8" s="49">
        <v>22573</v>
      </c>
      <c r="L8" s="45">
        <f>平成19年度!M8+平成19年度!N8</f>
        <v>24223</v>
      </c>
      <c r="M8" s="46">
        <v>16403</v>
      </c>
      <c r="N8" s="47">
        <v>7820</v>
      </c>
      <c r="O8" s="319">
        <v>29128</v>
      </c>
      <c r="P8" s="45">
        <f t="shared" ref="P8:P19" si="1">O8-Q8</f>
        <v>21325</v>
      </c>
      <c r="Q8" s="47">
        <v>7803</v>
      </c>
      <c r="R8" s="44">
        <v>122862</v>
      </c>
      <c r="S8" s="46">
        <v>312460</v>
      </c>
      <c r="T8" s="50">
        <f>平成19年度!C8/平成19年度!R8</f>
        <v>0.45146587227946799</v>
      </c>
      <c r="U8" s="51">
        <f>平成19年度!H8/平成19年度!S8</f>
        <v>0.32804839019394483</v>
      </c>
      <c r="V8" s="52">
        <f>平成19年度!L8/平成19年度!H8</f>
        <v>0.23631734014946049</v>
      </c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ROUND(+平成19年度!AK8/平成19年度!AM8,4)</f>
        <v>#VALUE!</v>
      </c>
      <c r="AP8" s="35">
        <f>ROUND(+平成19年度!AL8/平成19年度!AN8,4)</f>
        <v>1.6304000000000001</v>
      </c>
      <c r="AQ8" s="36" t="e">
        <f>ROUND((+平成19年度!AO8-平成19年度!AO6),4)</f>
        <v>#VALUE!</v>
      </c>
      <c r="AR8" s="36">
        <f>ROUND((+平成19年度!AP8-平成19年度!AP6),4)</f>
        <v>1.2251000000000001</v>
      </c>
    </row>
    <row r="9" spans="1:44" ht="20.149999999999999" customHeight="1" x14ac:dyDescent="0.2">
      <c r="A9" s="2" t="s">
        <v>862</v>
      </c>
      <c r="B9" s="377" t="s">
        <v>41</v>
      </c>
      <c r="C9" s="319">
        <v>55397</v>
      </c>
      <c r="D9" s="45">
        <f>平成19年度!E9+平成19年度!F9</f>
        <v>44009</v>
      </c>
      <c r="E9" s="45">
        <f>平成19年度!C9-平成19年度!G9-平成19年度!F9</f>
        <v>40740</v>
      </c>
      <c r="F9" s="46">
        <v>3269</v>
      </c>
      <c r="G9" s="47">
        <v>11388</v>
      </c>
      <c r="H9" s="315">
        <f t="shared" si="0"/>
        <v>102187</v>
      </c>
      <c r="I9" s="45">
        <f>平成19年度!J9+平成19年度!K9</f>
        <v>77951</v>
      </c>
      <c r="J9" s="46">
        <f>102187-K9-L9</f>
        <v>55464</v>
      </c>
      <c r="K9" s="49">
        <v>22487</v>
      </c>
      <c r="L9" s="45">
        <f>平成19年度!M9+平成19年度!N9</f>
        <v>24236</v>
      </c>
      <c r="M9" s="46">
        <v>16425</v>
      </c>
      <c r="N9" s="47">
        <v>7811</v>
      </c>
      <c r="O9" s="319">
        <v>29023</v>
      </c>
      <c r="P9" s="45">
        <f t="shared" si="1"/>
        <v>21320</v>
      </c>
      <c r="Q9" s="47">
        <v>7703</v>
      </c>
      <c r="R9" s="44">
        <v>123218</v>
      </c>
      <c r="S9" s="46">
        <v>312851</v>
      </c>
      <c r="T9" s="50">
        <f>平成19年度!C9/平成19年度!R9</f>
        <v>0.44958528786378615</v>
      </c>
      <c r="U9" s="51">
        <f>平成19年度!H9/平成19年度!S9</f>
        <v>0.32663152746834756</v>
      </c>
      <c r="V9" s="52">
        <f>平成19年度!L9/平成19年度!H9</f>
        <v>0.23717302592306261</v>
      </c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ROUND(+平成19年度!AK9/平成19年度!AM9,4)</f>
        <v>#VALUE!</v>
      </c>
      <c r="AP9" s="35">
        <f>ROUND(+平成19年度!AL9/平成19年度!AN9,4)</f>
        <v>1.6746000000000001</v>
      </c>
      <c r="AQ9" s="36" t="e">
        <f>ROUND((+平成19年度!AO9-平成19年度!AO8),4)</f>
        <v>#VALUE!</v>
      </c>
      <c r="AR9" s="36">
        <f>ROUND((+平成19年度!AP9-平成19年度!AP8),4)</f>
        <v>4.4200000000000003E-2</v>
      </c>
    </row>
    <row r="10" spans="1:44" ht="20.149999999999999" customHeight="1" thickBot="1" x14ac:dyDescent="0.25">
      <c r="A10" s="2" t="s">
        <v>864</v>
      </c>
      <c r="B10" s="378" t="s">
        <v>42</v>
      </c>
      <c r="C10" s="319">
        <v>55430</v>
      </c>
      <c r="D10" s="55">
        <f>平成19年度!E10+平成19年度!F10</f>
        <v>43909</v>
      </c>
      <c r="E10" s="55">
        <f>平成19年度!C10-平成19年度!G10-平成19年度!F10</f>
        <v>40621</v>
      </c>
      <c r="F10" s="46">
        <v>3288</v>
      </c>
      <c r="G10" s="47">
        <v>11521</v>
      </c>
      <c r="H10" s="315">
        <f t="shared" si="0"/>
        <v>102166</v>
      </c>
      <c r="I10" s="55">
        <f>平成19年度!J10+平成19年度!K10</f>
        <v>77671</v>
      </c>
      <c r="J10" s="46">
        <f>102166-K10-L10</f>
        <v>55271</v>
      </c>
      <c r="K10" s="49">
        <v>22400</v>
      </c>
      <c r="L10" s="55">
        <f>平成19年度!M10+平成19年度!N10</f>
        <v>24495</v>
      </c>
      <c r="M10" s="46">
        <v>16600</v>
      </c>
      <c r="N10" s="47">
        <v>7895</v>
      </c>
      <c r="O10" s="319">
        <v>28971</v>
      </c>
      <c r="P10" s="55">
        <f t="shared" si="1"/>
        <v>21176</v>
      </c>
      <c r="Q10" s="47">
        <v>7795</v>
      </c>
      <c r="R10" s="44">
        <v>123419</v>
      </c>
      <c r="S10" s="46">
        <v>312996</v>
      </c>
      <c r="T10" s="60">
        <f>平成19年度!C10/平成19年度!R10</f>
        <v>0.44912047577763553</v>
      </c>
      <c r="U10" s="61">
        <f>平成19年度!H10/平成19年度!S10</f>
        <v>0.32641311710053805</v>
      </c>
      <c r="V10" s="62">
        <f>平成19年度!L10/平成19年度!H10</f>
        <v>0.23975686627645204</v>
      </c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ROUND(+平成19年度!AK10/平成19年度!AM10,4)</f>
        <v>#VALUE!</v>
      </c>
      <c r="AP10" s="68">
        <f>ROUND(+平成19年度!AL10/平成19年度!AN10,4)</f>
        <v>1.7114</v>
      </c>
      <c r="AQ10" s="36" t="e">
        <f>ROUND((+平成19年度!AO10-平成19年度!AO9),4)</f>
        <v>#VALUE!</v>
      </c>
      <c r="AR10" s="36">
        <f>ROUND((+平成19年度!AP10-平成19年度!AP9),4)</f>
        <v>3.6799999999999999E-2</v>
      </c>
    </row>
    <row r="11" spans="1:44" ht="20.149999999999999" customHeight="1" thickTop="1" thickBot="1" x14ac:dyDescent="0.25">
      <c r="A11" s="2" t="s">
        <v>866</v>
      </c>
      <c r="B11" s="378" t="s">
        <v>43</v>
      </c>
      <c r="C11" s="319">
        <v>55386</v>
      </c>
      <c r="D11" s="55">
        <f>平成19年度!E11+平成19年度!F11</f>
        <v>43792</v>
      </c>
      <c r="E11" s="55">
        <f>平成19年度!C11-平成19年度!G11-平成19年度!F11</f>
        <v>40493</v>
      </c>
      <c r="F11" s="46">
        <v>3299</v>
      </c>
      <c r="G11" s="47">
        <v>11594</v>
      </c>
      <c r="H11" s="315">
        <f t="shared" si="0"/>
        <v>101915</v>
      </c>
      <c r="I11" s="55">
        <f>平成19年度!J11+平成19年度!K11</f>
        <v>77288</v>
      </c>
      <c r="J11" s="46">
        <f>101915-K11-L11</f>
        <v>54974</v>
      </c>
      <c r="K11" s="49">
        <v>22314</v>
      </c>
      <c r="L11" s="55">
        <f>平成19年度!M11+平成19年度!N11</f>
        <v>24627</v>
      </c>
      <c r="M11" s="46">
        <v>16687</v>
      </c>
      <c r="N11" s="47">
        <v>7940</v>
      </c>
      <c r="O11" s="319">
        <v>28862</v>
      </c>
      <c r="P11" s="55">
        <f t="shared" si="1"/>
        <v>21067</v>
      </c>
      <c r="Q11" s="47">
        <v>7795</v>
      </c>
      <c r="R11" s="44">
        <v>123581</v>
      </c>
      <c r="S11" s="46">
        <v>313185</v>
      </c>
      <c r="T11" s="60">
        <f>平成19年度!C11/平成19年度!R11</f>
        <v>0.44817569043785049</v>
      </c>
      <c r="U11" s="61">
        <f>平成19年度!H11/平成19年度!S11</f>
        <v>0.32541469099733383</v>
      </c>
      <c r="V11" s="62">
        <f>平成19年度!L11/平成19年度!H11</f>
        <v>0.24164254525830348</v>
      </c>
      <c r="AJ11" s="69" t="s">
        <v>907</v>
      </c>
      <c r="AK11" s="70" t="e">
        <f>平成19年度!H21</f>
        <v>#VALUE!</v>
      </c>
      <c r="AL11" s="71" t="e">
        <f>平成19年度!C21</f>
        <v>#VALUE!</v>
      </c>
      <c r="AM11" s="72" t="e">
        <f>平成19年度!S21</f>
        <v>#VALUE!</v>
      </c>
      <c r="AN11" s="72" t="e">
        <f>平成19年度!R21</f>
        <v>#VALUE!</v>
      </c>
      <c r="AO11" s="73" t="e">
        <f>ROUND(+平成19年度!AK11/平成19年度!AM11,4)</f>
        <v>#VALUE!</v>
      </c>
      <c r="AP11" s="74" t="e">
        <f>ROUND(+平成19年度!AL11/平成19年度!AN11,4)</f>
        <v>#VALUE!</v>
      </c>
      <c r="AQ11" s="36" t="e">
        <f>ROUND((+平成19年度!AO11-平成19年度!AO10),4)</f>
        <v>#VALUE!</v>
      </c>
      <c r="AR11" s="36" t="e">
        <f>ROUND((+平成19年度!AP11-平成19年度!AP10),4)</f>
        <v>#VALUE!</v>
      </c>
    </row>
    <row r="12" spans="1:44" ht="20.149999999999999" customHeight="1" thickTop="1" thickBot="1" x14ac:dyDescent="0.25">
      <c r="A12" s="2" t="s">
        <v>868</v>
      </c>
      <c r="B12" s="378" t="s">
        <v>44</v>
      </c>
      <c r="C12" s="319">
        <v>55309</v>
      </c>
      <c r="D12" s="55">
        <f>平成19年度!E12+平成19年度!F12</f>
        <v>43681</v>
      </c>
      <c r="E12" s="55">
        <f>平成19年度!C12-平成19年度!G12-平成19年度!F12</f>
        <v>40346</v>
      </c>
      <c r="F12" s="46">
        <v>3335</v>
      </c>
      <c r="G12" s="47">
        <v>11628</v>
      </c>
      <c r="H12" s="315">
        <f t="shared" si="0"/>
        <v>101633</v>
      </c>
      <c r="I12" s="55">
        <f>平成19年度!J12+平成19年度!K12</f>
        <v>76930</v>
      </c>
      <c r="J12" s="46">
        <f>101633-K12-L12</f>
        <v>54697</v>
      </c>
      <c r="K12" s="49">
        <v>22233</v>
      </c>
      <c r="L12" s="55">
        <f>平成19年度!M12+平成19年度!N12</f>
        <v>24703</v>
      </c>
      <c r="M12" s="46">
        <v>16760</v>
      </c>
      <c r="N12" s="47">
        <v>7943</v>
      </c>
      <c r="O12" s="319">
        <v>28654</v>
      </c>
      <c r="P12" s="55">
        <f t="shared" si="1"/>
        <v>20952</v>
      </c>
      <c r="Q12" s="47">
        <v>7702</v>
      </c>
      <c r="R12" s="44">
        <v>123680</v>
      </c>
      <c r="S12" s="46">
        <v>313334</v>
      </c>
      <c r="T12" s="60">
        <f>平成19年度!C12/平成19年度!R12</f>
        <v>0.44719437257438549</v>
      </c>
      <c r="U12" s="61">
        <f>平成19年度!H12/平成19年度!S12</f>
        <v>0.32435994817032304</v>
      </c>
      <c r="V12" s="62">
        <f>平成19年度!L12/平成19年度!H12</f>
        <v>0.24306081686066533</v>
      </c>
      <c r="AJ12" s="1" t="s">
        <v>1103</v>
      </c>
    </row>
    <row r="13" spans="1:44" ht="20.149999999999999" customHeight="1" thickTop="1" thickBot="1" x14ac:dyDescent="0.25">
      <c r="A13" s="75" t="s">
        <v>275</v>
      </c>
      <c r="B13" s="377" t="s">
        <v>45</v>
      </c>
      <c r="C13" s="319">
        <v>55258</v>
      </c>
      <c r="D13" s="45">
        <f>平成19年度!E13+平成19年度!F13</f>
        <v>43630</v>
      </c>
      <c r="E13" s="45">
        <f>平成19年度!C13-平成19年度!G13-平成19年度!F13</f>
        <v>40297</v>
      </c>
      <c r="F13" s="46">
        <v>3333</v>
      </c>
      <c r="G13" s="47">
        <v>11628</v>
      </c>
      <c r="H13" s="315">
        <f t="shared" si="0"/>
        <v>101388</v>
      </c>
      <c r="I13" s="45">
        <f>平成19年度!J13+平成19年度!K13</f>
        <v>76694</v>
      </c>
      <c r="J13" s="46">
        <v>54572</v>
      </c>
      <c r="K13" s="49">
        <v>22122</v>
      </c>
      <c r="L13" s="45">
        <f>平成19年度!M13+平成19年度!N13</f>
        <v>24694</v>
      </c>
      <c r="M13" s="46">
        <v>16758</v>
      </c>
      <c r="N13" s="47">
        <v>7936</v>
      </c>
      <c r="O13" s="319">
        <v>28479</v>
      </c>
      <c r="P13" s="45">
        <f t="shared" si="1"/>
        <v>20886</v>
      </c>
      <c r="Q13" s="47">
        <v>7593</v>
      </c>
      <c r="R13" s="44">
        <v>123852</v>
      </c>
      <c r="S13" s="46">
        <v>313403</v>
      </c>
      <c r="T13" s="50">
        <f>平成19年度!C13/平成19年度!R13</f>
        <v>0.44616154765365112</v>
      </c>
      <c r="U13" s="51">
        <f>平成19年度!H13/平成19年度!S13</f>
        <v>0.3235067947658446</v>
      </c>
      <c r="V13" s="52">
        <f>平成19年度!L13/平成19年度!H13</f>
        <v>0.2435593955892216</v>
      </c>
      <c r="AJ13" s="69" t="s">
        <v>1106</v>
      </c>
      <c r="AK13" s="76" t="e">
        <f>平成19年度!AK10/平成19年度!AK4</f>
        <v>#VALUE!</v>
      </c>
      <c r="AL13" s="77" t="e">
        <f>平成19年度!AL10/平成19年度!AL4</f>
        <v>#VALUE!</v>
      </c>
      <c r="AM13" s="77" t="e">
        <f>平成19年度!AM10/平成19年度!AM4</f>
        <v>#VALUE!</v>
      </c>
      <c r="AN13" s="77" t="e">
        <f>平成19年度!AN10/平成19年度!AN4</f>
        <v>#VALUE!</v>
      </c>
      <c r="AO13" s="78" t="e">
        <f>平成19年度!AO10/平成19年度!AO4</f>
        <v>#VALUE!</v>
      </c>
      <c r="AP13" s="74" t="e">
        <f>平成19年度!AP10/平成19年度!AP4</f>
        <v>#VALUE!</v>
      </c>
    </row>
    <row r="14" spans="1:44" ht="20.149999999999999" customHeight="1" thickTop="1" x14ac:dyDescent="0.2">
      <c r="A14" s="75" t="s">
        <v>275</v>
      </c>
      <c r="B14" s="377" t="s">
        <v>46</v>
      </c>
      <c r="C14" s="319">
        <v>55253</v>
      </c>
      <c r="D14" s="45">
        <f>平成19年度!E14+平成19年度!F14</f>
        <v>43640</v>
      </c>
      <c r="E14" s="45">
        <f>平成19年度!C14-平成19年度!G14-平成19年度!F14</f>
        <v>40318</v>
      </c>
      <c r="F14" s="46">
        <v>3322</v>
      </c>
      <c r="G14" s="47">
        <v>11613</v>
      </c>
      <c r="H14" s="315">
        <f t="shared" si="0"/>
        <v>101318</v>
      </c>
      <c r="I14" s="45">
        <f>平成19年度!J14+平成19年度!K14</f>
        <v>76675</v>
      </c>
      <c r="J14" s="46">
        <v>54429</v>
      </c>
      <c r="K14" s="49">
        <v>22246</v>
      </c>
      <c r="L14" s="45">
        <f>平成19年度!M14+平成19年度!N14</f>
        <v>24643</v>
      </c>
      <c r="M14" s="46">
        <v>16709</v>
      </c>
      <c r="N14" s="47">
        <v>7934</v>
      </c>
      <c r="O14" s="319">
        <v>28394</v>
      </c>
      <c r="P14" s="45">
        <f t="shared" si="1"/>
        <v>20887</v>
      </c>
      <c r="Q14" s="47">
        <v>7507</v>
      </c>
      <c r="R14" s="44">
        <v>124075</v>
      </c>
      <c r="S14" s="46">
        <v>313641</v>
      </c>
      <c r="T14" s="50">
        <f>平成19年度!C14/平成19年度!R14</f>
        <v>0.44531936328833366</v>
      </c>
      <c r="U14" s="51">
        <f>平成19年度!H14/平成19年度!S14</f>
        <v>0.32303812320455555</v>
      </c>
      <c r="V14" s="52">
        <f>平成19年度!L14/平成19年度!H14</f>
        <v>0.24322430367753015</v>
      </c>
    </row>
    <row r="15" spans="1:44" ht="20.149999999999999" customHeight="1" x14ac:dyDescent="0.2">
      <c r="A15" s="75" t="s">
        <v>2813</v>
      </c>
      <c r="B15" s="378" t="s">
        <v>47</v>
      </c>
      <c r="C15" s="319">
        <v>55169</v>
      </c>
      <c r="D15" s="55">
        <f>平成19年度!E15+平成19年度!F15</f>
        <v>43601</v>
      </c>
      <c r="E15" s="55">
        <f>平成19年度!C15-平成19年度!G15-平成19年度!F15</f>
        <v>40284</v>
      </c>
      <c r="F15" s="46">
        <v>3317</v>
      </c>
      <c r="G15" s="47">
        <v>11568</v>
      </c>
      <c r="H15" s="315">
        <f t="shared" si="0"/>
        <v>101021</v>
      </c>
      <c r="I15" s="55">
        <f>平成19年度!J15+平成19年度!K15</f>
        <v>76489</v>
      </c>
      <c r="J15" s="46">
        <f>101021-K15-M15-N15</f>
        <v>54211</v>
      </c>
      <c r="K15" s="49">
        <v>22278</v>
      </c>
      <c r="L15" s="55">
        <f>平成19年度!M15+平成19年度!N15</f>
        <v>24532</v>
      </c>
      <c r="M15" s="46">
        <v>16636</v>
      </c>
      <c r="N15" s="47">
        <v>7896</v>
      </c>
      <c r="O15" s="319">
        <v>28208</v>
      </c>
      <c r="P15" s="55">
        <f t="shared" si="1"/>
        <v>20826</v>
      </c>
      <c r="Q15" s="47">
        <v>7382</v>
      </c>
      <c r="R15" s="44">
        <v>124188</v>
      </c>
      <c r="S15" s="46">
        <v>313781</v>
      </c>
      <c r="T15" s="60">
        <f>平成19年度!C15/平成19年度!R15</f>
        <v>0.44423776854446484</v>
      </c>
      <c r="U15" s="61">
        <f>平成19年度!H15/平成19年度!S15</f>
        <v>0.32194747291901038</v>
      </c>
      <c r="V15" s="62">
        <f>平成19年度!L15/平成19年度!H15</f>
        <v>0.2428405974995298</v>
      </c>
      <c r="AJ15" s="1" t="s">
        <v>1111</v>
      </c>
    </row>
    <row r="16" spans="1:44" ht="20.149999999999999" customHeight="1" thickBot="1" x14ac:dyDescent="0.25">
      <c r="A16" s="1" t="s">
        <v>275</v>
      </c>
      <c r="B16" s="377" t="s">
        <v>48</v>
      </c>
      <c r="C16" s="319">
        <v>55028</v>
      </c>
      <c r="D16" s="45">
        <f>平成19年度!E16+平成19年度!F16</f>
        <v>43446</v>
      </c>
      <c r="E16" s="45">
        <f>平成19年度!C16-平成19年度!G16-平成19年度!F16</f>
        <v>40131</v>
      </c>
      <c r="F16" s="46">
        <v>3315</v>
      </c>
      <c r="G16" s="47">
        <v>11582</v>
      </c>
      <c r="H16" s="315">
        <f t="shared" si="0"/>
        <v>100756</v>
      </c>
      <c r="I16" s="45">
        <f>平成19年度!J16+平成19年度!K16</f>
        <v>76216</v>
      </c>
      <c r="J16" s="46">
        <f>100756-K16-M16-N16</f>
        <v>53859</v>
      </c>
      <c r="K16" s="49">
        <v>22357</v>
      </c>
      <c r="L16" s="45">
        <f>平成19年度!M16+平成19年度!N16</f>
        <v>24540</v>
      </c>
      <c r="M16" s="46">
        <v>16640</v>
      </c>
      <c r="N16" s="47">
        <v>7900</v>
      </c>
      <c r="O16" s="319">
        <v>28030</v>
      </c>
      <c r="P16" s="45">
        <f t="shared" si="1"/>
        <v>20684</v>
      </c>
      <c r="Q16" s="47">
        <v>7346</v>
      </c>
      <c r="R16" s="44">
        <v>124180</v>
      </c>
      <c r="S16" s="396">
        <v>313705</v>
      </c>
      <c r="T16" s="397">
        <f>平成19年度!C16/平成19年度!R16</f>
        <v>0.44313093895957484</v>
      </c>
      <c r="U16" s="51">
        <f>平成19年度!H16/平成19年度!S16</f>
        <v>0.32118072711623979</v>
      </c>
      <c r="V16" s="52">
        <f>平成19年度!L16/平成19年度!H16</f>
        <v>0.24355869625630236</v>
      </c>
    </row>
    <row r="17" spans="2:44" ht="20.149999999999999" customHeight="1" thickTop="1" thickBot="1" x14ac:dyDescent="0.25">
      <c r="B17" s="377" t="s">
        <v>49</v>
      </c>
      <c r="C17" s="319">
        <v>54989</v>
      </c>
      <c r="D17" s="45">
        <f>平成19年度!E17+平成19年度!F17</f>
        <v>43453</v>
      </c>
      <c r="E17" s="45">
        <f>平成19年度!C17-平成19年度!G17-平成19年度!F17</f>
        <v>40138</v>
      </c>
      <c r="F17" s="46">
        <v>3315</v>
      </c>
      <c r="G17" s="47">
        <v>11536</v>
      </c>
      <c r="H17" s="315">
        <f t="shared" si="0"/>
        <v>100626</v>
      </c>
      <c r="I17" s="45">
        <f>平成19年度!J17+平成19年度!K17</f>
        <v>76179</v>
      </c>
      <c r="J17" s="46">
        <f>100626-K17-M17-N17</f>
        <v>53665</v>
      </c>
      <c r="K17" s="49">
        <v>22514</v>
      </c>
      <c r="L17" s="45">
        <f>平成19年度!M17+平成19年度!N17</f>
        <v>24447</v>
      </c>
      <c r="M17" s="46">
        <v>16563</v>
      </c>
      <c r="N17" s="47">
        <v>7884</v>
      </c>
      <c r="O17" s="319">
        <v>27836</v>
      </c>
      <c r="P17" s="45">
        <f t="shared" si="1"/>
        <v>20569</v>
      </c>
      <c r="Q17" s="47">
        <v>7267</v>
      </c>
      <c r="R17" s="394">
        <v>124305</v>
      </c>
      <c r="S17" s="46">
        <v>313817</v>
      </c>
      <c r="T17" s="50">
        <f>平成19年度!C17/平成19年度!R17</f>
        <v>0.44237158601826154</v>
      </c>
      <c r="U17" s="51">
        <f>平成19年度!H17/平成19年度!S17</f>
        <v>0.32065184486500092</v>
      </c>
      <c r="V17" s="52">
        <f>平成19年度!L17/平成19年度!H17</f>
        <v>0.24294913839365573</v>
      </c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2:44" ht="20.149999999999999" customHeight="1" thickTop="1" x14ac:dyDescent="0.2">
      <c r="B18" s="378" t="s">
        <v>50</v>
      </c>
      <c r="C18" s="319">
        <v>54915</v>
      </c>
      <c r="D18" s="55">
        <f>平成19年度!E18+平成19年度!F18</f>
        <v>43433</v>
      </c>
      <c r="E18" s="55">
        <f>平成19年度!C18-平成19年度!G18-平成19年度!F18</f>
        <v>40128</v>
      </c>
      <c r="F18" s="46">
        <v>3305</v>
      </c>
      <c r="G18" s="47">
        <v>11482</v>
      </c>
      <c r="H18" s="315">
        <f t="shared" si="0"/>
        <v>100440</v>
      </c>
      <c r="I18" s="55">
        <f>平成19年度!J18+平成19年度!K18</f>
        <v>76091</v>
      </c>
      <c r="J18" s="46">
        <f>100440-K18-M18-N18</f>
        <v>53485</v>
      </c>
      <c r="K18" s="49">
        <v>22606</v>
      </c>
      <c r="L18" s="55">
        <f>平成19年度!M18+平成19年度!N18</f>
        <v>24349</v>
      </c>
      <c r="M18" s="46">
        <v>16486</v>
      </c>
      <c r="N18" s="47">
        <v>7863</v>
      </c>
      <c r="O18" s="319">
        <v>27584</v>
      </c>
      <c r="P18" s="55">
        <f t="shared" si="1"/>
        <v>20444</v>
      </c>
      <c r="Q18" s="47">
        <v>7140</v>
      </c>
      <c r="R18" s="395">
        <v>124413</v>
      </c>
      <c r="S18" s="400">
        <v>313888</v>
      </c>
      <c r="T18" s="50">
        <f>平成19年度!C18/平成19年度!R18</f>
        <v>0.44139278049721492</v>
      </c>
      <c r="U18" s="61">
        <f>平成19年度!H18/平成19年度!S18</f>
        <v>0.31998674686512385</v>
      </c>
      <c r="V18" s="62">
        <f>平成19年度!L18/平成19年度!H18</f>
        <v>0.24242333731581042</v>
      </c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ROUND(+平成19年度!AK18/平成19年度!AM18,4)</f>
        <v>0.27060000000000001</v>
      </c>
      <c r="AP18" s="22">
        <f>ROUND(+平成19年度!AL18/平成19年度!AN18,4)</f>
        <v>0.38550000000000001</v>
      </c>
    </row>
    <row r="19" spans="2:44" ht="20.149999999999999" customHeight="1" x14ac:dyDescent="0.2">
      <c r="B19" s="378" t="s">
        <v>51</v>
      </c>
      <c r="C19" s="319">
        <v>54859</v>
      </c>
      <c r="D19" s="55">
        <f>平成19年度!E19+平成19年度!F19</f>
        <v>43366</v>
      </c>
      <c r="E19" s="55">
        <f>平成19年度!C19-平成19年度!G19-平成19年度!F19</f>
        <v>40075</v>
      </c>
      <c r="F19" s="46">
        <v>3291</v>
      </c>
      <c r="G19" s="47">
        <v>11493</v>
      </c>
      <c r="H19" s="315">
        <f t="shared" si="0"/>
        <v>100160</v>
      </c>
      <c r="I19" s="55">
        <f>平成19年度!J19+平成19年度!K19</f>
        <v>75810</v>
      </c>
      <c r="J19" s="46">
        <f>100160-K19-M19-N19</f>
        <v>53409</v>
      </c>
      <c r="K19" s="49">
        <v>22401</v>
      </c>
      <c r="L19" s="55">
        <f>平成19年度!M19+平成19年度!N19</f>
        <v>24350</v>
      </c>
      <c r="M19" s="46">
        <v>16484</v>
      </c>
      <c r="N19" s="47">
        <v>7866</v>
      </c>
      <c r="O19" s="319">
        <v>27284</v>
      </c>
      <c r="P19" s="55">
        <f t="shared" si="1"/>
        <v>20279</v>
      </c>
      <c r="Q19" s="47">
        <v>7005</v>
      </c>
      <c r="R19" s="403">
        <v>124587</v>
      </c>
      <c r="S19" s="401">
        <v>313495</v>
      </c>
      <c r="T19" s="50">
        <f>平成19年度!C19/平成19年度!R19</f>
        <v>0.4403268398789601</v>
      </c>
      <c r="U19" s="61">
        <f>平成19年度!H19/平成19年度!S19</f>
        <v>0.31949472878355317</v>
      </c>
      <c r="V19" s="62">
        <f>平成19年度!L19/平成19年度!H19</f>
        <v>0.24311102236421725</v>
      </c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ROUND(+平成19年度!AK19/平成19年度!AM19,4)</f>
        <v>0.28050000000000003</v>
      </c>
      <c r="AP19" s="35">
        <f>ROUND(+平成19年度!AL19/平成19年度!AN19,4)</f>
        <v>0.39810000000000001</v>
      </c>
      <c r="AQ19" s="36">
        <f>ROUND((+平成19年度!AO19-平成19年度!AO18),4)</f>
        <v>9.9000000000000008E-3</v>
      </c>
      <c r="AR19" s="36">
        <f>ROUND((+平成19年度!AP19-平成19年度!AP18),4)</f>
        <v>1.26E-2</v>
      </c>
    </row>
    <row r="20" spans="2:44" s="404" customFormat="1" ht="20.149999999999999" customHeight="1" x14ac:dyDescent="0.2">
      <c r="B20" s="405" t="s">
        <v>52</v>
      </c>
      <c r="C20" s="406">
        <f>SUM(平成19年度!C8:C19)</f>
        <v>662461</v>
      </c>
      <c r="D20" s="407">
        <f>SUM(平成19年度!D8:D19)</f>
        <v>524825</v>
      </c>
      <c r="E20" s="408">
        <f>SUM(平成19年度!E8:E19)</f>
        <v>485156</v>
      </c>
      <c r="F20" s="408">
        <f>SUM(F8:F19)</f>
        <v>39669</v>
      </c>
      <c r="G20" s="409">
        <f>SUM(G8:G19)</f>
        <v>138394</v>
      </c>
      <c r="H20" s="406">
        <f>SUM(平成19年度!H8:H19)</f>
        <v>1216112</v>
      </c>
      <c r="I20" s="407">
        <f>SUM(平成19年度!I8:I19)</f>
        <v>922273</v>
      </c>
      <c r="J20" s="408">
        <f>SUM(平成19年度!J8:J19)</f>
        <v>653742</v>
      </c>
      <c r="K20" s="408">
        <f>SUM(平成19年度!K8:K19)</f>
        <v>268531</v>
      </c>
      <c r="L20" s="408">
        <f>SUM(平成19年度!L8:L19)</f>
        <v>293839</v>
      </c>
      <c r="M20" s="408">
        <f>SUM(平成19年度!M8:M19)</f>
        <v>199151</v>
      </c>
      <c r="N20" s="409">
        <f>SUM(平成19年度!N8:N19)</f>
        <v>94688</v>
      </c>
      <c r="O20" s="406">
        <f>SUM(平成19年度!O8:O19)</f>
        <v>340453</v>
      </c>
      <c r="P20" s="407">
        <f>SUM(平成19年度!P8:P19)</f>
        <v>250415</v>
      </c>
      <c r="Q20" s="409">
        <f>SUM(平成19年度!Q8:Q19)</f>
        <v>90038</v>
      </c>
      <c r="R20" s="410">
        <f>SUM(R8:R19)</f>
        <v>1486360</v>
      </c>
      <c r="S20" s="411">
        <f>SUM(S8:S19)</f>
        <v>3760556</v>
      </c>
      <c r="T20" s="412">
        <f>平成19年度!C20/平成19年度!R20</f>
        <v>0.44569350628380744</v>
      </c>
      <c r="U20" s="413">
        <f>平成19年度!H20/平成19年度!S20</f>
        <v>0.32338622267558309</v>
      </c>
      <c r="V20" s="414">
        <f>平成19年度!L20/平成19年度!H20</f>
        <v>0.24162165984711934</v>
      </c>
      <c r="AJ20" s="415" t="s">
        <v>1088</v>
      </c>
      <c r="AK20" s="416">
        <f>平成11年度!H19</f>
        <v>85006</v>
      </c>
      <c r="AL20" s="417">
        <f>平成11年度!C19</f>
        <v>43579</v>
      </c>
      <c r="AM20" s="418">
        <f>平成11年度!P19</f>
        <v>292833</v>
      </c>
      <c r="AN20" s="418">
        <f>平成11年度!O19</f>
        <v>106170</v>
      </c>
      <c r="AO20" s="419">
        <f>ROUND(+平成19年度!AK20/平成19年度!AM20,4)</f>
        <v>0.2903</v>
      </c>
      <c r="AP20" s="420">
        <f>ROUND(+平成19年度!AL20/平成19年度!AN20,4)</f>
        <v>0.41049999999999998</v>
      </c>
      <c r="AQ20" s="421">
        <f>ROUND((+平成19年度!AO20-平成19年度!AO19),4)</f>
        <v>9.7999999999999997E-3</v>
      </c>
      <c r="AR20" s="421">
        <f>ROUND((+平成19年度!AP20-平成19年度!AP19),4)</f>
        <v>1.24E-2</v>
      </c>
    </row>
    <row r="21" spans="2:44" s="404" customFormat="1" ht="20.149999999999999" customHeight="1" x14ac:dyDescent="0.2">
      <c r="B21" s="405" t="s">
        <v>53</v>
      </c>
      <c r="C21" s="422" t="e">
        <f>#VALUE!</f>
        <v>#VALUE!</v>
      </c>
      <c r="D21" s="422" t="e">
        <f>#VALUE!</f>
        <v>#VALUE!</v>
      </c>
      <c r="E21" s="423" t="e">
        <f>#VALUE!</f>
        <v>#VALUE!</v>
      </c>
      <c r="F21" s="423" t="e">
        <f>#VALUE!</f>
        <v>#VALUE!</v>
      </c>
      <c r="G21" s="423" t="e">
        <f>#VALUE!</f>
        <v>#VALUE!</v>
      </c>
      <c r="H21" s="406" t="e">
        <f>#VALUE!</f>
        <v>#VALUE!</v>
      </c>
      <c r="I21" s="422" t="e">
        <f>#VALUE!</f>
        <v>#VALUE!</v>
      </c>
      <c r="J21" s="422" t="e">
        <f>#VALUE!</f>
        <v>#VALUE!</v>
      </c>
      <c r="K21" s="422" t="e">
        <f>#VALUE!</f>
        <v>#VALUE!</v>
      </c>
      <c r="L21" s="423" t="e">
        <f>#VALUE!</f>
        <v>#VALUE!</v>
      </c>
      <c r="M21" s="423" t="e">
        <f>#VALUE!</f>
        <v>#VALUE!</v>
      </c>
      <c r="N21" s="424" t="e">
        <f>#VALUE!</f>
        <v>#VALUE!</v>
      </c>
      <c r="O21" s="406" t="e">
        <f>#VALUE!</f>
        <v>#VALUE!</v>
      </c>
      <c r="P21" s="422" t="e">
        <f>#VALUE!</f>
        <v>#VALUE!</v>
      </c>
      <c r="Q21" s="422" t="e">
        <f>#VALUE!</f>
        <v>#VALUE!</v>
      </c>
      <c r="R21" s="406" t="e">
        <f>#VALUE!</f>
        <v>#VALUE!</v>
      </c>
      <c r="S21" s="423" t="e">
        <f>#VALUE!</f>
        <v>#VALUE!</v>
      </c>
      <c r="T21" s="412" t="e">
        <f>平成19年度!C21/平成19年度!R21</f>
        <v>#VALUE!</v>
      </c>
      <c r="U21" s="413" t="e">
        <f>平成19年度!H21/平成19年度!S21</f>
        <v>#VALUE!</v>
      </c>
      <c r="V21" s="414" t="e">
        <f>平成19年度!L21/平成19年度!H21</f>
        <v>#VALUE!</v>
      </c>
      <c r="AJ21" s="415" t="s">
        <v>284</v>
      </c>
      <c r="AK21" s="416">
        <f>平成12年度!H19</f>
        <v>87854</v>
      </c>
      <c r="AL21" s="417">
        <f>平成12年度!C19</f>
        <v>45290</v>
      </c>
      <c r="AM21" s="418">
        <f>平成12年度!P19</f>
        <v>20917</v>
      </c>
      <c r="AN21" s="418">
        <f>平成12年度!O19</f>
        <v>27178</v>
      </c>
      <c r="AO21" s="419">
        <f>ROUND(+平成19年度!AK21/平成19年度!AM21,4)</f>
        <v>4.2000999999999999</v>
      </c>
      <c r="AP21" s="420">
        <f>ROUND(+平成19年度!AL21/平成19年度!AN21,4)</f>
        <v>1.6664000000000001</v>
      </c>
      <c r="AQ21" s="421">
        <f>ROUND((+平成19年度!AO21-平成19年度!AO20),4)</f>
        <v>3.9098000000000002</v>
      </c>
      <c r="AR21" s="421">
        <f>ROUND((+平成19年度!AP21-平成19年度!AP20),4)</f>
        <v>1.2559</v>
      </c>
    </row>
    <row r="22" spans="2:44" s="343" customFormat="1" ht="20.149999999999999" customHeight="1" x14ac:dyDescent="0.2">
      <c r="B22" s="381"/>
      <c r="C22" s="344"/>
      <c r="D22" s="383"/>
      <c r="E22" s="387"/>
      <c r="F22" s="387"/>
      <c r="G22" s="384"/>
      <c r="H22" s="344"/>
      <c r="I22" s="345"/>
      <c r="J22" s="387"/>
      <c r="K22" s="387"/>
      <c r="L22" s="346"/>
      <c r="M22" s="387"/>
      <c r="N22" s="384"/>
      <c r="O22" s="344"/>
      <c r="P22" s="383"/>
      <c r="Q22" s="384"/>
      <c r="R22" s="385"/>
      <c r="S22" s="383"/>
      <c r="T22" s="348"/>
      <c r="U22" s="348"/>
      <c r="V22" s="347"/>
      <c r="AJ22" s="349" t="s">
        <v>607</v>
      </c>
      <c r="AK22" s="350">
        <f>平成13年度!H19</f>
        <v>91363</v>
      </c>
      <c r="AL22" s="351">
        <f>平成13年度!C19</f>
        <v>47502</v>
      </c>
      <c r="AM22" s="352">
        <f>平成13年度!P19</f>
        <v>21019</v>
      </c>
      <c r="AN22" s="352">
        <f>平成13年度!O19</f>
        <v>27824</v>
      </c>
      <c r="AO22" s="353">
        <f>ROUND(+平成19年度!AK22/平成19年度!AM22,4)</f>
        <v>4.3467000000000002</v>
      </c>
      <c r="AP22" s="354">
        <f>ROUND(+平成19年度!AL22/平成19年度!AN22,4)</f>
        <v>1.7072000000000001</v>
      </c>
      <c r="AQ22" s="355">
        <f>ROUND((+平成19年度!AO22-平成19年度!AO21),4)</f>
        <v>0.14660000000000001</v>
      </c>
      <c r="AR22" s="355">
        <f>ROUND((+平成19年度!AP22-平成19年度!AP21),4)</f>
        <v>4.0800000000000003E-2</v>
      </c>
    </row>
    <row r="23" spans="2:44" ht="20.149999999999999" customHeight="1" x14ac:dyDescent="0.2">
      <c r="B23" s="377" t="s">
        <v>54</v>
      </c>
      <c r="C23" s="314">
        <f>平成19年度!C8</f>
        <v>55468</v>
      </c>
      <c r="D23" s="45">
        <f>平成19年度!D8</f>
        <v>44865</v>
      </c>
      <c r="E23" s="79">
        <f>平成19年度!E8</f>
        <v>41585</v>
      </c>
      <c r="F23" s="79">
        <f>平成19年度!F8</f>
        <v>3280</v>
      </c>
      <c r="G23" s="80">
        <f>平成19年度!G8</f>
        <v>11361</v>
      </c>
      <c r="H23" s="314">
        <f>平成19年度!H8</f>
        <v>102502</v>
      </c>
      <c r="I23" s="45">
        <f>平成19年度!I8</f>
        <v>78279</v>
      </c>
      <c r="J23" s="79">
        <f>平成19年度!J8</f>
        <v>55706</v>
      </c>
      <c r="K23" s="79">
        <f>平成19年度!K8</f>
        <v>22573</v>
      </c>
      <c r="L23" s="79">
        <f>平成19年度!L8</f>
        <v>24223</v>
      </c>
      <c r="M23" s="79">
        <f>平成19年度!M8</f>
        <v>16403</v>
      </c>
      <c r="N23" s="80">
        <f>平成19年度!N8</f>
        <v>7820</v>
      </c>
      <c r="O23" s="314">
        <f>平成19年度!O8</f>
        <v>29128</v>
      </c>
      <c r="P23" s="45">
        <f>平成19年度!P8</f>
        <v>21325</v>
      </c>
      <c r="Q23" s="80">
        <f>平成19年度!Q8</f>
        <v>7803</v>
      </c>
      <c r="R23" s="48">
        <f>平成19年度!R8</f>
        <v>122862</v>
      </c>
      <c r="S23" s="45">
        <f>平成19年度!S8</f>
        <v>312460</v>
      </c>
      <c r="T23" s="50">
        <f>平成19年度!C23/平成19年度!R23</f>
        <v>0.45146587227946799</v>
      </c>
      <c r="U23" s="51">
        <f>平成19年度!H23/平成19年度!S23</f>
        <v>0.32804839019394483</v>
      </c>
      <c r="V23" s="52">
        <f>平成19年度!L23/平成19年度!H23</f>
        <v>0.23631734014946049</v>
      </c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ROUND(+平成19年度!AK23/平成19年度!AM23,4)</f>
        <v>4.4180999999999999</v>
      </c>
      <c r="AP23" s="68">
        <f>ROUND(+平成19年度!AL23/平成19年度!AN23,4)</f>
        <v>1.7375</v>
      </c>
      <c r="AQ23" s="36">
        <f>ROUND((+平成19年度!AO23-平成19年度!AO22),4)</f>
        <v>7.1400000000000005E-2</v>
      </c>
      <c r="AR23" s="36">
        <f>ROUND((+平成19年度!AP23-平成19年度!AP22),4)</f>
        <v>3.0300000000000001E-2</v>
      </c>
    </row>
    <row r="24" spans="2:44" ht="20.149999999999999" customHeight="1" x14ac:dyDescent="0.2">
      <c r="B24" s="378" t="s">
        <v>55</v>
      </c>
      <c r="C24" s="315">
        <f>SUM(平成19年度!C8:C9)</f>
        <v>110865</v>
      </c>
      <c r="D24" s="55">
        <f>SUM(平成19年度!D8:D9)</f>
        <v>88874</v>
      </c>
      <c r="E24" s="89">
        <f>SUM(平成19年度!E8:E9)</f>
        <v>82325</v>
      </c>
      <c r="F24" s="89">
        <f>SUM(平成19年度!F8:F9)</f>
        <v>6549</v>
      </c>
      <c r="G24" s="90">
        <f>SUM(平成19年度!G8:G9)</f>
        <v>22749</v>
      </c>
      <c r="H24" s="315">
        <f>SUM(平成19年度!H8:H9)</f>
        <v>204689</v>
      </c>
      <c r="I24" s="55">
        <f>SUM(平成19年度!I8:I9)</f>
        <v>156230</v>
      </c>
      <c r="J24" s="89">
        <f>SUM(平成19年度!J8:J9)</f>
        <v>111170</v>
      </c>
      <c r="K24" s="89">
        <f>SUM(平成19年度!K8:K9)</f>
        <v>45060</v>
      </c>
      <c r="L24" s="89">
        <f>SUM(平成19年度!L8:L9)</f>
        <v>48459</v>
      </c>
      <c r="M24" s="89">
        <f>SUM(平成19年度!M8:M9)</f>
        <v>32828</v>
      </c>
      <c r="N24" s="90">
        <f>SUM(平成19年度!N8:N9)</f>
        <v>15631</v>
      </c>
      <c r="O24" s="315">
        <f>SUM(平成19年度!O8:O9)</f>
        <v>58151</v>
      </c>
      <c r="P24" s="55">
        <f>SUM(平成19年度!P8:P9)</f>
        <v>42645</v>
      </c>
      <c r="Q24" s="90">
        <f>SUM(平成19年度!Q8:Q9)</f>
        <v>15506</v>
      </c>
      <c r="R24" s="58">
        <f>SUM(平成19年度!R8:R9)</f>
        <v>246080</v>
      </c>
      <c r="S24" s="55">
        <f>SUM(平成19年度!S8:S9)</f>
        <v>625311</v>
      </c>
      <c r="T24" s="60">
        <f>平成19年度!C24/平成19年度!R24</f>
        <v>0.45052421976592977</v>
      </c>
      <c r="U24" s="61">
        <f>平成19年度!H24/平成19年度!S24</f>
        <v>0.32733951585690962</v>
      </c>
      <c r="V24" s="62">
        <f>平成19年度!L24/平成19年度!H24</f>
        <v>0.23674452462027759</v>
      </c>
      <c r="AJ24" s="69" t="s">
        <v>907</v>
      </c>
      <c r="AK24" s="70">
        <f>平成19年度!H14</f>
        <v>101318</v>
      </c>
      <c r="AL24" s="71">
        <f>平成19年度!C14</f>
        <v>55253</v>
      </c>
      <c r="AM24" s="72">
        <f>平成19年度!S14</f>
        <v>313641</v>
      </c>
      <c r="AN24" s="72">
        <f>平成19年度!R14</f>
        <v>124075</v>
      </c>
      <c r="AO24" s="73">
        <f>ROUND(+平成19年度!AK24/平成19年度!AM24,4)</f>
        <v>0.32300000000000001</v>
      </c>
      <c r="AP24" s="74">
        <f>ROUND(+平成19年度!AL24/平成19年度!AN24,4)</f>
        <v>0.44529999999999997</v>
      </c>
      <c r="AQ24" s="36">
        <f>ROUND((+平成19年度!AO24-平成19年度!AO23),4)</f>
        <v>-4.0951000000000004</v>
      </c>
      <c r="AR24" s="36">
        <f>ROUND((+平成19年度!AP24-平成19年度!AP23),4)</f>
        <v>-1.2922</v>
      </c>
    </row>
    <row r="25" spans="2:44" ht="20.149999999999999" customHeight="1" x14ac:dyDescent="0.2">
      <c r="B25" s="378" t="s">
        <v>56</v>
      </c>
      <c r="C25" s="315">
        <f>SUM(平成19年度!C8:C10)</f>
        <v>166295</v>
      </c>
      <c r="D25" s="55">
        <f>SUM(平成19年度!D8:D10)</f>
        <v>132783</v>
      </c>
      <c r="E25" s="89">
        <f>SUM(平成19年度!E8:E10)</f>
        <v>122946</v>
      </c>
      <c r="F25" s="89">
        <f>SUM(平成19年度!F8:F10)</f>
        <v>9837</v>
      </c>
      <c r="G25" s="90">
        <f>SUM(平成19年度!G8:G10)</f>
        <v>34270</v>
      </c>
      <c r="H25" s="315">
        <f>SUM(平成19年度!H8:H10)</f>
        <v>306855</v>
      </c>
      <c r="I25" s="55">
        <f>SUM(平成19年度!I8:I10)</f>
        <v>233901</v>
      </c>
      <c r="J25" s="89">
        <f>SUM(平成19年度!J8:J10)</f>
        <v>166441</v>
      </c>
      <c r="K25" s="89">
        <f>SUM(平成19年度!K8:K10)</f>
        <v>67460</v>
      </c>
      <c r="L25" s="89">
        <f>SUM(平成19年度!L8:L10)</f>
        <v>72954</v>
      </c>
      <c r="M25" s="89">
        <f>SUM(平成19年度!M8:M10)</f>
        <v>49428</v>
      </c>
      <c r="N25" s="90">
        <f>SUM(平成19年度!N8:N10)</f>
        <v>23526</v>
      </c>
      <c r="O25" s="315">
        <f>SUM(平成19年度!O8:O10)</f>
        <v>87122</v>
      </c>
      <c r="P25" s="55">
        <f>SUM(平成19年度!P8:P10)</f>
        <v>63821</v>
      </c>
      <c r="Q25" s="90">
        <f>SUM(平成19年度!Q8:Q10)</f>
        <v>23301</v>
      </c>
      <c r="R25" s="58">
        <f>SUM(平成19年度!R8:R10)</f>
        <v>369499</v>
      </c>
      <c r="S25" s="55">
        <f>SUM(平成19年度!S8:S10)</f>
        <v>938307</v>
      </c>
      <c r="T25" s="60">
        <f>平成19年度!C25/平成19年度!R25</f>
        <v>0.45005534521067714</v>
      </c>
      <c r="U25" s="61">
        <f>平成19年度!H25/平成19年度!S25</f>
        <v>0.32703049215235525</v>
      </c>
      <c r="V25" s="62">
        <f>平成19年度!L25/平成19年度!H25</f>
        <v>0.23774747030356358</v>
      </c>
      <c r="AJ25" s="1" t="s">
        <v>1137</v>
      </c>
    </row>
    <row r="26" spans="2:44" ht="20.149999999999999" customHeight="1" x14ac:dyDescent="0.2">
      <c r="B26" s="378" t="s">
        <v>57</v>
      </c>
      <c r="C26" s="315">
        <f>SUM(平成19年度!C8:C11)</f>
        <v>221681</v>
      </c>
      <c r="D26" s="55">
        <f>SUM(平成19年度!D8:D11)</f>
        <v>176575</v>
      </c>
      <c r="E26" s="89">
        <f>SUM(平成19年度!E8:E11)</f>
        <v>163439</v>
      </c>
      <c r="F26" s="89">
        <f>SUM(平成19年度!F8:F11)</f>
        <v>13136</v>
      </c>
      <c r="G26" s="90">
        <f>SUM(平成19年度!G8:G11)</f>
        <v>45864</v>
      </c>
      <c r="H26" s="315">
        <f>SUM(平成19年度!H8:H11)</f>
        <v>408770</v>
      </c>
      <c r="I26" s="55">
        <f>SUM(平成19年度!I8:I11)</f>
        <v>311189</v>
      </c>
      <c r="J26" s="89">
        <f>SUM(平成19年度!J8:J11)</f>
        <v>221415</v>
      </c>
      <c r="K26" s="89">
        <f>SUM(平成19年度!K8:K11)</f>
        <v>89774</v>
      </c>
      <c r="L26" s="89">
        <f>SUM(平成19年度!L8:L11)</f>
        <v>97581</v>
      </c>
      <c r="M26" s="89">
        <f>SUM(平成19年度!M8:M11)</f>
        <v>66115</v>
      </c>
      <c r="N26" s="90">
        <f>SUM(平成19年度!N8:N11)</f>
        <v>31466</v>
      </c>
      <c r="O26" s="315">
        <f>SUM(平成19年度!O8:O11)</f>
        <v>115984</v>
      </c>
      <c r="P26" s="55">
        <f>SUM(平成19年度!P8:P11)</f>
        <v>84888</v>
      </c>
      <c r="Q26" s="90">
        <f>SUM(平成19年度!Q8:Q11)</f>
        <v>31096</v>
      </c>
      <c r="R26" s="58">
        <f>SUM(平成19年度!R8:R11)</f>
        <v>493080</v>
      </c>
      <c r="S26" s="55">
        <f>SUM(平成19年度!S8:S11)</f>
        <v>1251492</v>
      </c>
      <c r="T26" s="60">
        <f>平成19年度!C26/平成19年度!R26</f>
        <v>0.44958424596414376</v>
      </c>
      <c r="U26" s="61">
        <f>平成19年度!H26/平成19年度!S26</f>
        <v>0.32662613904044135</v>
      </c>
      <c r="V26" s="62">
        <f>平成19年度!L26/平成19年度!H26</f>
        <v>0.23871859480881669</v>
      </c>
      <c r="AJ26" s="69" t="s">
        <v>1106</v>
      </c>
      <c r="AK26" s="76">
        <f>平成19年度!AK23/平成19年度!AK18</f>
        <v>1.2014763517369964</v>
      </c>
      <c r="AL26" s="77">
        <f>平成19年度!AL23/平成19年度!AL18</f>
        <v>1.241609726688103</v>
      </c>
      <c r="AM26" s="77">
        <f>平成19年度!AM23/平成19年度!AM18</f>
        <v>7.3587858569634068E-2</v>
      </c>
      <c r="AN26" s="77">
        <f>平成19年度!AN23/平成19年度!AN18</f>
        <v>0.27549271221732602</v>
      </c>
      <c r="AO26" s="78">
        <f>平成19年度!AO23/平成19年度!AO18</f>
        <v>16.327050997782706</v>
      </c>
      <c r="AP26" s="74">
        <f>平成19年度!AP23/平成19年度!AP18</f>
        <v>4.5071335927367056</v>
      </c>
    </row>
    <row r="27" spans="2:44" ht="20.149999999999999" customHeight="1" x14ac:dyDescent="0.2">
      <c r="B27" s="378" t="s">
        <v>58</v>
      </c>
      <c r="C27" s="315">
        <f>SUM(平成19年度!C8:C12)</f>
        <v>276990</v>
      </c>
      <c r="D27" s="55">
        <f>SUM(平成19年度!D8:D12)</f>
        <v>220256</v>
      </c>
      <c r="E27" s="89">
        <f>SUM(平成19年度!E8:E12)</f>
        <v>203785</v>
      </c>
      <c r="F27" s="89">
        <f>SUM(平成19年度!F8:F12)</f>
        <v>16471</v>
      </c>
      <c r="G27" s="90">
        <f>SUM(平成19年度!G8:G12)</f>
        <v>57492</v>
      </c>
      <c r="H27" s="315">
        <f>SUM(平成19年度!H8:H12)</f>
        <v>510403</v>
      </c>
      <c r="I27" s="55">
        <f>SUM(平成19年度!I8:I12)</f>
        <v>388119</v>
      </c>
      <c r="J27" s="89">
        <f>SUM(平成19年度!J8:J12)</f>
        <v>276112</v>
      </c>
      <c r="K27" s="89">
        <f>SUM(平成19年度!K8:K12)</f>
        <v>112007</v>
      </c>
      <c r="L27" s="89">
        <f>SUM(平成19年度!L8:L12)</f>
        <v>122284</v>
      </c>
      <c r="M27" s="89">
        <f>SUM(平成19年度!M8:M12)</f>
        <v>82875</v>
      </c>
      <c r="N27" s="90">
        <f>SUM(平成19年度!N8:N12)</f>
        <v>39409</v>
      </c>
      <c r="O27" s="315">
        <f>SUM(平成19年度!O8:O12)</f>
        <v>144638</v>
      </c>
      <c r="P27" s="55">
        <f>SUM(平成19年度!P8:P12)</f>
        <v>105840</v>
      </c>
      <c r="Q27" s="90">
        <f>SUM(平成19年度!Q8:Q12)</f>
        <v>38798</v>
      </c>
      <c r="R27" s="58">
        <f>SUM(平成19年度!R8:R12)</f>
        <v>616760</v>
      </c>
      <c r="S27" s="55">
        <f>SUM(平成19年度!S8:S12)</f>
        <v>1564826</v>
      </c>
      <c r="T27" s="60">
        <f>平成19年度!C27/平成19年度!R27</f>
        <v>0.44910500032427525</v>
      </c>
      <c r="U27" s="61">
        <f>平成19年度!H27/平成19年度!S27</f>
        <v>0.3261723667679346</v>
      </c>
      <c r="V27" s="62">
        <f>平成19年度!L27/平成19年度!H27</f>
        <v>0.23958323128978473</v>
      </c>
    </row>
    <row r="28" spans="2:44" ht="20.149999999999999" customHeight="1" x14ac:dyDescent="0.2">
      <c r="B28" s="378" t="s">
        <v>59</v>
      </c>
      <c r="C28" s="315">
        <f>SUM(平成19年度!C8:C13)</f>
        <v>332248</v>
      </c>
      <c r="D28" s="55">
        <f>SUM(平成19年度!D8:D13)</f>
        <v>263886</v>
      </c>
      <c r="E28" s="89">
        <f>SUM(平成19年度!E8:E13)</f>
        <v>244082</v>
      </c>
      <c r="F28" s="89">
        <f>SUM(平成19年度!F8:F13)</f>
        <v>19804</v>
      </c>
      <c r="G28" s="90">
        <f>SUM(平成19年度!G8:G13)</f>
        <v>69120</v>
      </c>
      <c r="H28" s="315">
        <f>SUM(平成19年度!H8:H13)</f>
        <v>611791</v>
      </c>
      <c r="I28" s="55">
        <f>SUM(平成19年度!I8:I13)</f>
        <v>464813</v>
      </c>
      <c r="J28" s="89">
        <f>SUM(平成19年度!J8:J13)</f>
        <v>330684</v>
      </c>
      <c r="K28" s="89">
        <f>SUM(平成19年度!K8:K13)</f>
        <v>134129</v>
      </c>
      <c r="L28" s="89">
        <f>SUM(平成19年度!L8:L13)</f>
        <v>146978</v>
      </c>
      <c r="M28" s="89">
        <f>SUM(平成19年度!M8:M13)</f>
        <v>99633</v>
      </c>
      <c r="N28" s="90">
        <f>SUM(平成19年度!N8:N13)</f>
        <v>47345</v>
      </c>
      <c r="O28" s="315">
        <f>SUM(平成19年度!O8:O13)</f>
        <v>173117</v>
      </c>
      <c r="P28" s="55">
        <f>SUM(平成19年度!P8:P13)</f>
        <v>126726</v>
      </c>
      <c r="Q28" s="90">
        <f>SUM(平成19年度!Q8:Q13)</f>
        <v>46391</v>
      </c>
      <c r="R28" s="58">
        <f>SUM(平成19年度!R8:R13)</f>
        <v>740612</v>
      </c>
      <c r="S28" s="55">
        <f>SUM(平成19年度!S8:S13)</f>
        <v>1878229</v>
      </c>
      <c r="T28" s="60">
        <f>平成19年度!C28/平成19年度!R28</f>
        <v>0.44861276889923468</v>
      </c>
      <c r="U28" s="61">
        <f>平成19年度!H28/平成19年度!S28</f>
        <v>0.32572758699817755</v>
      </c>
      <c r="V28" s="62">
        <f>平成19年度!L28/平成19年度!H28</f>
        <v>0.24024217420655092</v>
      </c>
    </row>
    <row r="29" spans="2:44" ht="20.149999999999999" customHeight="1" x14ac:dyDescent="0.2">
      <c r="B29" s="378" t="s">
        <v>60</v>
      </c>
      <c r="C29" s="315">
        <f>SUM(平成19年度!C8:C14)</f>
        <v>387501</v>
      </c>
      <c r="D29" s="55">
        <f>SUM(平成19年度!D8:D14)</f>
        <v>307526</v>
      </c>
      <c r="E29" s="89">
        <f>SUM(平成19年度!E8:E14)</f>
        <v>284400</v>
      </c>
      <c r="F29" s="89">
        <f>SUM(平成19年度!F8:F14)</f>
        <v>23126</v>
      </c>
      <c r="G29" s="90">
        <f>SUM(平成19年度!G8:G14)</f>
        <v>80733</v>
      </c>
      <c r="H29" s="315">
        <f>SUM(平成19年度!H8:H14)</f>
        <v>713109</v>
      </c>
      <c r="I29" s="55">
        <f>SUM(平成19年度!I8:I14)</f>
        <v>541488</v>
      </c>
      <c r="J29" s="89">
        <f>SUM(平成19年度!J8:J14)</f>
        <v>385113</v>
      </c>
      <c r="K29" s="89">
        <f>SUM(平成19年度!K8:K14)</f>
        <v>156375</v>
      </c>
      <c r="L29" s="89">
        <f>SUM(平成19年度!L8:L14)</f>
        <v>171621</v>
      </c>
      <c r="M29" s="89">
        <f>SUM(平成19年度!M8:M14)</f>
        <v>116342</v>
      </c>
      <c r="N29" s="90">
        <f>SUM(平成19年度!N8:N14)</f>
        <v>55279</v>
      </c>
      <c r="O29" s="315">
        <f>SUM(平成19年度!O8:O14)</f>
        <v>201511</v>
      </c>
      <c r="P29" s="55">
        <f>SUM(平成19年度!P8:P14)</f>
        <v>147613</v>
      </c>
      <c r="Q29" s="90">
        <f>SUM(平成19年度!Q8:Q14)</f>
        <v>53898</v>
      </c>
      <c r="R29" s="58">
        <f>SUM(平成19年度!R8:R14)</f>
        <v>864687</v>
      </c>
      <c r="S29" s="55">
        <f>SUM(平成19年度!S8:S14)</f>
        <v>2191870</v>
      </c>
      <c r="T29" s="60">
        <f>平成19年度!C29/平成19年度!R29</f>
        <v>0.44814019408178912</v>
      </c>
      <c r="U29" s="61">
        <f>平成19年度!H29/平成19年度!S29</f>
        <v>0.32534274386710893</v>
      </c>
      <c r="V29" s="62">
        <f>平成19年度!L29/平成19年度!H29</f>
        <v>0.24066587295911285</v>
      </c>
    </row>
    <row r="30" spans="2:44" ht="20.149999999999999" customHeight="1" x14ac:dyDescent="0.2">
      <c r="B30" s="378" t="s">
        <v>61</v>
      </c>
      <c r="C30" s="315">
        <f>SUM(平成19年度!C8:C15)</f>
        <v>442670</v>
      </c>
      <c r="D30" s="55">
        <f>SUM(平成19年度!D8:D15)</f>
        <v>351127</v>
      </c>
      <c r="E30" s="89">
        <f>SUM(平成19年度!E8:E15)</f>
        <v>324684</v>
      </c>
      <c r="F30" s="89">
        <f>SUM(平成19年度!F8:F15)</f>
        <v>26443</v>
      </c>
      <c r="G30" s="90">
        <f>SUM(平成19年度!G8:G15)</f>
        <v>92301</v>
      </c>
      <c r="H30" s="315">
        <f>SUM(平成19年度!H8:H15)</f>
        <v>814130</v>
      </c>
      <c r="I30" s="55">
        <f>SUM(平成19年度!I8:I15)</f>
        <v>617977</v>
      </c>
      <c r="J30" s="89">
        <f>SUM(平成19年度!J8:J15)</f>
        <v>439324</v>
      </c>
      <c r="K30" s="89">
        <f>SUM(平成19年度!K8:K15)</f>
        <v>178653</v>
      </c>
      <c r="L30" s="89">
        <f>SUM(平成19年度!L8:L15)</f>
        <v>196153</v>
      </c>
      <c r="M30" s="89">
        <f>SUM(平成19年度!M8:M15)</f>
        <v>132978</v>
      </c>
      <c r="N30" s="90">
        <f>SUM(平成19年度!N8:N15)</f>
        <v>63175</v>
      </c>
      <c r="O30" s="315">
        <f>SUM(平成19年度!O8:O15)</f>
        <v>229719</v>
      </c>
      <c r="P30" s="55">
        <f>SUM(平成19年度!P8:P15)</f>
        <v>168439</v>
      </c>
      <c r="Q30" s="90">
        <f>SUM(平成19年度!Q8:Q15)</f>
        <v>61280</v>
      </c>
      <c r="R30" s="58">
        <f>SUM(平成19年度!R8:R15)</f>
        <v>988875</v>
      </c>
      <c r="S30" s="55">
        <f>SUM(平成19年度!S8:S15)</f>
        <v>2505651</v>
      </c>
      <c r="T30" s="60">
        <f>平成19年度!C30/平成19年度!R30</f>
        <v>0.44765010744532929</v>
      </c>
      <c r="U30" s="61">
        <f>平成19年度!H30/平成19年度!S30</f>
        <v>0.32491755635561376</v>
      </c>
      <c r="V30" s="62">
        <f>平成19年度!L30/平成19年度!H30</f>
        <v>0.24093572279611364</v>
      </c>
    </row>
    <row r="31" spans="2:44" ht="20.149999999999999" customHeight="1" x14ac:dyDescent="0.2">
      <c r="B31" s="378" t="s">
        <v>62</v>
      </c>
      <c r="C31" s="315">
        <f>SUM(平成19年度!C8:C16)</f>
        <v>497698</v>
      </c>
      <c r="D31" s="55">
        <f>SUM(平成19年度!D8:D16)</f>
        <v>394573</v>
      </c>
      <c r="E31" s="89">
        <f>SUM(平成19年度!E8:E16)</f>
        <v>364815</v>
      </c>
      <c r="F31" s="89">
        <f>SUM(平成19年度!F8:F16)</f>
        <v>29758</v>
      </c>
      <c r="G31" s="90">
        <f>SUM(平成19年度!G8:G16)</f>
        <v>103883</v>
      </c>
      <c r="H31" s="315">
        <f>SUM(平成19年度!H8:H16)</f>
        <v>914886</v>
      </c>
      <c r="I31" s="55">
        <f>SUM(平成19年度!I8:I16)</f>
        <v>694193</v>
      </c>
      <c r="J31" s="89">
        <f>SUM(平成19年度!J8:J16)</f>
        <v>493183</v>
      </c>
      <c r="K31" s="89">
        <f>SUM(平成19年度!K8:K16)</f>
        <v>201010</v>
      </c>
      <c r="L31" s="89">
        <f>SUM(平成19年度!L8:L16)</f>
        <v>220693</v>
      </c>
      <c r="M31" s="89">
        <f>SUM(平成19年度!M8:M16)</f>
        <v>149618</v>
      </c>
      <c r="N31" s="90">
        <f>SUM(平成19年度!N8:N16)</f>
        <v>71075</v>
      </c>
      <c r="O31" s="315">
        <f>SUM(平成19年度!O8:O16)</f>
        <v>257749</v>
      </c>
      <c r="P31" s="55">
        <f>SUM(平成19年度!P8:P16)</f>
        <v>189123</v>
      </c>
      <c r="Q31" s="90">
        <f>SUM(平成19年度!Q8:Q16)</f>
        <v>68626</v>
      </c>
      <c r="R31" s="58">
        <f>SUM(平成19年度!R8:R16)</f>
        <v>1113055</v>
      </c>
      <c r="S31" s="55">
        <f>SUM(平成19年度!S8:S16)</f>
        <v>2819356</v>
      </c>
      <c r="T31" s="60">
        <f>平成19年度!C31/平成19年度!R31</f>
        <v>0.44714591821608096</v>
      </c>
      <c r="U31" s="61">
        <f>平成19年度!H31/平成19年度!S31</f>
        <v>0.32450176565144662</v>
      </c>
      <c r="V31" s="62">
        <f>平成19年度!L31/平成19年度!H31</f>
        <v>0.24122458973030519</v>
      </c>
    </row>
    <row r="32" spans="2:44" ht="20.149999999999999" customHeight="1" x14ac:dyDescent="0.2">
      <c r="B32" s="378" t="s">
        <v>63</v>
      </c>
      <c r="C32" s="315">
        <f>SUM(平成19年度!C8:C17)</f>
        <v>552687</v>
      </c>
      <c r="D32" s="55">
        <f>SUM(平成19年度!D8:D17)</f>
        <v>438026</v>
      </c>
      <c r="E32" s="89">
        <f>SUM(平成19年度!E8:E17)</f>
        <v>404953</v>
      </c>
      <c r="F32" s="89">
        <f>SUM(平成19年度!F8:F17)</f>
        <v>33073</v>
      </c>
      <c r="G32" s="90">
        <f>SUM(平成19年度!G8:G17)</f>
        <v>115419</v>
      </c>
      <c r="H32" s="315">
        <f>SUM(平成19年度!H8:H17)</f>
        <v>1015512</v>
      </c>
      <c r="I32" s="55">
        <f>SUM(平成19年度!I8:I17)</f>
        <v>770372</v>
      </c>
      <c r="J32" s="89">
        <f>SUM(平成19年度!J8:J17)</f>
        <v>546848</v>
      </c>
      <c r="K32" s="89">
        <f>SUM(平成19年度!K8:K17)</f>
        <v>223524</v>
      </c>
      <c r="L32" s="89">
        <f>SUM(平成19年度!L8:L17)</f>
        <v>245140</v>
      </c>
      <c r="M32" s="89">
        <f>SUM(平成19年度!M8:M17)</f>
        <v>166181</v>
      </c>
      <c r="N32" s="90">
        <f>SUM(平成19年度!N8:N17)</f>
        <v>78959</v>
      </c>
      <c r="O32" s="315">
        <f>SUM(平成19年度!O8:O17)</f>
        <v>285585</v>
      </c>
      <c r="P32" s="55">
        <f>SUM(平成19年度!P8:P17)</f>
        <v>209692</v>
      </c>
      <c r="Q32" s="90">
        <f>SUM(平成19年度!Q8:Q17)</f>
        <v>75893</v>
      </c>
      <c r="R32" s="58">
        <f>SUM(平成19年度!R8:R17)</f>
        <v>1237360</v>
      </c>
      <c r="S32" s="55">
        <f>SUM(平成19年度!S8:S17)</f>
        <v>3133173</v>
      </c>
      <c r="T32" s="60">
        <f>平成19年度!C32/平成19年度!R32</f>
        <v>0.44666628951962239</v>
      </c>
      <c r="U32" s="61">
        <f>平成19年度!H32/平成19年度!S32</f>
        <v>0.32411615956093071</v>
      </c>
      <c r="V32" s="62">
        <f>平成19年度!L32/平成19年度!H32</f>
        <v>0.24139547341636533</v>
      </c>
    </row>
    <row r="33" spans="2:35" ht="20.149999999999999" customHeight="1" x14ac:dyDescent="0.2">
      <c r="B33" s="378" t="s">
        <v>64</v>
      </c>
      <c r="C33" s="315">
        <f>SUM(平成19年度!C8:C18)</f>
        <v>607602</v>
      </c>
      <c r="D33" s="55">
        <f>SUM(平成19年度!D8:D18)</f>
        <v>481459</v>
      </c>
      <c r="E33" s="89">
        <f>SUM(平成19年度!E8:E18)</f>
        <v>445081</v>
      </c>
      <c r="F33" s="89">
        <f>SUM(平成19年度!F8:F18)</f>
        <v>36378</v>
      </c>
      <c r="G33" s="90">
        <f>SUM(平成19年度!G8:G18)</f>
        <v>126901</v>
      </c>
      <c r="H33" s="315">
        <f>SUM(平成19年度!H8:H18)</f>
        <v>1115952</v>
      </c>
      <c r="I33" s="55">
        <f>SUM(平成19年度!I8:I18)</f>
        <v>846463</v>
      </c>
      <c r="J33" s="89">
        <f>SUM(平成19年度!J8:J18)</f>
        <v>600333</v>
      </c>
      <c r="K33" s="89">
        <f>SUM(平成19年度!K8:K18)</f>
        <v>246130</v>
      </c>
      <c r="L33" s="89">
        <f>SUM(平成19年度!L8:L18)</f>
        <v>269489</v>
      </c>
      <c r="M33" s="89">
        <f>SUM(平成19年度!M8:M18)</f>
        <v>182667</v>
      </c>
      <c r="N33" s="90">
        <f>SUM(平成19年度!N8:N18)</f>
        <v>86822</v>
      </c>
      <c r="O33" s="315">
        <f>SUM(平成19年度!O8:O18)</f>
        <v>313169</v>
      </c>
      <c r="P33" s="55">
        <f>SUM(平成19年度!P8:P18)</f>
        <v>230136</v>
      </c>
      <c r="Q33" s="90">
        <f>SUM(平成19年度!Q8:Q18)</f>
        <v>83033</v>
      </c>
      <c r="R33" s="58">
        <f>SUM(平成19年度!R8:R18)</f>
        <v>1361773</v>
      </c>
      <c r="S33" s="55">
        <f>SUM(平成19年度!S8:S18)</f>
        <v>3447061</v>
      </c>
      <c r="T33" s="60">
        <f>平成19年度!C33/平成19年度!R33</f>
        <v>0.44618449624129719</v>
      </c>
      <c r="U33" s="61">
        <f>平成19年度!H33/平成19年度!S33</f>
        <v>0.32374013688762687</v>
      </c>
      <c r="V33" s="62">
        <f>平成19年度!L33/平成19年度!H33</f>
        <v>0.24148798514631453</v>
      </c>
    </row>
    <row r="34" spans="2:35" ht="20.149999999999999" customHeight="1" thickBot="1" x14ac:dyDescent="0.25">
      <c r="B34" s="379" t="s">
        <v>65</v>
      </c>
      <c r="C34" s="366">
        <f>SUM(平成19年度!C8:C19)</f>
        <v>662461</v>
      </c>
      <c r="D34" s="367">
        <f>SUM(平成19年度!D8:D19)</f>
        <v>524825</v>
      </c>
      <c r="E34" s="368">
        <f>SUM(平成19年度!E8:E19)</f>
        <v>485156</v>
      </c>
      <c r="F34" s="368">
        <f>SUM(平成19年度!F8:F19)</f>
        <v>39669</v>
      </c>
      <c r="G34" s="369">
        <f>SUM(平成19年度!G8:G19)</f>
        <v>138394</v>
      </c>
      <c r="H34" s="366">
        <f>SUM(平成19年度!H8:H19)</f>
        <v>1216112</v>
      </c>
      <c r="I34" s="367">
        <f>SUM(平成19年度!I8:I19)</f>
        <v>922273</v>
      </c>
      <c r="J34" s="368">
        <f>SUM(平成19年度!J8:J19)</f>
        <v>653742</v>
      </c>
      <c r="K34" s="368">
        <f>SUM(平成19年度!K8:K19)</f>
        <v>268531</v>
      </c>
      <c r="L34" s="368">
        <f>SUM(平成19年度!L8:L19)</f>
        <v>293839</v>
      </c>
      <c r="M34" s="368">
        <f>SUM(平成19年度!M8:M19)</f>
        <v>199151</v>
      </c>
      <c r="N34" s="369">
        <f>SUM(平成19年度!N8:N19)</f>
        <v>94688</v>
      </c>
      <c r="O34" s="366">
        <f>SUM(平成19年度!O8:O19)</f>
        <v>340453</v>
      </c>
      <c r="P34" s="367">
        <f>SUM(平成19年度!P8:P19)</f>
        <v>250415</v>
      </c>
      <c r="Q34" s="369">
        <f>SUM(平成19年度!Q8:Q19)</f>
        <v>90038</v>
      </c>
      <c r="R34" s="370">
        <f>SUM(平成19年度!R8:R19)</f>
        <v>1486360</v>
      </c>
      <c r="S34" s="367">
        <f>SUM(平成19年度!S8:S19)</f>
        <v>3760556</v>
      </c>
      <c r="T34" s="371">
        <f>平成19年度!C34/平成19年度!R34</f>
        <v>0.44569350628380744</v>
      </c>
      <c r="U34" s="372">
        <f>平成19年度!H34/平成19年度!S34</f>
        <v>0.32338622267558309</v>
      </c>
      <c r="V34" s="373">
        <f>平成19年度!L34/平成19年度!H34</f>
        <v>0.24162165984711934</v>
      </c>
    </row>
    <row r="35" spans="2:35" s="404" customFormat="1" ht="20.149999999999999" customHeight="1" thickTop="1" x14ac:dyDescent="0.2">
      <c r="B35" s="438" t="s">
        <v>66</v>
      </c>
      <c r="C35" s="439">
        <f>SUM(C7:C18)</f>
        <v>662701</v>
      </c>
      <c r="D35" s="440">
        <f t="shared" ref="D35:S35" si="2">SUM(D7:D18)</f>
        <v>525445</v>
      </c>
      <c r="E35" s="440">
        <f t="shared" si="2"/>
        <v>485837</v>
      </c>
      <c r="F35" s="440">
        <f t="shared" si="2"/>
        <v>39608</v>
      </c>
      <c r="G35" s="441">
        <f t="shared" si="2"/>
        <v>138014</v>
      </c>
      <c r="H35" s="439">
        <f t="shared" si="2"/>
        <v>1217861</v>
      </c>
      <c r="I35" s="440">
        <f t="shared" si="2"/>
        <v>924737</v>
      </c>
      <c r="J35" s="440">
        <f t="shared" si="2"/>
        <v>655996</v>
      </c>
      <c r="K35" s="440">
        <f t="shared" si="2"/>
        <v>268741</v>
      </c>
      <c r="L35" s="440">
        <f t="shared" si="2"/>
        <v>293124</v>
      </c>
      <c r="M35" s="440">
        <f t="shared" si="2"/>
        <v>198713</v>
      </c>
      <c r="N35" s="442">
        <f t="shared" si="2"/>
        <v>94411</v>
      </c>
      <c r="O35" s="439">
        <f t="shared" si="2"/>
        <v>341866</v>
      </c>
      <c r="P35" s="440">
        <f t="shared" si="2"/>
        <v>251344</v>
      </c>
      <c r="Q35" s="442">
        <f t="shared" si="2"/>
        <v>90522</v>
      </c>
      <c r="R35" s="439">
        <f t="shared" si="2"/>
        <v>1484057</v>
      </c>
      <c r="S35" s="440">
        <f t="shared" si="2"/>
        <v>3758965</v>
      </c>
      <c r="T35" s="443">
        <f>平成19年度!C35/平成19年度!R35</f>
        <v>0.44654686443984293</v>
      </c>
      <c r="U35" s="443">
        <f>平成19年度!H35/平成19年度!S35</f>
        <v>0.32398838510068595</v>
      </c>
      <c r="V35" s="444">
        <f>平成19年度!L35/平成19年度!H35</f>
        <v>0.24068756615081688</v>
      </c>
      <c r="AA35" s="445"/>
    </row>
    <row r="36" spans="2:35" s="446" customFormat="1" ht="20.149999999999999" customHeight="1" thickBot="1" x14ac:dyDescent="0.25">
      <c r="B36" s="447" t="s">
        <v>53</v>
      </c>
      <c r="C36" s="448">
        <f>C35/12</f>
        <v>55225.083333333336</v>
      </c>
      <c r="D36" s="449">
        <f t="shared" ref="D36:S36" si="3">D35/12</f>
        <v>43787.083333333336</v>
      </c>
      <c r="E36" s="449">
        <f t="shared" si="3"/>
        <v>40486.416666666664</v>
      </c>
      <c r="F36" s="449">
        <f t="shared" si="3"/>
        <v>3300.6666666666665</v>
      </c>
      <c r="G36" s="450">
        <f t="shared" si="3"/>
        <v>11501.166666666666</v>
      </c>
      <c r="H36" s="448">
        <f t="shared" si="3"/>
        <v>101488.41666666667</v>
      </c>
      <c r="I36" s="449">
        <f t="shared" si="3"/>
        <v>77061.416666666672</v>
      </c>
      <c r="J36" s="449">
        <f t="shared" si="3"/>
        <v>54666.333333333336</v>
      </c>
      <c r="K36" s="449">
        <f t="shared" si="3"/>
        <v>22395.083333333332</v>
      </c>
      <c r="L36" s="449">
        <f t="shared" si="3"/>
        <v>24427</v>
      </c>
      <c r="M36" s="449">
        <f t="shared" si="3"/>
        <v>16559.416666666668</v>
      </c>
      <c r="N36" s="451">
        <f t="shared" si="3"/>
        <v>7867.583333333333</v>
      </c>
      <c r="O36" s="448">
        <f t="shared" si="3"/>
        <v>28488.833333333332</v>
      </c>
      <c r="P36" s="449">
        <f t="shared" si="3"/>
        <v>20945.333333333332</v>
      </c>
      <c r="Q36" s="451">
        <f t="shared" si="3"/>
        <v>7543.5</v>
      </c>
      <c r="R36" s="448">
        <f t="shared" si="3"/>
        <v>123671.41666666667</v>
      </c>
      <c r="S36" s="449">
        <f t="shared" si="3"/>
        <v>313247.08333333331</v>
      </c>
      <c r="T36" s="452">
        <f>平成19年度!C36/平成19年度!R36</f>
        <v>0.44654686443984293</v>
      </c>
      <c r="U36" s="453">
        <f>平成19年度!H36/平成19年度!S36</f>
        <v>0.323988385100686</v>
      </c>
      <c r="V36" s="454">
        <f>平成19年度!L36/平成19年度!H36</f>
        <v>0.24068756615081688</v>
      </c>
      <c r="X36" s="455"/>
      <c r="Y36" s="455"/>
      <c r="Z36" s="455"/>
      <c r="AA36" s="455"/>
    </row>
    <row r="37" spans="2:35" s="404" customFormat="1" ht="20.149999999999999" customHeight="1" thickTop="1" x14ac:dyDescent="0.2">
      <c r="B37" s="456" t="s">
        <v>67</v>
      </c>
      <c r="C37" s="457">
        <f>平成19年度!C2+平成19年度!C31</f>
        <v>663235</v>
      </c>
      <c r="D37" s="458">
        <f>平成19年度!D2+平成19年度!D31</f>
        <v>526810</v>
      </c>
      <c r="E37" s="459">
        <f>平成19年度!E2+平成19年度!E31</f>
        <v>487360</v>
      </c>
      <c r="F37" s="459">
        <f>平成19年度!F2+平成19年度!F31</f>
        <v>39450</v>
      </c>
      <c r="G37" s="460">
        <f>平成19年度!G2+平成19年度!G31</f>
        <v>137183</v>
      </c>
      <c r="H37" s="457">
        <f>平成19年度!H2+平成19年度!H31</f>
        <v>1221430</v>
      </c>
      <c r="I37" s="458">
        <f>平成19年度!I2+平成19年度!I31</f>
        <v>929882</v>
      </c>
      <c r="J37" s="459">
        <f>平成19年度!J2+平成19年度!J31</f>
        <v>660745</v>
      </c>
      <c r="K37" s="459">
        <f>平成19年度!K2+平成19年度!K31</f>
        <v>269137</v>
      </c>
      <c r="L37" s="459">
        <f>平成19年度!L2+平成19年度!L31</f>
        <v>291548</v>
      </c>
      <c r="M37" s="459">
        <f>平成19年度!M2+平成19年度!M31</f>
        <v>197719</v>
      </c>
      <c r="N37" s="461">
        <f>平成19年度!N2+平成19年度!N31</f>
        <v>93829</v>
      </c>
      <c r="O37" s="462">
        <f>平成19年度!O2+平成19年度!O31</f>
        <v>344384</v>
      </c>
      <c r="P37" s="461">
        <f>平成19年度!P2+平成19年度!P31</f>
        <v>252904</v>
      </c>
      <c r="Q37" s="460">
        <f>平成19年度!Q2+平成19年度!Q31</f>
        <v>91480</v>
      </c>
      <c r="R37" s="463">
        <f>平成19年度!R2+平成19年度!R31</f>
        <v>1479602</v>
      </c>
      <c r="S37" s="458">
        <f>平成19年度!S2+平成19年度!S31</f>
        <v>3756228</v>
      </c>
      <c r="T37" s="464">
        <f>平成19年度!C37/平成19年度!R37</f>
        <v>0.44825230028075119</v>
      </c>
      <c r="U37" s="464">
        <f>平成19年度!H37/平成19年度!S37</f>
        <v>0.32517461666331221</v>
      </c>
      <c r="V37" s="465">
        <f>平成19年度!L37/平成19年度!H37</f>
        <v>0.23869398983159085</v>
      </c>
      <c r="AA37" s="445"/>
    </row>
    <row r="38" spans="2:35" s="404" customFormat="1" ht="20.149999999999999" customHeight="1" x14ac:dyDescent="0.2">
      <c r="B38" s="466" t="s">
        <v>53</v>
      </c>
      <c r="C38" s="467" t="e">
        <f>#VALUE!</f>
        <v>#VALUE!</v>
      </c>
      <c r="D38" s="468" t="e">
        <f>#VALUE!</f>
        <v>#VALUE!</v>
      </c>
      <c r="E38" s="469" t="e">
        <f>#VALUE!</f>
        <v>#VALUE!</v>
      </c>
      <c r="F38" s="469" t="e">
        <f>#VALUE!</f>
        <v>#VALUE!</v>
      </c>
      <c r="G38" s="470" t="e">
        <f>#VALUE!</f>
        <v>#VALUE!</v>
      </c>
      <c r="H38" s="467" t="e">
        <f>#VALUE!</f>
        <v>#VALUE!</v>
      </c>
      <c r="I38" s="468" t="e">
        <f>#VALUE!</f>
        <v>#VALUE!</v>
      </c>
      <c r="J38" s="469" t="e">
        <f>#VALUE!</f>
        <v>#VALUE!</v>
      </c>
      <c r="K38" s="469" t="e">
        <f>#VALUE!</f>
        <v>#VALUE!</v>
      </c>
      <c r="L38" s="469" t="e">
        <f>#VALUE!</f>
        <v>#VALUE!</v>
      </c>
      <c r="M38" s="469" t="e">
        <f>#VALUE!</f>
        <v>#VALUE!</v>
      </c>
      <c r="N38" s="471" t="e">
        <f>#VALUE!</f>
        <v>#VALUE!</v>
      </c>
      <c r="O38" s="472" t="e">
        <f>#VALUE!</f>
        <v>#VALUE!</v>
      </c>
      <c r="P38" s="471" t="e">
        <f>#VALUE!</f>
        <v>#VALUE!</v>
      </c>
      <c r="Q38" s="470" t="e">
        <f>#VALUE!</f>
        <v>#VALUE!</v>
      </c>
      <c r="R38" s="473" t="e">
        <f>#VALUE!</f>
        <v>#VALUE!</v>
      </c>
      <c r="S38" s="468" t="e">
        <f>#VALUE!</f>
        <v>#VALUE!</v>
      </c>
      <c r="T38" s="474" t="e">
        <f>平成19年度!C38/平成19年度!R38</f>
        <v>#VALUE!</v>
      </c>
      <c r="U38" s="474" t="e">
        <f>平成19年度!H38/平成19年度!S38</f>
        <v>#VALUE!</v>
      </c>
      <c r="V38" s="475" t="e">
        <f>平成19年度!L38/平成19年度!H38</f>
        <v>#VALUE!</v>
      </c>
      <c r="X38" s="476"/>
      <c r="Y38" s="476"/>
    </row>
    <row r="39" spans="2:35" ht="20.149999999999999" customHeight="1" x14ac:dyDescent="0.2"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2:35" ht="20.149999999999999" customHeight="1" x14ac:dyDescent="0.2">
      <c r="B40" s="1" t="s">
        <v>475</v>
      </c>
      <c r="J40" s="1" t="s">
        <v>1152</v>
      </c>
      <c r="R40" s="1">
        <v>29298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2:35" ht="20.149999999999999" customHeight="1" x14ac:dyDescent="0.2">
      <c r="C41" s="1" t="s">
        <v>682</v>
      </c>
      <c r="D41" s="1" t="s">
        <v>1483</v>
      </c>
      <c r="E41" s="1" t="s">
        <v>1484</v>
      </c>
      <c r="F41" s="1" t="s">
        <v>1485</v>
      </c>
      <c r="K41" s="1" t="s">
        <v>405</v>
      </c>
      <c r="L41" s="1" t="s">
        <v>1160</v>
      </c>
      <c r="M41" s="1" t="s">
        <v>817</v>
      </c>
      <c r="N41" s="1" t="s">
        <v>907</v>
      </c>
      <c r="R41" s="1" t="s">
        <v>1158</v>
      </c>
    </row>
    <row r="42" spans="2:35" ht="20.149999999999999" customHeight="1" x14ac:dyDescent="0.2"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ROUND(+平成19年度!R43*平成19年度!N42,0)</f>
        <v>27605</v>
      </c>
      <c r="S42" s="1" t="s">
        <v>1165</v>
      </c>
      <c r="W42" s="117"/>
      <c r="X42" s="117"/>
      <c r="AD42" s="119"/>
    </row>
    <row r="43" spans="2:35" ht="20.149999999999999" customHeight="1" x14ac:dyDescent="0.2"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ROUND((+平成14年度!K19+平成19年度!K27)/6,0)</f>
        <v>22840</v>
      </c>
      <c r="L43" s="1">
        <f>ROUND(+平成19年度!L42/平成19年度!K42,4)</f>
        <v>0.99850000000000005</v>
      </c>
      <c r="M43" s="1">
        <f>ROUND(+平成19年度!M42/平成19年度!L42,4)</f>
        <v>1.0199</v>
      </c>
      <c r="N43" s="1">
        <f>平成19年度!M43</f>
        <v>1.0199</v>
      </c>
      <c r="R43" s="1">
        <f>ROUND((平成19年度!M43+平成19年度!N43)/2,4)</f>
        <v>1.0199</v>
      </c>
      <c r="Y43" s="117"/>
    </row>
    <row r="44" spans="2:35" ht="20.149999999999999" customHeight="1" x14ac:dyDescent="0.2">
      <c r="B44" s="121" t="s">
        <v>482</v>
      </c>
      <c r="C44" s="121"/>
      <c r="D44" s="122">
        <f>平成19年度!D43/平成19年度!C43</f>
        <v>1.0781186534811042</v>
      </c>
      <c r="E44" s="122">
        <f>平成19年度!E43/平成19年度!D43</f>
        <v>1.0713588239364606</v>
      </c>
      <c r="F44" s="123">
        <f>ROUND(+平成19年度!F43/平成19年度!E43,4)</f>
        <v>1.0658000000000001</v>
      </c>
      <c r="G44" s="123">
        <f>ROUND(+平成19年度!G43/平成19年度!F43,4)</f>
        <v>0.92279999999999995</v>
      </c>
      <c r="J44" s="1" t="s">
        <v>1168</v>
      </c>
      <c r="K44" s="1">
        <f>ROUND(+平成19年度!K46/平成19年度!K42,4)</f>
        <v>0.99309999999999998</v>
      </c>
      <c r="L44" s="1">
        <f>ROUND(+平成19年度!L46/平成19年度!L42,4)</f>
        <v>0.99739999999999995</v>
      </c>
      <c r="M44" s="1">
        <f>ROUND(+平成19年度!M46/平成19年度!M42,4)</f>
        <v>1.0001</v>
      </c>
      <c r="N44" s="1">
        <f>平成19年度!M44</f>
        <v>1.0001</v>
      </c>
      <c r="R44" s="1">
        <f>ROUND((+平成19年度!N44+平成19年度!M44)/2,4)</f>
        <v>1.0001</v>
      </c>
      <c r="W44" s="117"/>
      <c r="X44" s="124" t="s">
        <v>275</v>
      </c>
      <c r="Z44" s="125" t="str">
        <f>平成19年度!C3</f>
        <v>平成19年度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</row>
    <row r="45" spans="2:35" ht="20.149999999999999" customHeight="1" x14ac:dyDescent="0.25"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ROUND(+平成19年度!F46*平成19年度!G43,0)</f>
        <v>23073</v>
      </c>
      <c r="H45" s="126">
        <f>平成19年度!G45*平成19年度!G47</f>
        <v>21291.7644</v>
      </c>
      <c r="N45" s="3">
        <f>ROUND(+平成19年度!N44*平成19年度!N42,0)</f>
        <v>27069</v>
      </c>
      <c r="O45" s="3"/>
      <c r="P45" s="3"/>
      <c r="Q45" s="3"/>
      <c r="R45" s="3">
        <f>ROUND(+平成19年度!R42*平成19年度!R44,0)</f>
        <v>27608</v>
      </c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</row>
    <row r="46" spans="2:35" ht="20.149999999999999" customHeight="1" x14ac:dyDescent="0.2">
      <c r="B46" s="121" t="s">
        <v>498</v>
      </c>
      <c r="C46" s="122">
        <f>平成19年度!C45/平成19年度!C43</f>
        <v>1.0183691570579507</v>
      </c>
      <c r="D46" s="122">
        <f>平成19年度!D45/平成19年度!D43</f>
        <v>1.0172149991157995</v>
      </c>
      <c r="E46" s="122">
        <f>平成19年度!E45/平成19年度!E43</f>
        <v>1.0149703606952676</v>
      </c>
      <c r="F46" s="122">
        <f>ROUND(+平成19年度!F45/平成19年度!F43,4)</f>
        <v>1.0102</v>
      </c>
      <c r="G46" s="122">
        <f>ROUND((+平成19年度!E46+平成19年度!F46)/2,4)</f>
        <v>1.0125999999999999</v>
      </c>
      <c r="J46" s="1" t="s">
        <v>1185</v>
      </c>
      <c r="K46" s="118">
        <v>25949</v>
      </c>
      <c r="L46" s="118">
        <v>26021</v>
      </c>
      <c r="M46" s="118">
        <v>26608</v>
      </c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</row>
    <row r="47" spans="2:35" ht="20.149999999999999" customHeight="1" x14ac:dyDescent="0.2">
      <c r="B47" s="121" t="s">
        <v>509</v>
      </c>
      <c r="C47" s="121"/>
      <c r="D47" s="122">
        <f>平成19年度!D45/平成19年度!C45</f>
        <v>1.076896779077434</v>
      </c>
      <c r="E47" s="122">
        <f>平成19年度!E45/平成19年度!D45</f>
        <v>1.0689947089947089</v>
      </c>
      <c r="F47" s="122">
        <f>ROUND(+平成19年度!F45/平成19年度!E45,4)</f>
        <v>1.0608</v>
      </c>
      <c r="G47" s="122">
        <f>ROUND(+平成19年度!G45/平成19年度!F45,4)</f>
        <v>0.92279999999999995</v>
      </c>
      <c r="L47" s="1">
        <f>ROUND(+平成19年度!L46/平成19年度!K46,4)</f>
        <v>1.0027999999999999</v>
      </c>
      <c r="M47" s="1">
        <f>ROUND(+平成19年度!M46/平成19年度!L46,4)</f>
        <v>1.0226</v>
      </c>
      <c r="N47" s="1">
        <f>平成19年度!M47</f>
        <v>1.0226</v>
      </c>
      <c r="R47" s="1">
        <f>平成19年度!N47</f>
        <v>1.0226</v>
      </c>
      <c r="W47" s="117"/>
      <c r="X47" s="142"/>
      <c r="Y47" s="143"/>
      <c r="Z47" s="144"/>
      <c r="AA47" s="144"/>
      <c r="AB47" s="144"/>
      <c r="AC47" s="145"/>
      <c r="AD47" s="146">
        <f>平成19年度!M8</f>
        <v>16403</v>
      </c>
      <c r="AE47" s="144" t="s">
        <v>275</v>
      </c>
      <c r="AF47" s="144"/>
      <c r="AG47" s="147"/>
      <c r="AH47" s="147"/>
      <c r="AI47" s="148"/>
    </row>
    <row r="48" spans="2:35" ht="20.149999999999999" customHeight="1" x14ac:dyDescent="0.2">
      <c r="J48" s="1" t="s">
        <v>1198</v>
      </c>
      <c r="N48" s="3">
        <f>ROUND(+平成19年度!M46*平成19年度!N47,0)</f>
        <v>27209</v>
      </c>
      <c r="O48" s="3"/>
      <c r="P48" s="3"/>
      <c r="Q48" s="3"/>
      <c r="R48" s="149">
        <f>ROUND(+平成19年度!N48*平成19年度!R47,0)</f>
        <v>27824</v>
      </c>
      <c r="W48" s="117" t="s">
        <v>308</v>
      </c>
      <c r="X48" s="134" t="s">
        <v>40</v>
      </c>
      <c r="Y48" s="150">
        <f>平成19年度!C8</f>
        <v>55468</v>
      </c>
      <c r="Z48" s="151">
        <f>平成19年度!H8</f>
        <v>102502</v>
      </c>
      <c r="AA48" s="151">
        <f>平成19年度!Z48-平成19年度!AB48-平成19年度!AC48</f>
        <v>55706</v>
      </c>
      <c r="AB48" s="151">
        <f>平成19年度!K8</f>
        <v>22573</v>
      </c>
      <c r="AC48" s="152">
        <f>平成19年度!AD47+平成19年度!AD48</f>
        <v>24223</v>
      </c>
      <c r="AD48" s="153">
        <f>平成19年度!N8</f>
        <v>7820</v>
      </c>
      <c r="AE48" s="151">
        <f>平成19年度!R8</f>
        <v>122862</v>
      </c>
      <c r="AF48" s="150">
        <f>平成19年度!S8</f>
        <v>312460</v>
      </c>
      <c r="AG48" s="154">
        <f>平成19年度!Y48/+平成19年度!AE48</f>
        <v>0.45146587227946799</v>
      </c>
      <c r="AH48" s="155">
        <f>平成19年度!Z48/+平成19年度!AF48</f>
        <v>0.32804839019394483</v>
      </c>
      <c r="AI48" s="156">
        <f>平成19年度!AC48/+平成19年度!Z48</f>
        <v>0.23631734014946049</v>
      </c>
    </row>
    <row r="49" spans="1:35" ht="20.149999999999999" customHeight="1" x14ac:dyDescent="0.2">
      <c r="G49" s="99" t="s">
        <v>940</v>
      </c>
      <c r="H49" s="99" t="s">
        <v>940</v>
      </c>
      <c r="W49" s="117"/>
      <c r="X49" s="142"/>
      <c r="Y49" s="143" t="s">
        <v>275</v>
      </c>
      <c r="Z49" s="144"/>
      <c r="AA49" s="144"/>
      <c r="AB49" s="144"/>
      <c r="AC49" s="157"/>
      <c r="AD49" s="146">
        <f>平成19年度!M9</f>
        <v>16425</v>
      </c>
      <c r="AE49" s="144"/>
      <c r="AF49" s="143"/>
      <c r="AG49" s="158"/>
      <c r="AH49" s="147"/>
      <c r="AI49" s="159"/>
    </row>
    <row r="50" spans="1:35" ht="20.149999999999999" customHeight="1" x14ac:dyDescent="0.2">
      <c r="G50" s="160">
        <f>IF(+平成19年度!G45&gt;0,ROUNDUP(+平成19年度!G45,-2),ROUNDDOWN(+平成19年度!G45,-2))</f>
        <v>23100</v>
      </c>
      <c r="H50" s="160">
        <f>IF(+平成19年度!H45&gt;0,ROUNDUP(+平成19年度!H45,-2),ROUNDDOWN(+平成19年度!H45,-2))</f>
        <v>21300</v>
      </c>
      <c r="W50" s="117"/>
      <c r="X50" s="134" t="s">
        <v>41</v>
      </c>
      <c r="Y50" s="150">
        <f>平成19年度!C9</f>
        <v>55397</v>
      </c>
      <c r="Z50" s="151">
        <f>平成19年度!H9</f>
        <v>102187</v>
      </c>
      <c r="AA50" s="151">
        <f>平成19年度!Z50-平成19年度!AB50-平成19年度!AC50</f>
        <v>55464</v>
      </c>
      <c r="AB50" s="151">
        <f>平成19年度!K9</f>
        <v>22487</v>
      </c>
      <c r="AC50" s="152">
        <f>平成19年度!AD49+平成19年度!AD50</f>
        <v>24236</v>
      </c>
      <c r="AD50" s="153">
        <f>平成19年度!N9</f>
        <v>7811</v>
      </c>
      <c r="AE50" s="151">
        <f>平成19年度!R9</f>
        <v>123218</v>
      </c>
      <c r="AF50" s="150">
        <f>平成19年度!S9</f>
        <v>312851</v>
      </c>
      <c r="AG50" s="154">
        <f>平成19年度!Y50/+平成19年度!AE50</f>
        <v>0.44958528786378615</v>
      </c>
      <c r="AH50" s="155">
        <f>平成19年度!Z50/+平成19年度!AF50</f>
        <v>0.32663152746834756</v>
      </c>
      <c r="AI50" s="156">
        <f>平成19年度!AC50/+平成19年度!Z50</f>
        <v>0.23717302592306261</v>
      </c>
    </row>
    <row r="51" spans="1:35" ht="20.149999999999999" customHeight="1" x14ac:dyDescent="0.2">
      <c r="A51" s="161" t="s">
        <v>1205</v>
      </c>
      <c r="K51" s="1" t="s">
        <v>405</v>
      </c>
      <c r="L51" s="1" t="s">
        <v>1160</v>
      </c>
      <c r="M51" s="1" t="s">
        <v>817</v>
      </c>
      <c r="N51" s="1" t="s">
        <v>907</v>
      </c>
      <c r="R51" s="1" t="s">
        <v>1158</v>
      </c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平成19年度!M10</f>
        <v>16600</v>
      </c>
      <c r="AE51" s="144"/>
      <c r="AF51" s="144"/>
      <c r="AG51" s="147" t="s">
        <v>275</v>
      </c>
      <c r="AH51" s="147" t="s">
        <v>275</v>
      </c>
      <c r="AI51" s="148" t="s">
        <v>275</v>
      </c>
    </row>
    <row r="52" spans="1:35" ht="20.149999999999999" customHeight="1" x14ac:dyDescent="0.2">
      <c r="A52" s="1" t="s">
        <v>1217</v>
      </c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W52" s="117"/>
      <c r="X52" s="134" t="s">
        <v>42</v>
      </c>
      <c r="Y52" s="150">
        <f>平成19年度!C10</f>
        <v>55430</v>
      </c>
      <c r="Z52" s="151">
        <f>平成19年度!H10</f>
        <v>102166</v>
      </c>
      <c r="AA52" s="151">
        <f>平成19年度!Z52-平成19年度!AB52-平成19年度!AC52</f>
        <v>55271</v>
      </c>
      <c r="AB52" s="151">
        <f>平成19年度!K10</f>
        <v>22400</v>
      </c>
      <c r="AC52" s="152">
        <f>平成19年度!AD51+平成19年度!AD52</f>
        <v>24495</v>
      </c>
      <c r="AD52" s="153">
        <f>平成19年度!N10</f>
        <v>7895</v>
      </c>
      <c r="AE52" s="151">
        <f>平成19年度!R10</f>
        <v>123419</v>
      </c>
      <c r="AF52" s="150">
        <f>平成19年度!S10</f>
        <v>312996</v>
      </c>
      <c r="AG52" s="154">
        <f>平成19年度!Y52/+平成19年度!AE52</f>
        <v>0.44912047577763553</v>
      </c>
      <c r="AH52" s="155">
        <f>平成19年度!Z52/+平成19年度!AF52</f>
        <v>0.32641311710053805</v>
      </c>
      <c r="AI52" s="156">
        <f>平成19年度!AC52/+平成19年度!Z52</f>
        <v>0.23975686627645204</v>
      </c>
    </row>
    <row r="53" spans="1:35" ht="20.149999999999999" customHeight="1" x14ac:dyDescent="0.2">
      <c r="K53" s="1">
        <v>48779</v>
      </c>
      <c r="L53" s="1">
        <v>48738</v>
      </c>
      <c r="M53" s="1">
        <v>49951</v>
      </c>
      <c r="N53" s="1">
        <v>50707</v>
      </c>
      <c r="W53" s="117"/>
      <c r="X53" s="142"/>
      <c r="Y53" s="143"/>
      <c r="Z53" s="144"/>
      <c r="AA53" s="144" t="s">
        <v>275</v>
      </c>
      <c r="AB53" s="144"/>
      <c r="AC53" s="157"/>
      <c r="AD53" s="146">
        <f>平成19年度!M11</f>
        <v>16687</v>
      </c>
      <c r="AE53" s="144"/>
      <c r="AF53" s="143"/>
      <c r="AG53" s="158" t="s">
        <v>275</v>
      </c>
      <c r="AH53" s="147" t="s">
        <v>275</v>
      </c>
      <c r="AI53" s="159" t="s">
        <v>275</v>
      </c>
    </row>
    <row r="54" spans="1:35" ht="20.149999999999999" customHeight="1" x14ac:dyDescent="0.2">
      <c r="B54" s="1" t="s">
        <v>1230</v>
      </c>
      <c r="C54" s="1" t="e"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ROUND(SUM(+平成19年度!S8:S12)/5,0)</f>
        <v>#VALUE!</v>
      </c>
      <c r="W54" s="117"/>
      <c r="X54" s="134" t="s">
        <v>43</v>
      </c>
      <c r="Y54" s="150">
        <f>平成19年度!C11</f>
        <v>55386</v>
      </c>
      <c r="Z54" s="151">
        <f>平成19年度!H11</f>
        <v>101915</v>
      </c>
      <c r="AA54" s="151">
        <f>平成19年度!Z54-平成19年度!AB54-平成19年度!AC54</f>
        <v>54974</v>
      </c>
      <c r="AB54" s="151">
        <f>平成19年度!K11</f>
        <v>22314</v>
      </c>
      <c r="AC54" s="152">
        <f>平成19年度!AD53+平成19年度!AD54</f>
        <v>24627</v>
      </c>
      <c r="AD54" s="153">
        <f>平成19年度!N11</f>
        <v>7940</v>
      </c>
      <c r="AE54" s="151">
        <f>平成19年度!R11</f>
        <v>123581</v>
      </c>
      <c r="AF54" s="150">
        <f>平成19年度!S11</f>
        <v>313185</v>
      </c>
      <c r="AG54" s="154">
        <f>平成19年度!Y54/+平成19年度!AE54</f>
        <v>0.44817569043785049</v>
      </c>
      <c r="AH54" s="155">
        <f>平成19年度!Z54/+平成19年度!AF54</f>
        <v>0.32541469099733383</v>
      </c>
      <c r="AI54" s="156">
        <f>平成19年度!AC54/+平成19年度!Z54</f>
        <v>0.24164254525830348</v>
      </c>
    </row>
    <row r="55" spans="1:35" ht="20.149999999999999" customHeight="1" x14ac:dyDescent="0.2">
      <c r="B55" s="121" t="s">
        <v>1232</v>
      </c>
      <c r="C55" s="121"/>
      <c r="D55" s="122" t="e">
        <f>平成19年度!D54/平成19年度!C54</f>
        <v>#VALUE!</v>
      </c>
      <c r="E55" s="122" t="e">
        <f>平成19年度!E54/平成19年度!D54</f>
        <v>#VALUE!</v>
      </c>
      <c r="F55" s="123" t="e">
        <f>ROUND(+平成19年度!F54/平成19年度!E54,4)</f>
        <v>#VALUE!</v>
      </c>
      <c r="G55" s="123" t="e">
        <f>ROUND(+平成19年度!G54/平成19年度!F54,4)</f>
        <v>#VALUE!</v>
      </c>
      <c r="H55" s="123" t="e">
        <f>ROUND(+平成19年度!H54/平成19年度!G54,4)</f>
        <v>#VALUE!</v>
      </c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ROUND(ROUND(+平成19年度!M55/平成19年度!L55,4)*平成19年度!M55,0)</f>
        <v>27209</v>
      </c>
      <c r="W55" s="117"/>
      <c r="X55" s="142"/>
      <c r="Y55" s="143"/>
      <c r="Z55" s="144"/>
      <c r="AA55" s="144" t="s">
        <v>275</v>
      </c>
      <c r="AB55" s="144"/>
      <c r="AC55" s="145"/>
      <c r="AD55" s="146">
        <f>平成19年度!M12</f>
        <v>16760</v>
      </c>
      <c r="AE55" s="144"/>
      <c r="AF55" s="144"/>
      <c r="AG55" s="147" t="s">
        <v>275</v>
      </c>
      <c r="AH55" s="147" t="s">
        <v>275</v>
      </c>
      <c r="AI55" s="148" t="s">
        <v>275</v>
      </c>
    </row>
    <row r="56" spans="1:35" ht="20.149999999999999" customHeight="1" x14ac:dyDescent="0.25"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K56" s="1">
        <v>48708</v>
      </c>
      <c r="L56" s="1">
        <v>49113</v>
      </c>
      <c r="M56" s="1">
        <v>50246</v>
      </c>
      <c r="N56" s="1">
        <f>ROUND(ROUND(+平成19年度!M56/平成19年度!L56,4)*平成19年度!M56,0)</f>
        <v>51407</v>
      </c>
      <c r="W56" s="117"/>
      <c r="X56" s="134" t="s">
        <v>44</v>
      </c>
      <c r="Y56" s="150">
        <f>平成19年度!C12</f>
        <v>55309</v>
      </c>
      <c r="Z56" s="151">
        <f>平成19年度!H12</f>
        <v>101633</v>
      </c>
      <c r="AA56" s="151">
        <f>平成19年度!Z56-平成19年度!AB56-平成19年度!AC56</f>
        <v>54697</v>
      </c>
      <c r="AB56" s="151">
        <f>平成19年度!K12</f>
        <v>22233</v>
      </c>
      <c r="AC56" s="152">
        <f>平成19年度!AD55+平成19年度!AD56</f>
        <v>24703</v>
      </c>
      <c r="AD56" s="153">
        <f>平成19年度!N12</f>
        <v>7943</v>
      </c>
      <c r="AE56" s="151">
        <f>平成19年度!R12</f>
        <v>123680</v>
      </c>
      <c r="AF56" s="150">
        <f>平成19年度!S12</f>
        <v>313334</v>
      </c>
      <c r="AG56" s="154">
        <f>平成19年度!Y56/+平成19年度!AE56</f>
        <v>0.44719437257438549</v>
      </c>
      <c r="AH56" s="155">
        <f>平成19年度!Z56/+平成19年度!AF56</f>
        <v>0.32435994817032304</v>
      </c>
      <c r="AI56" s="156">
        <f>平成19年度!AC56/+平成19年度!Z56</f>
        <v>0.24306081686066533</v>
      </c>
    </row>
    <row r="57" spans="1:35" ht="20.149999999999999" customHeight="1" x14ac:dyDescent="0.2">
      <c r="B57" s="121" t="s">
        <v>1241</v>
      </c>
      <c r="C57" s="122" t="e">
        <f>平成19年度!C56/平成19年度!C54</f>
        <v>#VALUE!</v>
      </c>
      <c r="D57" s="122" t="e">
        <f>平成19年度!D56/平成19年度!D54</f>
        <v>#VALUE!</v>
      </c>
      <c r="E57" s="122" t="e">
        <f>平成19年度!E56/平成19年度!E54</f>
        <v>#VALUE!</v>
      </c>
      <c r="F57" s="122" t="e">
        <f>ROUND(+平成19年度!F56/平成19年度!F54,4)</f>
        <v>#VALUE!</v>
      </c>
      <c r="G57" s="122" t="e">
        <f>ROUND((+平成19年度!E57+平成19年度!F57)/2,4)</f>
        <v>#VALUE!</v>
      </c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R57" s="1" t="s">
        <v>1247</v>
      </c>
      <c r="S57" s="1" t="s">
        <v>1248</v>
      </c>
      <c r="W57" s="117"/>
      <c r="X57" s="142"/>
      <c r="Y57" s="143"/>
      <c r="Z57" s="144"/>
      <c r="AA57" s="144" t="s">
        <v>275</v>
      </c>
      <c r="AB57" s="144"/>
      <c r="AC57" s="145"/>
      <c r="AD57" s="146">
        <f>平成19年度!M13</f>
        <v>16758</v>
      </c>
      <c r="AE57" s="144"/>
      <c r="AF57" s="144"/>
      <c r="AG57" s="147" t="s">
        <v>275</v>
      </c>
      <c r="AH57" s="147" t="s">
        <v>275</v>
      </c>
      <c r="AI57" s="148" t="s">
        <v>275</v>
      </c>
    </row>
    <row r="58" spans="1:35" ht="20.149999999999999" customHeight="1" x14ac:dyDescent="0.2">
      <c r="B58" s="121" t="s">
        <v>509</v>
      </c>
      <c r="C58" s="121"/>
      <c r="D58" s="122" t="e">
        <f>平成19年度!D56/平成19年度!C56</f>
        <v>#VALUE!</v>
      </c>
      <c r="E58" s="122" t="e">
        <f>平成19年度!E56/平成19年度!D56</f>
        <v>#VALUE!</v>
      </c>
      <c r="F58" s="122" t="e">
        <f>ROUND(+平成19年度!F56/平成19年度!E56,4)</f>
        <v>#VALUE!</v>
      </c>
      <c r="G58" s="122" t="e">
        <f>ROUND(+平成19年度!G56/平成19年度!F56,4)</f>
        <v>#VALUE!</v>
      </c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W58" s="117"/>
      <c r="X58" s="134" t="s">
        <v>45</v>
      </c>
      <c r="Y58" s="150">
        <f>平成19年度!C13</f>
        <v>55258</v>
      </c>
      <c r="Z58" s="151">
        <f>平成19年度!H13</f>
        <v>101388</v>
      </c>
      <c r="AA58" s="151">
        <f>平成19年度!Z58-平成19年度!AB58-平成19年度!AC58</f>
        <v>54572</v>
      </c>
      <c r="AB58" s="151">
        <f>平成19年度!K13</f>
        <v>22122</v>
      </c>
      <c r="AC58" s="152">
        <f>平成19年度!AD57+平成19年度!AD58</f>
        <v>24694</v>
      </c>
      <c r="AD58" s="153">
        <f>平成19年度!N13</f>
        <v>7936</v>
      </c>
      <c r="AE58" s="151">
        <f>平成19年度!R13</f>
        <v>123852</v>
      </c>
      <c r="AF58" s="150">
        <f>平成19年度!S13</f>
        <v>313403</v>
      </c>
      <c r="AG58" s="154">
        <f>平成19年度!Y58/+平成19年度!AE58</f>
        <v>0.44616154765365112</v>
      </c>
      <c r="AH58" s="155">
        <f>平成19年度!Z58/+平成19年度!AF58</f>
        <v>0.3235067947658446</v>
      </c>
      <c r="AI58" s="156">
        <f>平成19年度!AC58/+平成19年度!Z58</f>
        <v>0.2435593955892216</v>
      </c>
    </row>
    <row r="59" spans="1:35" ht="20.149999999999999" customHeight="1" x14ac:dyDescent="0.2">
      <c r="J59" s="36">
        <v>1</v>
      </c>
      <c r="K59" s="36">
        <f>ROUND(+平成19年度!K58/平成19年度!J58,4)</f>
        <v>0.99309999999999998</v>
      </c>
      <c r="L59" s="36">
        <f>ROUND(+平成19年度!L58/平成19年度!K58,4)</f>
        <v>1.0054000000000001</v>
      </c>
      <c r="M59" s="36">
        <f>ROUND(+平成19年度!M58/平成19年度!L58,4)</f>
        <v>0.99739999999999995</v>
      </c>
      <c r="N59" s="36">
        <f>ROUND(+平成19年度!N58/平成19年度!M58,4)</f>
        <v>1.0225</v>
      </c>
      <c r="O59" s="36"/>
      <c r="P59" s="36"/>
      <c r="Q59" s="36"/>
      <c r="R59" s="36">
        <f>ROUND(+平成19年度!R58/平成19年度!N58,4)</f>
        <v>1.0001</v>
      </c>
      <c r="S59" s="36">
        <f>ROUND(+平成19年度!S58/平成19年度!R58,4)</f>
        <v>1.0172000000000001</v>
      </c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平成19年度!M14</f>
        <v>16709</v>
      </c>
      <c r="AE59" s="144"/>
      <c r="AF59" s="144"/>
      <c r="AG59" s="147" t="s">
        <v>275</v>
      </c>
      <c r="AH59" s="147" t="s">
        <v>275</v>
      </c>
      <c r="AI59" s="148" t="s">
        <v>275</v>
      </c>
    </row>
    <row r="60" spans="1:35" ht="20.149999999999999" customHeight="1" x14ac:dyDescent="0.2">
      <c r="D60" s="1" t="e">
        <f>平成19年度!C57*平成19年度!D54</f>
        <v>#VALUE!</v>
      </c>
      <c r="E60" s="1" t="e">
        <f>平成19年度!D57*平成19年度!E54</f>
        <v>#VALUE!</v>
      </c>
      <c r="F60" s="1" t="e">
        <f>平成19年度!E57*平成19年度!F54</f>
        <v>#VALUE!</v>
      </c>
      <c r="G60" s="1" t="e">
        <f>平成19年度!F57*平成19年度!G54</f>
        <v>#VALUE!</v>
      </c>
      <c r="H60" s="162" t="e">
        <f>IF(+平成19年度!G57*平成19年度!H54&gt;0,ROUNDDOWN(+平成19年度!G57*平成19年度!H54,-2),ROUNDUP(+平成19年度!G57*平成19年度!H54,-2))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R60" s="1">
        <v>50246</v>
      </c>
      <c r="S60" s="1">
        <v>50707</v>
      </c>
      <c r="W60" s="117"/>
      <c r="X60" s="134" t="s">
        <v>46</v>
      </c>
      <c r="Y60" s="150">
        <f>平成19年度!C14</f>
        <v>55253</v>
      </c>
      <c r="Z60" s="151">
        <f>平成19年度!H14</f>
        <v>101318</v>
      </c>
      <c r="AA60" s="151">
        <f>平成19年度!Z60-平成19年度!AB60-平成19年度!AC60</f>
        <v>54429</v>
      </c>
      <c r="AB60" s="151">
        <f>平成19年度!K14</f>
        <v>22246</v>
      </c>
      <c r="AC60" s="152">
        <f>平成19年度!AD59+平成19年度!AD60</f>
        <v>24643</v>
      </c>
      <c r="AD60" s="153">
        <f>平成19年度!N14</f>
        <v>7934</v>
      </c>
      <c r="AE60" s="151">
        <f>平成19年度!R14</f>
        <v>124075</v>
      </c>
      <c r="AF60" s="150">
        <f>平成19年度!S14</f>
        <v>313641</v>
      </c>
      <c r="AG60" s="154">
        <f>平成19年度!Y60/+平成19年度!AE60</f>
        <v>0.44531936328833366</v>
      </c>
      <c r="AH60" s="155">
        <f>平成19年度!Z60/+平成19年度!AF60</f>
        <v>0.32303812320455555</v>
      </c>
      <c r="AI60" s="156">
        <f>平成19年度!AC60/+平成19年度!Z60</f>
        <v>0.24322430367753015</v>
      </c>
    </row>
    <row r="61" spans="1:35" ht="20.149999999999999" customHeight="1" x14ac:dyDescent="0.2">
      <c r="J61" s="36">
        <v>1</v>
      </c>
      <c r="K61" s="36">
        <f>ROUND(+平成19年度!K60/平成19年度!J60,4)</f>
        <v>0.99850000000000005</v>
      </c>
      <c r="L61" s="36">
        <f>ROUND(+平成19年度!L60/平成19年度!K60,4)</f>
        <v>1.0005999999999999</v>
      </c>
      <c r="M61" s="36">
        <f>ROUND(+平成19年度!M60/平成19年度!L60,4)</f>
        <v>1.0077</v>
      </c>
      <c r="N61" s="36">
        <f>ROUND(+平成19年度!N60/平成19年度!M60,4)</f>
        <v>1.0170999999999999</v>
      </c>
      <c r="O61" s="36"/>
      <c r="P61" s="36"/>
      <c r="Q61" s="36"/>
      <c r="R61" s="36">
        <f>ROUND(+平成19年度!R60/平成19年度!N60,4)</f>
        <v>1.0059</v>
      </c>
      <c r="S61" s="36">
        <f>ROUND(+平成19年度!S60/平成19年度!R60,4)</f>
        <v>1.0092000000000001</v>
      </c>
      <c r="W61" s="117"/>
      <c r="X61" s="142"/>
      <c r="Y61" s="143"/>
      <c r="Z61" s="144"/>
      <c r="AA61" s="144" t="s">
        <v>275</v>
      </c>
      <c r="AB61" s="144"/>
      <c r="AC61" s="145"/>
      <c r="AD61" s="146">
        <f>平成19年度!M15</f>
        <v>16636</v>
      </c>
      <c r="AE61" s="144"/>
      <c r="AF61" s="144"/>
      <c r="AG61" s="147" t="s">
        <v>275</v>
      </c>
      <c r="AH61" s="147" t="s">
        <v>275</v>
      </c>
      <c r="AI61" s="148" t="s">
        <v>275</v>
      </c>
    </row>
    <row r="62" spans="1:35" ht="20.149999999999999" customHeight="1" x14ac:dyDescent="0.2">
      <c r="A62" s="1" t="s">
        <v>11</v>
      </c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R62" s="1">
        <v>81903</v>
      </c>
      <c r="S62" s="1">
        <v>83699</v>
      </c>
      <c r="W62" s="117"/>
      <c r="X62" s="134" t="s">
        <v>47</v>
      </c>
      <c r="Y62" s="150">
        <f>平成19年度!C15</f>
        <v>55169</v>
      </c>
      <c r="Z62" s="151">
        <f>平成19年度!H15</f>
        <v>101021</v>
      </c>
      <c r="AA62" s="151">
        <f>平成19年度!Z62-平成19年度!AB62-平成19年度!AC62</f>
        <v>54211</v>
      </c>
      <c r="AB62" s="151">
        <f>平成19年度!K15</f>
        <v>22278</v>
      </c>
      <c r="AC62" s="152">
        <f>平成19年度!AD61+平成19年度!AD62</f>
        <v>24532</v>
      </c>
      <c r="AD62" s="153">
        <f>平成19年度!N15</f>
        <v>7896</v>
      </c>
      <c r="AE62" s="151">
        <f>平成19年度!R15</f>
        <v>124188</v>
      </c>
      <c r="AF62" s="150">
        <f>平成19年度!S15</f>
        <v>313781</v>
      </c>
      <c r="AG62" s="154">
        <f>平成19年度!Y62/+平成19年度!AE62</f>
        <v>0.44423776854446484</v>
      </c>
      <c r="AH62" s="155">
        <f>平成19年度!Z62/+平成19年度!AF62</f>
        <v>0.32194747291901038</v>
      </c>
      <c r="AI62" s="156">
        <f>平成19年度!AC62/+平成19年度!Z62</f>
        <v>0.2428405974995298</v>
      </c>
    </row>
    <row r="63" spans="1:35" ht="20.149999999999999" customHeight="1" x14ac:dyDescent="0.2">
      <c r="J63" s="36">
        <v>1</v>
      </c>
      <c r="K63" s="36">
        <f>ROUND(+平成19年度!K62/平成19年度!J62,4)</f>
        <v>1.0068999999999999</v>
      </c>
      <c r="L63" s="36">
        <f>ROUND(+平成19年度!L62/平成19年度!K62,4)</f>
        <v>1.0145</v>
      </c>
      <c r="M63" s="36">
        <f>ROUND(+平成19年度!M62/平成19年度!L62,4)</f>
        <v>1.0133000000000001</v>
      </c>
      <c r="N63" s="36">
        <f>ROUND(+平成19年度!N62/平成19年度!M62,4)</f>
        <v>1.0256000000000001</v>
      </c>
      <c r="O63" s="36"/>
      <c r="P63" s="36"/>
      <c r="Q63" s="36"/>
      <c r="R63" s="36">
        <f>ROUND(+平成19年度!R62/平成19年度!N62,4)</f>
        <v>1.0128999999999999</v>
      </c>
      <c r="S63" s="36">
        <f>ROUND(+平成19年度!S62/平成19年度!R62,4)</f>
        <v>1.0219</v>
      </c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平成19年度!M16</f>
        <v>16640</v>
      </c>
      <c r="AE63" s="144"/>
      <c r="AF63" s="143"/>
      <c r="AG63" s="158" t="s">
        <v>275</v>
      </c>
      <c r="AH63" s="147" t="s">
        <v>275</v>
      </c>
      <c r="AI63" s="159" t="s">
        <v>275</v>
      </c>
    </row>
    <row r="64" spans="1:35" ht="20.149999999999999" customHeight="1" x14ac:dyDescent="0.2">
      <c r="B64" s="1" t="s">
        <v>1230</v>
      </c>
      <c r="C64" s="1" t="e"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ROUND(SUM(+平成19年度!R8:R12)/5,0)</f>
        <v>#VALUE!</v>
      </c>
      <c r="W64" s="117"/>
      <c r="X64" s="134" t="s">
        <v>48</v>
      </c>
      <c r="Y64" s="150">
        <f>平成19年度!C16</f>
        <v>55028</v>
      </c>
      <c r="Z64" s="151">
        <f>平成19年度!H16</f>
        <v>100756</v>
      </c>
      <c r="AA64" s="151">
        <f>平成19年度!Z64-平成19年度!AB64-平成19年度!AC64</f>
        <v>53859</v>
      </c>
      <c r="AB64" s="151">
        <f>平成19年度!K16</f>
        <v>22357</v>
      </c>
      <c r="AC64" s="152">
        <f>平成19年度!AD63+平成19年度!AD64</f>
        <v>24540</v>
      </c>
      <c r="AD64" s="153">
        <f>平成19年度!N16</f>
        <v>7900</v>
      </c>
      <c r="AE64" s="151">
        <f>平成19年度!R16</f>
        <v>124180</v>
      </c>
      <c r="AF64" s="150">
        <f>平成19年度!S16</f>
        <v>313705</v>
      </c>
      <c r="AG64" s="154">
        <f>平成19年度!Y64/+平成19年度!AE64</f>
        <v>0.44313093895957484</v>
      </c>
      <c r="AH64" s="155">
        <f>平成19年度!Z64/+平成19年度!AF64</f>
        <v>0.32118072711623979</v>
      </c>
      <c r="AI64" s="156">
        <f>平成19年度!AC64/+平成19年度!Z64</f>
        <v>0.24355869625630236</v>
      </c>
    </row>
    <row r="65" spans="1:35" ht="20.149999999999999" customHeight="1" x14ac:dyDescent="0.2">
      <c r="A65" s="163"/>
      <c r="B65" s="121" t="s">
        <v>1232</v>
      </c>
      <c r="C65" s="121"/>
      <c r="D65" s="122" t="e">
        <f>平成19年度!D64/平成19年度!C64</f>
        <v>#VALUE!</v>
      </c>
      <c r="E65" s="122" t="e">
        <f>平成19年度!E64/平成19年度!D64</f>
        <v>#VALUE!</v>
      </c>
      <c r="F65" s="123" t="e">
        <f>ROUND(+平成19年度!F64/平成19年度!E64,4)</f>
        <v>#VALUE!</v>
      </c>
      <c r="G65" s="123" t="e">
        <f>ROUND(+平成19年度!G64/平成19年度!F64,4)</f>
        <v>#VALUE!</v>
      </c>
      <c r="H65" s="123" t="e">
        <f>ROUND(+平成19年度!H64/平成19年度!G64,4)</f>
        <v>#VALUE!</v>
      </c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平成19年度!M17</f>
        <v>16563</v>
      </c>
      <c r="AE65" s="144"/>
      <c r="AF65" s="143"/>
      <c r="AG65" s="158" t="s">
        <v>275</v>
      </c>
      <c r="AH65" s="147" t="s">
        <v>275</v>
      </c>
      <c r="AI65" s="159" t="s">
        <v>275</v>
      </c>
    </row>
    <row r="66" spans="1:35" ht="20.149999999999999" customHeight="1" x14ac:dyDescent="0.25"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W66" s="117"/>
      <c r="X66" s="134" t="s">
        <v>49</v>
      </c>
      <c r="Y66" s="150">
        <f>平成19年度!C17</f>
        <v>54989</v>
      </c>
      <c r="Z66" s="151">
        <f>平成19年度!H17</f>
        <v>100626</v>
      </c>
      <c r="AA66" s="151">
        <f>平成19年度!Z66-平成19年度!AB66-平成19年度!AC66</f>
        <v>53665</v>
      </c>
      <c r="AB66" s="151">
        <f>平成19年度!K17</f>
        <v>22514</v>
      </c>
      <c r="AC66" s="152">
        <f>平成19年度!AD65+平成19年度!AD66</f>
        <v>24447</v>
      </c>
      <c r="AD66" s="153">
        <f>平成19年度!N17</f>
        <v>7884</v>
      </c>
      <c r="AE66" s="151">
        <f>平成19年度!R17</f>
        <v>124305</v>
      </c>
      <c r="AF66" s="150">
        <f>平成19年度!S17</f>
        <v>313817</v>
      </c>
      <c r="AG66" s="154">
        <f>平成19年度!Y66/+平成19年度!AE66</f>
        <v>0.44237158601826154</v>
      </c>
      <c r="AH66" s="155">
        <f>平成19年度!Z66/+平成19年度!AF66</f>
        <v>0.32065184486500092</v>
      </c>
      <c r="AI66" s="156">
        <f>平成19年度!AC66/+平成19年度!Z66</f>
        <v>0.24294913839365573</v>
      </c>
    </row>
    <row r="67" spans="1:35" ht="20.149999999999999" customHeight="1" x14ac:dyDescent="0.2">
      <c r="B67" s="121" t="s">
        <v>1241</v>
      </c>
      <c r="C67" s="122" t="e">
        <f>平成19年度!C66/平成19年度!C64</f>
        <v>#VALUE!</v>
      </c>
      <c r="D67" s="122" t="e">
        <f>平成19年度!D66/平成19年度!D64</f>
        <v>#VALUE!</v>
      </c>
      <c r="E67" s="122" t="e">
        <f>平成19年度!E66/平成19年度!E64</f>
        <v>#VALUE!</v>
      </c>
      <c r="F67" s="122" t="e">
        <f>ROUND(+平成19年度!F66/平成19年度!F64,4)</f>
        <v>#VALUE!</v>
      </c>
      <c r="G67" s="122" t="e">
        <f>ROUND((+平成19年度!E67+平成19年度!F67)/2,4)</f>
        <v>#VALUE!</v>
      </c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平成19年度!M18</f>
        <v>16486</v>
      </c>
      <c r="AE67" s="144"/>
      <c r="AF67" s="143"/>
      <c r="AG67" s="158" t="s">
        <v>275</v>
      </c>
      <c r="AH67" s="147" t="s">
        <v>275</v>
      </c>
      <c r="AI67" s="159" t="s">
        <v>275</v>
      </c>
    </row>
    <row r="68" spans="1:35" ht="20.149999999999999" customHeight="1" x14ac:dyDescent="0.2">
      <c r="B68" s="121" t="s">
        <v>509</v>
      </c>
      <c r="C68" s="121"/>
      <c r="D68" s="122" t="e">
        <f>平成19年度!D66/平成19年度!C66</f>
        <v>#VALUE!</v>
      </c>
      <c r="E68" s="122">
        <f>平成19年度!E66/平成19年度!D66</f>
        <v>0.25925412132844117</v>
      </c>
      <c r="F68" s="122">
        <f>ROUND(+平成19年度!F66/平成19年度!E66,4)</f>
        <v>1.0185999999999999</v>
      </c>
      <c r="G68" s="122">
        <f>ROUND(+平成19年度!G66/平成19年度!F66,4)</f>
        <v>1.0221</v>
      </c>
      <c r="W68" s="117"/>
      <c r="X68" s="134" t="s">
        <v>50</v>
      </c>
      <c r="Y68" s="150">
        <f>平成19年度!C18</f>
        <v>54915</v>
      </c>
      <c r="Z68" s="151">
        <f>平成19年度!H18</f>
        <v>100440</v>
      </c>
      <c r="AA68" s="151">
        <f>平成19年度!Z68-平成19年度!AB68-平成19年度!AC68</f>
        <v>53485</v>
      </c>
      <c r="AB68" s="151">
        <f>平成19年度!K18</f>
        <v>22606</v>
      </c>
      <c r="AC68" s="152">
        <f>平成19年度!AD67+平成19年度!AD68</f>
        <v>24349</v>
      </c>
      <c r="AD68" s="153">
        <f>平成19年度!N18</f>
        <v>7863</v>
      </c>
      <c r="AE68" s="151">
        <f>平成19年度!R18</f>
        <v>124413</v>
      </c>
      <c r="AF68" s="150">
        <f>平成19年度!S18</f>
        <v>313888</v>
      </c>
      <c r="AG68" s="154">
        <f>平成19年度!Y68/+平成19年度!AE68</f>
        <v>0.44139278049721492</v>
      </c>
      <c r="AH68" s="155">
        <f>平成19年度!Z68/+平成19年度!AF68</f>
        <v>0.31998674686512385</v>
      </c>
      <c r="AI68" s="156">
        <f>平成19年度!AC68/+平成19年度!Z68</f>
        <v>0.24242333731581042</v>
      </c>
    </row>
    <row r="69" spans="1:35" ht="20.149999999999999" customHeight="1" x14ac:dyDescent="0.2">
      <c r="W69" s="117"/>
      <c r="X69" s="142"/>
      <c r="Y69" s="143"/>
      <c r="Z69" s="144"/>
      <c r="AA69" s="144" t="s">
        <v>275</v>
      </c>
      <c r="AB69" s="144"/>
      <c r="AC69" s="157"/>
      <c r="AD69" s="146">
        <f>平成19年度!M19</f>
        <v>16484</v>
      </c>
      <c r="AE69" s="144"/>
      <c r="AF69" s="143"/>
      <c r="AG69" s="158" t="s">
        <v>275</v>
      </c>
      <c r="AH69" s="147" t="s">
        <v>275</v>
      </c>
      <c r="AI69" s="159" t="s">
        <v>275</v>
      </c>
    </row>
    <row r="70" spans="1:35" ht="20.149999999999999" customHeight="1" x14ac:dyDescent="0.2">
      <c r="D70" s="1" t="e">
        <f>平成19年度!C67*平成19年度!D64</f>
        <v>#VALUE!</v>
      </c>
      <c r="E70" s="1" t="e">
        <f>平成19年度!D67*平成19年度!E64</f>
        <v>#VALUE!</v>
      </c>
      <c r="F70" s="1" t="e">
        <f>平成19年度!E67*平成19年度!F64</f>
        <v>#VALUE!</v>
      </c>
      <c r="G70" s="1" t="e">
        <f>平成19年度!F67*平成19年度!G64</f>
        <v>#VALUE!</v>
      </c>
      <c r="H70" s="162" t="e">
        <f>IF(+平成19年度!G67*平成19年度!H64&gt;0,ROUNDDOWN(+平成19年度!G67*平成19年度!H64,-2),ROUNDUP(+平成19年度!G67*平成19年度!H64,-2))</f>
        <v>#VALUE!</v>
      </c>
      <c r="W70" s="117"/>
      <c r="X70" s="134" t="s">
        <v>51</v>
      </c>
      <c r="Y70" s="150">
        <f>平成19年度!C19</f>
        <v>54859</v>
      </c>
      <c r="Z70" s="151">
        <f>平成19年度!H19</f>
        <v>100160</v>
      </c>
      <c r="AA70" s="151">
        <f>平成19年度!Z70-平成19年度!AB70-平成19年度!AC70</f>
        <v>53409</v>
      </c>
      <c r="AB70" s="151">
        <f>平成19年度!K19</f>
        <v>22401</v>
      </c>
      <c r="AC70" s="152">
        <f>平成19年度!AD69+平成19年度!AD70</f>
        <v>24350</v>
      </c>
      <c r="AD70" s="153">
        <f>平成19年度!N19</f>
        <v>7866</v>
      </c>
      <c r="AE70" s="151">
        <f>平成19年度!R19</f>
        <v>124587</v>
      </c>
      <c r="AF70" s="150">
        <f>平成19年度!S19</f>
        <v>313495</v>
      </c>
      <c r="AG70" s="154">
        <f>平成19年度!Y70/+平成19年度!AE70</f>
        <v>0.4403268398789601</v>
      </c>
      <c r="AH70" s="155">
        <f>平成19年度!Z70/+平成19年度!AF70</f>
        <v>0.31949472878355317</v>
      </c>
      <c r="AI70" s="156">
        <f>平成19年度!AC70/+平成19年度!Z70</f>
        <v>0.24311102236421725</v>
      </c>
    </row>
    <row r="71" spans="1:35" ht="20.149999999999999" customHeight="1" x14ac:dyDescent="0.2"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平成19年度!AD47+平成19年度!AD49+平成19年度!AD51+平成19年度!AD53+平成19年度!AD55+平成19年度!AD57+平成19年度!AD59+平成19年度!AD61+平成19年度!AD63+平成19年度!AD65+平成19年度!AD67+平成19年度!AD69</f>
        <v>199151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</row>
    <row r="72" spans="1:35" ht="20.149999999999999" customHeight="1" x14ac:dyDescent="0.2">
      <c r="W72" s="117"/>
      <c r="X72" s="134" t="s">
        <v>52</v>
      </c>
      <c r="Y72" s="150">
        <f>SUM(平成19年度!Y48:Y70)</f>
        <v>662461</v>
      </c>
      <c r="Z72" s="151">
        <f>SUM(平成19年度!Z48:Z70)</f>
        <v>1216112</v>
      </c>
      <c r="AA72" s="151">
        <f>SUM(平成19年度!AA48:AA70)</f>
        <v>653742</v>
      </c>
      <c r="AB72" s="151">
        <f>SUM(平成19年度!AB48:AB70)</f>
        <v>268531</v>
      </c>
      <c r="AC72" s="152">
        <f>SUM(平成19年度!AC48:AC70)</f>
        <v>293839</v>
      </c>
      <c r="AD72" s="153">
        <f>平成19年度!AD48+平成19年度!AD50+平成19年度!AD52+平成19年度!AD54+平成19年度!AD56+平成19年度!AD58+平成19年度!AD60+平成19年度!AD62+平成19年度!AD64+平成19年度!AD66+平成19年度!AD68+平成19年度!AD70</f>
        <v>94688</v>
      </c>
      <c r="AE72" s="150">
        <f>SUM(平成19年度!AE48:AE70)</f>
        <v>1486360</v>
      </c>
      <c r="AF72" s="151">
        <f>SUM(平成19年度!AF48:AF70)</f>
        <v>3760556</v>
      </c>
      <c r="AG72" s="154">
        <f>平成19年度!Y72/+平成19年度!AE72</f>
        <v>0.44569350628380744</v>
      </c>
      <c r="AH72" s="155">
        <f>平成19年度!Z72/+平成19年度!AF72</f>
        <v>0.32338622267558309</v>
      </c>
      <c r="AI72" s="156">
        <f>平成19年度!AC72/+平成19年度!Z72</f>
        <v>0.24162165984711934</v>
      </c>
    </row>
    <row r="73" spans="1:35" ht="20.149999999999999" customHeight="1" x14ac:dyDescent="0.2">
      <c r="W73" s="117"/>
      <c r="X73" s="142" t="s">
        <v>69</v>
      </c>
      <c r="Y73" s="143" t="s">
        <v>69</v>
      </c>
      <c r="Z73" s="144" t="s">
        <v>69</v>
      </c>
      <c r="AA73" s="144" t="e">
        <f>平成19年度!AA74+平成19年度!AB74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</row>
    <row r="74" spans="1:35" ht="20.149999999999999" customHeight="1" x14ac:dyDescent="0.2"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平成19年度!Y74/+平成19年度!AE74</f>
        <v>#VALUE!</v>
      </c>
      <c r="AH74" s="170" t="e">
        <f>平成19年度!Z74/+平成19年度!AF74</f>
        <v>#VALUE!</v>
      </c>
      <c r="AI74" s="171" t="e">
        <f>平成19年度!AC74/+平成19年度!Z74</f>
        <v>#VALUE!</v>
      </c>
    </row>
    <row r="75" spans="1:35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平成19年度!M2+平成19年度!AD47+平成19年度!AD49+平成19年度!AD51+平成19年度!AD53+平成19年度!AD55+平成19年度!AD57+平成19年度!AD59+平成19年度!AD61+平成19年度!AD63</f>
        <v>197719</v>
      </c>
      <c r="AE75" s="174"/>
      <c r="AF75" s="173"/>
      <c r="AG75" s="177"/>
      <c r="AH75" s="178"/>
      <c r="AI75" s="179"/>
    </row>
    <row r="76" spans="1:35" ht="20.149999999999999" customHeight="1" x14ac:dyDescent="0.2">
      <c r="A76" s="1" t="s">
        <v>1339</v>
      </c>
      <c r="B76" s="1">
        <v>2</v>
      </c>
      <c r="C76" s="1">
        <f>平成19年度!C75+平成19年度!C77</f>
        <v>478663</v>
      </c>
      <c r="D76" s="1">
        <f>平成19年度!D75+平成19年度!D77</f>
        <v>497118</v>
      </c>
      <c r="E76" s="1">
        <f>平成19年度!E75+平成19年度!E77</f>
        <v>515553</v>
      </c>
      <c r="F76" s="1">
        <f>平成19年度!F75+平成19年度!F77</f>
        <v>534452</v>
      </c>
      <c r="G76" s="1">
        <f>平成19年度!G75+平成19年度!G77</f>
        <v>555972</v>
      </c>
      <c r="H76" s="1">
        <f>平成19年度!H75+平成19年度!H77</f>
        <v>605131</v>
      </c>
      <c r="W76" s="180" t="s">
        <v>593</v>
      </c>
      <c r="X76" s="134" t="s">
        <v>52</v>
      </c>
      <c r="Y76" s="181">
        <f>平成19年度!C2+SUM(平成19年度!Y48:Y64)</f>
        <v>663235</v>
      </c>
      <c r="Z76" s="182">
        <f>平成19年度!H2+SUM(平成19年度!Z48:Z64)</f>
        <v>1221430</v>
      </c>
      <c r="AA76" s="182">
        <f>平成19年度!J2+SUM(平成19年度!AA48:AA64)</f>
        <v>660745</v>
      </c>
      <c r="AB76" s="182">
        <f>平成19年度!K2+SUM(平成19年度!AB48:AB64)</f>
        <v>269137</v>
      </c>
      <c r="AC76" s="183">
        <f>平成19年度!L2+SUM(平成19年度!AC48:AC64)</f>
        <v>291548</v>
      </c>
      <c r="AD76" s="184">
        <f>平成19年度!N2+平成19年度!AD48+平成19年度!AD50+平成19年度!AD52+平成19年度!AD54+平成19年度!AD56+平成19年度!AD58+平成19年度!AD60+平成19年度!AD62+平成19年度!AD64</f>
        <v>93829</v>
      </c>
      <c r="AE76" s="181">
        <f>平成19年度!R2+SUM(平成19年度!AE48:AE64)</f>
        <v>1479602</v>
      </c>
      <c r="AF76" s="182">
        <f>平成19年度!S2+SUM(平成19年度!AF48:AF64)</f>
        <v>3756228</v>
      </c>
      <c r="AG76" s="185">
        <f>平成19年度!Y76/+平成19年度!AE76</f>
        <v>0.44825230028075119</v>
      </c>
      <c r="AH76" s="186">
        <f>平成19年度!Z76/+平成19年度!AF76</f>
        <v>0.32517461666331221</v>
      </c>
      <c r="AI76" s="187">
        <f>平成19年度!AC76/+平成19年度!Z76</f>
        <v>0.23869398983159085</v>
      </c>
    </row>
    <row r="77" spans="1:35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平成19年度!H27</f>
        <v>510403</v>
      </c>
      <c r="W77" s="188" t="s">
        <v>1343</v>
      </c>
      <c r="X77" s="142" t="s">
        <v>69</v>
      </c>
      <c r="Y77" s="189"/>
      <c r="Z77" s="190"/>
      <c r="AA77" s="190" t="e">
        <f>平成19年度!AA78+平成19年度!AB78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</row>
    <row r="78" spans="1:35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平成19年度!H20</f>
        <v>1216112</v>
      </c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平成19年度!Y78/+平成19年度!AE78</f>
        <v>#VALUE!</v>
      </c>
      <c r="AH78" s="202" t="e">
        <f>平成19年度!Z78/+平成19年度!AF78</f>
        <v>#VALUE!</v>
      </c>
      <c r="AI78" s="203" t="e">
        <f>平成19年度!AC78/+平成19年度!Z78</f>
        <v>#VALUE!</v>
      </c>
    </row>
    <row r="79" spans="1:35" ht="20.149999999999999" customHeight="1" x14ac:dyDescent="0.2"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平成19年度!H21</f>
        <v>#VALUE!</v>
      </c>
    </row>
    <row r="80" spans="1:35" ht="20.149999999999999" customHeight="1" x14ac:dyDescent="0.2">
      <c r="A80" s="1" t="s">
        <v>1347</v>
      </c>
      <c r="C80" s="204">
        <f>ROUND(+平成19年度!C78/平成19年度!C76,8)</f>
        <v>2.02529337</v>
      </c>
      <c r="D80" s="204">
        <f>ROUND(+平成19年度!D78/平成19年度!D76,8)</f>
        <v>2.0240164300000001</v>
      </c>
      <c r="E80" s="204">
        <f>ROUND(+平成19年度!E78/平成19年度!E76,8)</f>
        <v>2.02072144</v>
      </c>
      <c r="F80" s="204">
        <f>ROUND(+平成19年度!F78/平成19年度!F76,8)</f>
        <v>2.0253886200000002</v>
      </c>
      <c r="G80" s="204">
        <f>ROUND(+平成19年度!G78/平成19年度!G76,8)</f>
        <v>2.02343283</v>
      </c>
    </row>
    <row r="81" spans="1:8" ht="20.149999999999999" customHeight="1" x14ac:dyDescent="0.2">
      <c r="A81" s="1" t="s">
        <v>1348</v>
      </c>
      <c r="C81" s="204">
        <f>ROUND(+平成19年度!C78/平成19年度!C77,8)</f>
        <v>2.4246736000000002</v>
      </c>
      <c r="D81" s="204">
        <f>ROUND(+平成19年度!D78/平成19年度!D77,8)</f>
        <v>2.4232626499999999</v>
      </c>
      <c r="E81" s="204">
        <f>ROUND(+平成19年度!E78/平成19年度!E77,8)</f>
        <v>2.4196870499999998</v>
      </c>
      <c r="F81" s="204">
        <f>ROUND(+平成19年度!F78/平成19年度!F77,8)</f>
        <v>2.4238196300000001</v>
      </c>
      <c r="G81" s="204">
        <f>ROUND(+平成19年度!G78/平成19年度!G77,8)</f>
        <v>2.42133062</v>
      </c>
    </row>
    <row r="82" spans="1:8" ht="20.149999999999999" customHeight="1" x14ac:dyDescent="0.2">
      <c r="A82" s="1" t="s">
        <v>1349</v>
      </c>
      <c r="D82" s="204">
        <f>ROUND(+平成19年度!D78/平成19年度!C78,8)</f>
        <v>1.0379004999999999</v>
      </c>
      <c r="E82" s="204">
        <f>ROUND(+平成19年度!E78/平成19年度!D78,8)</f>
        <v>1.0353954299999999</v>
      </c>
      <c r="F82" s="204">
        <f>ROUND(+平成19年度!F78/平成19年度!E78,8)</f>
        <v>1.03905205</v>
      </c>
      <c r="G82" s="204">
        <f>ROUND(+平成19年度!G78/平成19年度!F78,8)</f>
        <v>1.03926103</v>
      </c>
      <c r="H82" s="204" t="s">
        <v>275</v>
      </c>
    </row>
    <row r="83" spans="1:8" ht="20.149999999999999" customHeight="1" x14ac:dyDescent="0.2">
      <c r="A83" s="1" t="s">
        <v>1351</v>
      </c>
      <c r="E83" s="1">
        <f>(+平成19年度!C81+平成19年度!D81)/2*平成19年度!E77/12</f>
        <v>86969.35035953125</v>
      </c>
      <c r="F83" s="1">
        <f>(+平成19年度!D81+平成19年度!E81)/2*平成19年度!F77/12</f>
        <v>90118.818755025</v>
      </c>
      <c r="G83" s="1">
        <f>(+平成19年度!E81+平成19年度!F81)/2*平成19年度!G77/12</f>
        <v>93764.033128671654</v>
      </c>
      <c r="H83" s="1">
        <f>(+平成19年度!F81+平成19年度!G81)/2*平成19年度!H77/12</f>
        <v>103040.80096044792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1" t="e">
        <f>(+平成19年度!D82+平成19年度!E82)/2*平成19年度!E79</f>
        <v>#VALUE!</v>
      </c>
      <c r="G86" s="1" t="e">
        <f>(+平成19年度!E82+平成19年度!F82)/2*平成19年度!F79</f>
        <v>#VALUE!</v>
      </c>
      <c r="H86" s="1" t="e">
        <f>(+平成19年度!F82+平成19年度!G82)/2*平成19年度!G79</f>
        <v>#VALUE!</v>
      </c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&amp;L&amp;Z&amp;F&amp;R&amp;F&amp;A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86"/>
  <sheetViews>
    <sheetView zoomScale="75" zoomScaleNormal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R1" sqref="R1"/>
    </sheetView>
  </sheetViews>
  <sheetFormatPr defaultColWidth="10" defaultRowHeight="14" x14ac:dyDescent="0.2"/>
  <cols>
    <col min="1" max="1" width="10" style="1"/>
    <col min="2" max="2" width="9.75" style="1" customWidth="1"/>
    <col min="3" max="3" width="9.33203125" style="1" customWidth="1"/>
    <col min="4" max="4" width="9" style="1" customWidth="1"/>
    <col min="5" max="5" width="8.83203125" style="1" customWidth="1"/>
    <col min="6" max="6" width="9" style="1" customWidth="1"/>
    <col min="7" max="7" width="8.75" style="1" customWidth="1"/>
    <col min="8" max="8" width="11.08203125" style="1" customWidth="1"/>
    <col min="9" max="12" width="10" style="1"/>
    <col min="13" max="13" width="9.33203125" style="1" customWidth="1"/>
    <col min="14" max="14" width="9.25" style="1" customWidth="1"/>
    <col min="15" max="15" width="10.75" style="1" customWidth="1"/>
    <col min="16" max="16" width="9" style="1" customWidth="1"/>
    <col min="17" max="17" width="8.58203125" style="1" customWidth="1"/>
    <col min="18" max="18" width="11" style="1" customWidth="1"/>
    <col min="19" max="19" width="10.83203125" style="1" customWidth="1"/>
    <col min="20" max="20" width="10.58203125" style="1" customWidth="1"/>
    <col min="21" max="21" width="11.58203125" style="1" customWidth="1"/>
    <col min="22" max="22" width="10.58203125" style="1" customWidth="1"/>
    <col min="23" max="16384" width="10" style="1"/>
  </cols>
  <sheetData>
    <row r="1" spans="1:44" ht="20.149999999999999" customHeight="1" x14ac:dyDescent="0.2">
      <c r="B1" s="1" t="s">
        <v>2839</v>
      </c>
      <c r="AJ1" s="1" t="s">
        <v>1032</v>
      </c>
    </row>
    <row r="2" spans="1:44" ht="20.149999999999999" customHeight="1" x14ac:dyDescent="0.2">
      <c r="A2" s="2" t="s">
        <v>815</v>
      </c>
      <c r="C2" s="205">
        <f>SUM(平成19年度!C17:C19)</f>
        <v>164763</v>
      </c>
      <c r="D2" s="205">
        <f>SUM(平成19年度!D17:D19)</f>
        <v>130252</v>
      </c>
      <c r="E2" s="205">
        <f>SUM(平成19年度!E17:E19)</f>
        <v>120341</v>
      </c>
      <c r="F2" s="205">
        <f>SUM(平成19年度!F17:F19)</f>
        <v>9911</v>
      </c>
      <c r="G2" s="205">
        <f>SUM(平成19年度!G17:G19)</f>
        <v>34511</v>
      </c>
      <c r="H2" s="205">
        <f>SUM(平成19年度!H17:H19)</f>
        <v>301226</v>
      </c>
      <c r="I2" s="205">
        <f>SUM(平成19年度!I17:I19)</f>
        <v>228080</v>
      </c>
      <c r="J2" s="205">
        <f>SUM(平成19年度!J17:J19)</f>
        <v>160559</v>
      </c>
      <c r="K2" s="205">
        <f>SUM(平成19年度!K17:K19)</f>
        <v>67521</v>
      </c>
      <c r="L2" s="205">
        <f>SUM(平成19年度!L17:L19)</f>
        <v>73146</v>
      </c>
      <c r="M2" s="205">
        <f>SUM(平成19年度!M17:M19)</f>
        <v>49533</v>
      </c>
      <c r="N2" s="205">
        <f>SUM(平成19年度!N17:N19)</f>
        <v>23613</v>
      </c>
      <c r="O2" s="205">
        <f>SUM(平成19年度!O17:O19)</f>
        <v>82704</v>
      </c>
      <c r="P2" s="205">
        <f>SUM(平成19年度!P17:P19)</f>
        <v>61292</v>
      </c>
      <c r="Q2" s="205">
        <f>SUM(平成19年度!Q17:Q19)</f>
        <v>21412</v>
      </c>
      <c r="R2" s="205">
        <f>SUM(平成19年度!R17:R19)</f>
        <v>373305</v>
      </c>
      <c r="S2" s="205">
        <f>SUM(平成19年度!S17:S19)</f>
        <v>941200</v>
      </c>
    </row>
    <row r="3" spans="1:44" ht="20.149999999999999" customHeight="1" x14ac:dyDescent="0.2">
      <c r="A3" s="2" t="s">
        <v>816</v>
      </c>
      <c r="B3" s="3"/>
      <c r="C3" s="3" t="s">
        <v>2840</v>
      </c>
      <c r="D3" s="3"/>
      <c r="E3" s="3" t="s">
        <v>2841</v>
      </c>
      <c r="F3" s="3"/>
      <c r="H3" s="204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374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AJ4" s="17" t="s">
        <v>1055</v>
      </c>
      <c r="AK4" s="327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ROUND(+×20年度!AK4/×20年度!AM4,4)</f>
        <v>#VALUE!</v>
      </c>
      <c r="AP4" s="22" t="e">
        <f>ROUND(+×20年度!AL4/×20年度!AN4,4)</f>
        <v>#VALUE!</v>
      </c>
    </row>
    <row r="5" spans="1:44" ht="20.149999999999999" customHeight="1" x14ac:dyDescent="0.2">
      <c r="A5" s="2" t="s">
        <v>829</v>
      </c>
      <c r="B5" s="375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329" t="s">
        <v>2817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ROUND(+×20年度!AK5/×20年度!AM5,4)</f>
        <v>#VALUE!</v>
      </c>
      <c r="AP5" s="35" t="e">
        <f>ROUND(+×20年度!AL5/×20年度!AN5,4)</f>
        <v>#VALUE!</v>
      </c>
      <c r="AQ5" s="36" t="e">
        <f>ROUND((+×20年度!AO5-×20年度!AO4),4)</f>
        <v>#VALUE!</v>
      </c>
      <c r="AR5" s="36" t="e">
        <f>ROUND((+×20年度!AP5-×20年度!AP4),4)</f>
        <v>#VALUE!</v>
      </c>
    </row>
    <row r="6" spans="1:44" ht="20.149999999999999" customHeight="1" thickTop="1" x14ac:dyDescent="0.2">
      <c r="A6" s="2" t="s">
        <v>847</v>
      </c>
      <c r="B6" s="382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ROUND(+×20年度!AK6/×20年度!AM6,4)</f>
        <v>0.28620000000000001</v>
      </c>
      <c r="AP6" s="35">
        <f>ROUND(+×20年度!AL6/×20年度!AN6,4)</f>
        <v>0.40529999999999999</v>
      </c>
      <c r="AQ6" s="36" t="e">
        <f>ROUND((+×20年度!AO6-×20年度!AO5),4)</f>
        <v>#VALUE!</v>
      </c>
      <c r="AR6" s="36" t="e">
        <f>ROUND((+×20年度!AP6-×20年度!AP5),4)</f>
        <v>#VALUE!</v>
      </c>
    </row>
    <row r="7" spans="1:44" ht="20.149999999999999" customHeight="1" x14ac:dyDescent="0.2">
      <c r="A7" s="2"/>
      <c r="B7" s="376" t="s">
        <v>51</v>
      </c>
      <c r="C7" s="319">
        <f>平成19年度!C$19</f>
        <v>54859</v>
      </c>
      <c r="D7" s="45">
        <f>E7+F7</f>
        <v>43366</v>
      </c>
      <c r="E7" s="45">
        <f>C7-G7-F7</f>
        <v>40075</v>
      </c>
      <c r="F7" s="46">
        <f>平成19年度!F$19</f>
        <v>3291</v>
      </c>
      <c r="G7" s="47">
        <f>平成19年度!G$19</f>
        <v>11493</v>
      </c>
      <c r="H7" s="315">
        <f t="shared" ref="H7:H19" si="0">I7+L7</f>
        <v>100160</v>
      </c>
      <c r="I7" s="45">
        <f>J7+K7</f>
        <v>75810</v>
      </c>
      <c r="J7" s="46">
        <f>平成19年度!J$19</f>
        <v>53409</v>
      </c>
      <c r="K7" s="49">
        <f>平成19年度!K$19</f>
        <v>22401</v>
      </c>
      <c r="L7" s="45">
        <f>M7+N7</f>
        <v>24350</v>
      </c>
      <c r="M7" s="46">
        <f>平成19年度!M$19</f>
        <v>16484</v>
      </c>
      <c r="N7" s="47">
        <f>平成19年度!N$19</f>
        <v>7866</v>
      </c>
      <c r="O7" s="319">
        <f>平成19年度!O$19</f>
        <v>27284</v>
      </c>
      <c r="P7" s="45">
        <f t="shared" ref="P7:P19" si="1">O7-Q7</f>
        <v>20279</v>
      </c>
      <c r="Q7" s="47">
        <f>平成19年度!Q$19</f>
        <v>7005</v>
      </c>
      <c r="R7" s="44">
        <f>平成19年度!R$19</f>
        <v>124587</v>
      </c>
      <c r="S7" s="46">
        <f>平成19年度!S$19</f>
        <v>313495</v>
      </c>
      <c r="T7" s="50">
        <f>C7/R7</f>
        <v>0.4403268398789601</v>
      </c>
      <c r="U7" s="51">
        <f>H7/S7</f>
        <v>0.31949472878355317</v>
      </c>
      <c r="V7" s="52">
        <f>L7/H7</f>
        <v>0.24311102236421725</v>
      </c>
      <c r="AJ7" s="30" t="s">
        <v>1074</v>
      </c>
      <c r="AK7" s="31">
        <v>81903</v>
      </c>
      <c r="AL7" s="32">
        <v>41659</v>
      </c>
      <c r="AM7" s="33">
        <v>291953</v>
      </c>
      <c r="AN7" s="33">
        <v>104651</v>
      </c>
      <c r="AO7" s="34">
        <v>0.28050000000000003</v>
      </c>
      <c r="AP7" s="35">
        <v>0.39810000000000001</v>
      </c>
      <c r="AQ7" s="36">
        <v>9.9000000000000008E-3</v>
      </c>
      <c r="AR7" s="36">
        <v>1.26E-2</v>
      </c>
    </row>
    <row r="8" spans="1:44" ht="20.149999999999999" customHeight="1" x14ac:dyDescent="0.2">
      <c r="A8" s="2" t="s">
        <v>860</v>
      </c>
      <c r="B8" s="377" t="s">
        <v>40</v>
      </c>
      <c r="C8" s="319">
        <v>43490</v>
      </c>
      <c r="D8" s="45">
        <f>×20年度!E8+×20年度!F8</f>
        <v>41113</v>
      </c>
      <c r="E8" s="45">
        <f>×20年度!C8-×20年度!G8-×20年度!F8</f>
        <v>40327</v>
      </c>
      <c r="F8" s="46">
        <v>786</v>
      </c>
      <c r="G8" s="47">
        <v>2377</v>
      </c>
      <c r="H8" s="315">
        <f t="shared" si="0"/>
        <v>77940</v>
      </c>
      <c r="I8" s="45">
        <f>×20年度!J8+×20年度!K8</f>
        <v>72542</v>
      </c>
      <c r="J8" s="46">
        <f>77940-L8-K8</f>
        <v>46842</v>
      </c>
      <c r="K8" s="49">
        <v>25700</v>
      </c>
      <c r="L8" s="45">
        <f>×20年度!M8+×20年度!N8</f>
        <v>5398</v>
      </c>
      <c r="M8" s="46">
        <v>3690</v>
      </c>
      <c r="N8" s="47">
        <v>1708</v>
      </c>
      <c r="O8" s="319">
        <v>27622</v>
      </c>
      <c r="P8" s="45">
        <f t="shared" si="1"/>
        <v>22912</v>
      </c>
      <c r="Q8" s="47">
        <v>4710</v>
      </c>
      <c r="R8" s="328">
        <v>125257</v>
      </c>
      <c r="S8" s="331">
        <v>314181</v>
      </c>
      <c r="T8" s="51">
        <f>×20年度!C8/×20年度!R8</f>
        <v>0.34720614416759144</v>
      </c>
      <c r="U8" s="51">
        <f>×20年度!H8/×20年度!S8</f>
        <v>0.24807356269156952</v>
      </c>
      <c r="V8" s="52">
        <f>×20年度!L8/×20年度!H8</f>
        <v>6.9258403900436236E-2</v>
      </c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ROUND(+×20年度!AK8/×20年度!AM8,4)</f>
        <v>#VALUE!</v>
      </c>
      <c r="AP8" s="35">
        <f>ROUND(+×20年度!AL8/×20年度!AN8,4)</f>
        <v>1.6304000000000001</v>
      </c>
      <c r="AQ8" s="36" t="e">
        <f>ROUND((+×20年度!AO8-×20年度!AO6),4)</f>
        <v>#VALUE!</v>
      </c>
      <c r="AR8" s="36">
        <f>ROUND((+×20年度!AP8-×20年度!AP6),4)</f>
        <v>1.2251000000000001</v>
      </c>
    </row>
    <row r="9" spans="1:44" ht="20.149999999999999" customHeight="1" x14ac:dyDescent="0.2">
      <c r="A9" s="2" t="s">
        <v>862</v>
      </c>
      <c r="B9" s="377" t="s">
        <v>41</v>
      </c>
      <c r="C9" s="863">
        <v>43473</v>
      </c>
      <c r="D9" s="45">
        <f>×20年度!E9+×20年度!F9</f>
        <v>41134</v>
      </c>
      <c r="E9" s="45">
        <f>×20年度!C9-×20年度!G9-×20年度!F9</f>
        <v>40364</v>
      </c>
      <c r="F9" s="46">
        <v>770</v>
      </c>
      <c r="G9" s="47">
        <v>2339</v>
      </c>
      <c r="H9" s="315">
        <f t="shared" si="0"/>
        <v>77751</v>
      </c>
      <c r="I9" s="45">
        <f>×20年度!J9+×20年度!K9</f>
        <v>72448</v>
      </c>
      <c r="J9" s="46">
        <f>77751-K9-L9</f>
        <v>46674</v>
      </c>
      <c r="K9" s="49">
        <v>25774</v>
      </c>
      <c r="L9" s="45">
        <f>×20年度!M9+×20年度!N9</f>
        <v>5303</v>
      </c>
      <c r="M9" s="46">
        <v>3641</v>
      </c>
      <c r="N9" s="47">
        <v>1662</v>
      </c>
      <c r="O9" s="319">
        <v>27563</v>
      </c>
      <c r="P9" s="45">
        <f t="shared" si="1"/>
        <v>22948</v>
      </c>
      <c r="Q9" s="47">
        <v>4615</v>
      </c>
      <c r="R9" s="54">
        <v>125489</v>
      </c>
      <c r="S9" s="332">
        <v>314391</v>
      </c>
      <c r="T9" s="51">
        <f>×20年度!C9/×20年度!R9</f>
        <v>0.34642877064922023</v>
      </c>
      <c r="U9" s="51">
        <f>×20年度!H9/×20年度!S9</f>
        <v>0.24730669771081235</v>
      </c>
      <c r="V9" s="52">
        <f>×20年度!L9/×20年度!H9</f>
        <v>6.8204910547774306E-2</v>
      </c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ROUND(+×20年度!AK9/×20年度!AM9,4)</f>
        <v>#VALUE!</v>
      </c>
      <c r="AP9" s="35">
        <f>ROUND(+×20年度!AL9/×20年度!AN9,4)</f>
        <v>1.6746000000000001</v>
      </c>
      <c r="AQ9" s="36" t="e">
        <f>ROUND((+×20年度!AO9-×20年度!AO8),4)</f>
        <v>#VALUE!</v>
      </c>
      <c r="AR9" s="36">
        <f>ROUND((+×20年度!AP9-×20年度!AP8),4)</f>
        <v>4.4200000000000003E-2</v>
      </c>
    </row>
    <row r="10" spans="1:44" ht="20.149999999999999" customHeight="1" thickBot="1" x14ac:dyDescent="0.25">
      <c r="A10" s="2" t="s">
        <v>864</v>
      </c>
      <c r="B10" s="378" t="s">
        <v>42</v>
      </c>
      <c r="C10" s="319">
        <v>43376</v>
      </c>
      <c r="D10" s="55">
        <f>×20年度!E10+×20年度!F10</f>
        <v>41062</v>
      </c>
      <c r="E10" s="55">
        <f>×20年度!C10-×20年度!G10-×20年度!F10</f>
        <v>40293</v>
      </c>
      <c r="F10" s="46">
        <v>769</v>
      </c>
      <c r="G10" s="47">
        <v>2314</v>
      </c>
      <c r="H10" s="315">
        <f t="shared" si="0"/>
        <v>77543</v>
      </c>
      <c r="I10" s="55">
        <f>×20年度!J10+×20年度!K10</f>
        <v>72286</v>
      </c>
      <c r="J10" s="46">
        <f>77543-K10-L10</f>
        <v>46435</v>
      </c>
      <c r="K10" s="49">
        <v>25851</v>
      </c>
      <c r="L10" s="55">
        <f>×20年度!M10+×20年度!N10</f>
        <v>5257</v>
      </c>
      <c r="M10" s="46">
        <v>3626</v>
      </c>
      <c r="N10" s="47">
        <v>1631</v>
      </c>
      <c r="O10" s="319">
        <v>27467</v>
      </c>
      <c r="P10" s="55">
        <f t="shared" si="1"/>
        <v>22909</v>
      </c>
      <c r="Q10" s="47">
        <v>4558</v>
      </c>
      <c r="R10" s="44">
        <v>125639</v>
      </c>
      <c r="S10" s="46">
        <v>314539</v>
      </c>
      <c r="T10" s="60">
        <f>×20年度!C10/×20年度!R10</f>
        <v>0.34524311718495054</v>
      </c>
      <c r="U10" s="61">
        <f>×20年度!H10/×20年度!S10</f>
        <v>0.24652904727235733</v>
      </c>
      <c r="V10" s="62">
        <f>×20年度!L10/×20年度!H10</f>
        <v>6.7794642972286351E-2</v>
      </c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ROUND(+×20年度!AK10/×20年度!AM10,4)</f>
        <v>#VALUE!</v>
      </c>
      <c r="AP10" s="68">
        <f>ROUND(+×20年度!AL10/×20年度!AN10,4)</f>
        <v>1.7114</v>
      </c>
      <c r="AQ10" s="36" t="e">
        <f>ROUND((+×20年度!AO10-×20年度!AO9),4)</f>
        <v>#VALUE!</v>
      </c>
      <c r="AR10" s="36">
        <f>ROUND((+×20年度!AP10-×20年度!AP9),4)</f>
        <v>3.6799999999999999E-2</v>
      </c>
    </row>
    <row r="11" spans="1:44" ht="20.149999999999999" customHeight="1" thickTop="1" thickBot="1" x14ac:dyDescent="0.25">
      <c r="A11" s="2" t="s">
        <v>866</v>
      </c>
      <c r="B11" s="378" t="s">
        <v>43</v>
      </c>
      <c r="C11" s="319">
        <v>43316</v>
      </c>
      <c r="D11" s="55">
        <f>×20年度!E11+×20年度!F11</f>
        <v>40975</v>
      </c>
      <c r="E11" s="55">
        <f>×20年度!C11-×20年度!G11-×20年度!F11</f>
        <v>40205</v>
      </c>
      <c r="F11" s="46">
        <v>770</v>
      </c>
      <c r="G11" s="47">
        <v>2341</v>
      </c>
      <c r="H11" s="315">
        <f t="shared" si="0"/>
        <v>77339</v>
      </c>
      <c r="I11" s="55">
        <f>×20年度!J11+×20年度!K11</f>
        <v>72037</v>
      </c>
      <c r="J11" s="46">
        <f>77339-K11-L11</f>
        <v>46171</v>
      </c>
      <c r="K11" s="49">
        <v>25866</v>
      </c>
      <c r="L11" s="55">
        <f>×20年度!M11+×20年度!N11</f>
        <v>5302</v>
      </c>
      <c r="M11" s="46">
        <v>3671</v>
      </c>
      <c r="N11" s="47">
        <v>1631</v>
      </c>
      <c r="O11" s="319">
        <v>27385</v>
      </c>
      <c r="P11" s="55">
        <f t="shared" si="1"/>
        <v>22803</v>
      </c>
      <c r="Q11" s="47">
        <v>4582</v>
      </c>
      <c r="R11" s="44">
        <v>125861</v>
      </c>
      <c r="S11" s="46">
        <v>314740</v>
      </c>
      <c r="T11" s="60">
        <f>×20年度!C11/×20年度!R11</f>
        <v>0.34415744352897243</v>
      </c>
      <c r="U11" s="61">
        <f>×20年度!H11/×20年度!S11</f>
        <v>0.24572345427972295</v>
      </c>
      <c r="V11" s="62">
        <f>×20年度!L11/×20年度!H11</f>
        <v>6.8555321377312864E-2</v>
      </c>
      <c r="AJ11" s="69" t="s">
        <v>907</v>
      </c>
      <c r="AK11" s="70" t="e">
        <f>×20年度!H21</f>
        <v>#VALUE!</v>
      </c>
      <c r="AL11" s="71" t="e">
        <f>×20年度!C21</f>
        <v>#VALUE!</v>
      </c>
      <c r="AM11" s="72" t="e">
        <f>×20年度!S21</f>
        <v>#VALUE!</v>
      </c>
      <c r="AN11" s="72" t="e">
        <f>×20年度!R21</f>
        <v>#VALUE!</v>
      </c>
      <c r="AO11" s="73" t="e">
        <f>ROUND(+×20年度!AK11/×20年度!AM11,4)</f>
        <v>#VALUE!</v>
      </c>
      <c r="AP11" s="74" t="e">
        <f>ROUND(+×20年度!AL11/×20年度!AN11,4)</f>
        <v>#VALUE!</v>
      </c>
      <c r="AQ11" s="36" t="e">
        <f>ROUND((+×20年度!AO11-×20年度!AO10),4)</f>
        <v>#VALUE!</v>
      </c>
      <c r="AR11" s="36" t="e">
        <f>ROUND((+×20年度!AP11-×20年度!AP10),4)</f>
        <v>#VALUE!</v>
      </c>
    </row>
    <row r="12" spans="1:44" ht="20.149999999999999" customHeight="1" thickTop="1" thickBot="1" x14ac:dyDescent="0.25">
      <c r="A12" s="2" t="s">
        <v>868</v>
      </c>
      <c r="B12" s="378" t="s">
        <v>44</v>
      </c>
      <c r="C12" s="319">
        <v>43339</v>
      </c>
      <c r="D12" s="55">
        <f>×20年度!E12+×20年度!F12</f>
        <v>41021</v>
      </c>
      <c r="E12" s="55">
        <f>×20年度!C12-×20年度!G12-×20年度!F12</f>
        <v>40253</v>
      </c>
      <c r="F12" s="46">
        <v>768</v>
      </c>
      <c r="G12" s="47">
        <v>2318</v>
      </c>
      <c r="H12" s="315">
        <f t="shared" si="0"/>
        <v>77337</v>
      </c>
      <c r="I12" s="55">
        <f>×20年度!J12+×20年度!K12</f>
        <v>72074</v>
      </c>
      <c r="J12" s="46">
        <f>77337-K12-L12</f>
        <v>46079</v>
      </c>
      <c r="K12" s="49">
        <v>25995</v>
      </c>
      <c r="L12" s="55">
        <f>×20年度!M12+×20年度!N12</f>
        <v>5263</v>
      </c>
      <c r="M12" s="46">
        <v>3659</v>
      </c>
      <c r="N12" s="47">
        <v>1604</v>
      </c>
      <c r="O12" s="319">
        <v>27290</v>
      </c>
      <c r="P12" s="55">
        <f t="shared" si="1"/>
        <v>22771</v>
      </c>
      <c r="Q12" s="47">
        <v>4519</v>
      </c>
      <c r="R12" s="44">
        <v>125963</v>
      </c>
      <c r="S12" s="46">
        <v>314874</v>
      </c>
      <c r="T12" s="60">
        <f>×20年度!C12/×20年度!R12</f>
        <v>0.34406135134920574</v>
      </c>
      <c r="U12" s="61">
        <f>×20年度!H12/×20年度!S12</f>
        <v>0.24561253072657635</v>
      </c>
      <c r="V12" s="62">
        <f>×20年度!L12/×20年度!H12</f>
        <v>6.8052807841007534E-2</v>
      </c>
      <c r="AJ12" s="1" t="s">
        <v>1103</v>
      </c>
    </row>
    <row r="13" spans="1:44" ht="20.149999999999999" customHeight="1" thickTop="1" thickBot="1" x14ac:dyDescent="0.25">
      <c r="A13" s="75" t="s">
        <v>275</v>
      </c>
      <c r="B13" s="377" t="s">
        <v>45</v>
      </c>
      <c r="C13" s="319">
        <v>43235</v>
      </c>
      <c r="D13" s="45">
        <f>×20年度!E13+×20年度!F13</f>
        <v>40944</v>
      </c>
      <c r="E13" s="45">
        <f>×20年度!C13-×20年度!G13-×20年度!F13</f>
        <v>40199</v>
      </c>
      <c r="F13" s="46">
        <v>745</v>
      </c>
      <c r="G13" s="47">
        <v>2291</v>
      </c>
      <c r="H13" s="315">
        <f t="shared" si="0"/>
        <v>77023</v>
      </c>
      <c r="I13" s="45">
        <f>×20年度!J13+×20年度!K13</f>
        <v>71804</v>
      </c>
      <c r="J13" s="46">
        <f>77023-K13-L13</f>
        <v>45745</v>
      </c>
      <c r="K13" s="49">
        <v>26059</v>
      </c>
      <c r="L13" s="45">
        <f>×20年度!M13+×20年度!N13</f>
        <v>5219</v>
      </c>
      <c r="M13" s="46">
        <v>3624</v>
      </c>
      <c r="N13" s="47">
        <v>1595</v>
      </c>
      <c r="O13" s="319">
        <v>27174</v>
      </c>
      <c r="P13" s="45">
        <f t="shared" si="1"/>
        <v>22722</v>
      </c>
      <c r="Q13" s="47">
        <v>4452</v>
      </c>
      <c r="R13" s="44">
        <v>126013</v>
      </c>
      <c r="S13" s="46">
        <v>314805</v>
      </c>
      <c r="T13" s="50">
        <f>×20年度!C13/×20年度!R13</f>
        <v>0.34309952147794276</v>
      </c>
      <c r="U13" s="51">
        <f>×20年度!H13/×20年度!S13</f>
        <v>0.24466892203109861</v>
      </c>
      <c r="V13" s="52">
        <f>×20年度!L13/×20年度!H13</f>
        <v>6.7758981083572437E-2</v>
      </c>
      <c r="AJ13" s="69" t="s">
        <v>1106</v>
      </c>
      <c r="AK13" s="76" t="e">
        <f>×20年度!AK10/×20年度!AK4</f>
        <v>#VALUE!</v>
      </c>
      <c r="AL13" s="77" t="e">
        <f>×20年度!AL10/×20年度!AL4</f>
        <v>#VALUE!</v>
      </c>
      <c r="AM13" s="77" t="e">
        <f>×20年度!AM10/×20年度!AM4</f>
        <v>#VALUE!</v>
      </c>
      <c r="AN13" s="77" t="e">
        <f>×20年度!AN10/×20年度!AN4</f>
        <v>#VALUE!</v>
      </c>
      <c r="AO13" s="78" t="e">
        <f>×20年度!AO10/×20年度!AO4</f>
        <v>#VALUE!</v>
      </c>
      <c r="AP13" s="74" t="e">
        <f>×20年度!AP10/×20年度!AP4</f>
        <v>#VALUE!</v>
      </c>
    </row>
    <row r="14" spans="1:44" ht="20.149999999999999" customHeight="1" thickTop="1" x14ac:dyDescent="0.2">
      <c r="A14" s="75" t="s">
        <v>275</v>
      </c>
      <c r="B14" s="377" t="s">
        <v>46</v>
      </c>
      <c r="C14" s="319">
        <v>43178</v>
      </c>
      <c r="D14" s="45">
        <f>×20年度!E14+×20年度!F14</f>
        <v>40914</v>
      </c>
      <c r="E14" s="45">
        <f>×20年度!C14-×20年度!G14-×20年度!F14</f>
        <v>40172</v>
      </c>
      <c r="F14" s="46">
        <v>742</v>
      </c>
      <c r="G14" s="47">
        <v>2264</v>
      </c>
      <c r="H14" s="315">
        <f t="shared" si="0"/>
        <v>76886</v>
      </c>
      <c r="I14" s="45">
        <f>×20年度!J14+×20年度!K14</f>
        <v>71715</v>
      </c>
      <c r="J14" s="46">
        <f>76886-K14-L14</f>
        <v>45666</v>
      </c>
      <c r="K14" s="49">
        <v>26049</v>
      </c>
      <c r="L14" s="45">
        <f>×20年度!M14+×20年度!N14</f>
        <v>5171</v>
      </c>
      <c r="M14" s="46">
        <v>3594</v>
      </c>
      <c r="N14" s="47">
        <v>1577</v>
      </c>
      <c r="O14" s="319">
        <v>27117</v>
      </c>
      <c r="P14" s="45">
        <f t="shared" si="1"/>
        <v>22725</v>
      </c>
      <c r="Q14" s="859">
        <v>4392</v>
      </c>
      <c r="R14" s="44">
        <v>126147</v>
      </c>
      <c r="S14" s="46">
        <v>314859</v>
      </c>
      <c r="T14" s="50">
        <f>×20年度!C14/×20年度!R14</f>
        <v>0.34228320927172268</v>
      </c>
      <c r="U14" s="51">
        <f>×20年度!H14/×20年度!S14</f>
        <v>0.24419184460345741</v>
      </c>
      <c r="V14" s="52">
        <f>×20年度!L14/×20年度!H14</f>
        <v>6.725541711104753E-2</v>
      </c>
    </row>
    <row r="15" spans="1:44" ht="20.149999999999999" customHeight="1" x14ac:dyDescent="0.2">
      <c r="A15" s="75" t="s">
        <v>2827</v>
      </c>
      <c r="B15" s="378" t="s">
        <v>47</v>
      </c>
      <c r="C15" s="319">
        <v>43110</v>
      </c>
      <c r="D15" s="55">
        <f>×20年度!E15+×20年度!F15</f>
        <v>40914</v>
      </c>
      <c r="E15" s="55">
        <f>×20年度!C15-×20年度!G15-×20年度!F15</f>
        <v>40195</v>
      </c>
      <c r="F15" s="46">
        <v>719</v>
      </c>
      <c r="G15" s="47">
        <v>2196</v>
      </c>
      <c r="H15" s="315">
        <f t="shared" si="0"/>
        <v>76696</v>
      </c>
      <c r="I15" s="55">
        <f>×20年度!J15+×20年度!K15</f>
        <v>71673</v>
      </c>
      <c r="J15" s="46">
        <f>76696-K15-L15</f>
        <v>45594</v>
      </c>
      <c r="K15" s="49">
        <v>26079</v>
      </c>
      <c r="L15" s="55">
        <f>×20年度!M15+×20年度!N15</f>
        <v>5023</v>
      </c>
      <c r="M15" s="46">
        <v>3499</v>
      </c>
      <c r="N15" s="47">
        <v>1524</v>
      </c>
      <c r="O15" s="319">
        <v>27004</v>
      </c>
      <c r="P15" s="55">
        <f t="shared" si="1"/>
        <v>22757</v>
      </c>
      <c r="Q15" s="47">
        <v>4247</v>
      </c>
      <c r="R15" s="328">
        <v>126314</v>
      </c>
      <c r="S15" s="331">
        <v>315014</v>
      </c>
      <c r="T15" s="330">
        <f>×20年度!C15/×20年度!R15</f>
        <v>0.34129233497474548</v>
      </c>
      <c r="U15" s="61">
        <f>×20年度!H15/×20年度!S15</f>
        <v>0.24346854425517597</v>
      </c>
      <c r="V15" s="62">
        <f>×20年度!L15/×20年度!H15</f>
        <v>6.5492333368102645E-2</v>
      </c>
      <c r="AJ15" s="1" t="s">
        <v>1111</v>
      </c>
    </row>
    <row r="16" spans="1:44" ht="20.149999999999999" customHeight="1" thickBot="1" x14ac:dyDescent="0.25">
      <c r="A16" s="1" t="s">
        <v>275</v>
      </c>
      <c r="B16" s="377" t="s">
        <v>48</v>
      </c>
      <c r="C16" s="319">
        <v>43024</v>
      </c>
      <c r="D16" s="45">
        <f>×20年度!E16+×20年度!F16</f>
        <v>40845</v>
      </c>
      <c r="E16" s="45">
        <f>×20年度!C16-×20年度!G16-×20年度!F16</f>
        <v>40136</v>
      </c>
      <c r="F16" s="46">
        <v>709</v>
      </c>
      <c r="G16" s="47">
        <v>2179</v>
      </c>
      <c r="H16" s="315">
        <f t="shared" si="0"/>
        <v>76533</v>
      </c>
      <c r="I16" s="45">
        <f>×20年度!J16+×20年度!K16</f>
        <v>71568</v>
      </c>
      <c r="J16" s="46">
        <f>76533-K16-L16</f>
        <v>45423</v>
      </c>
      <c r="K16" s="49">
        <v>26145</v>
      </c>
      <c r="L16" s="45">
        <f>×20年度!M16+×20年度!N16</f>
        <v>4965</v>
      </c>
      <c r="M16" s="46">
        <v>3465</v>
      </c>
      <c r="N16" s="47">
        <v>1500</v>
      </c>
      <c r="O16" s="319">
        <v>26876</v>
      </c>
      <c r="P16" s="45">
        <f t="shared" si="1"/>
        <v>22688</v>
      </c>
      <c r="Q16" s="47">
        <v>4188</v>
      </c>
      <c r="R16" s="328">
        <v>126378</v>
      </c>
      <c r="S16" s="398">
        <v>315013</v>
      </c>
      <c r="T16" s="372">
        <f>×20年度!C16/×20年度!R16</f>
        <v>0.34043900045894065</v>
      </c>
      <c r="U16" s="51">
        <f>×20年度!H16/×20年度!S16</f>
        <v>0.24295187817645622</v>
      </c>
      <c r="V16" s="52">
        <f>×20年度!L16/×20年度!H16</f>
        <v>6.487397593195092E-2</v>
      </c>
    </row>
    <row r="17" spans="2:44" ht="20.149999999999999" customHeight="1" thickTop="1" thickBot="1" x14ac:dyDescent="0.25">
      <c r="B17" s="377" t="s">
        <v>49</v>
      </c>
      <c r="C17" s="319">
        <v>42940</v>
      </c>
      <c r="D17" s="45">
        <f>×20年度!E17+×20年度!F17</f>
        <v>40739</v>
      </c>
      <c r="E17" s="45">
        <f>×20年度!C17-×20年度!G17-×20年度!F17</f>
        <v>40021</v>
      </c>
      <c r="F17" s="46">
        <v>718</v>
      </c>
      <c r="G17" s="47">
        <v>2201</v>
      </c>
      <c r="H17" s="315">
        <f t="shared" si="0"/>
        <v>76348</v>
      </c>
      <c r="I17" s="45">
        <f>×20年度!J17+×20年度!K17</f>
        <v>71349</v>
      </c>
      <c r="J17" s="46">
        <f>76348-K17-L17</f>
        <v>45268</v>
      </c>
      <c r="K17" s="49">
        <v>26081</v>
      </c>
      <c r="L17" s="45">
        <f>×20年度!M17+×20年度!N17</f>
        <v>4999</v>
      </c>
      <c r="M17" s="46">
        <v>3491</v>
      </c>
      <c r="N17" s="47">
        <v>1508</v>
      </c>
      <c r="O17" s="319">
        <v>26701</v>
      </c>
      <c r="P17" s="45">
        <f t="shared" si="1"/>
        <v>22492</v>
      </c>
      <c r="Q17" s="47">
        <v>4209</v>
      </c>
      <c r="R17" s="395">
        <v>126371</v>
      </c>
      <c r="S17" s="400">
        <v>314996</v>
      </c>
      <c r="T17" s="50">
        <f>×20年度!C17/×20年度!R17</f>
        <v>0.33979314874456956</v>
      </c>
      <c r="U17" s="51">
        <f>×20年度!H17/×20年度!S17</f>
        <v>0.24237768098642523</v>
      </c>
      <c r="V17" s="52">
        <f>×20年度!L17/×20年度!H17</f>
        <v>6.5476502331429765E-2</v>
      </c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2:44" ht="20.149999999999999" customHeight="1" thickTop="1" x14ac:dyDescent="0.2">
      <c r="B18" s="378" t="s">
        <v>50</v>
      </c>
      <c r="C18" s="319">
        <v>42945</v>
      </c>
      <c r="D18" s="55">
        <f>×20年度!E18+×20年度!F18</f>
        <v>40737</v>
      </c>
      <c r="E18" s="55">
        <f>×20年度!C18-×20年度!G18-×20年度!F18</f>
        <v>40033</v>
      </c>
      <c r="F18" s="46">
        <v>704</v>
      </c>
      <c r="G18" s="47">
        <v>2208</v>
      </c>
      <c r="H18" s="315">
        <f t="shared" si="0"/>
        <v>76324</v>
      </c>
      <c r="I18" s="55">
        <f>×20年度!J18+×20年度!K18</f>
        <v>71379</v>
      </c>
      <c r="J18" s="46">
        <f>76324-K18-L18</f>
        <v>45191</v>
      </c>
      <c r="K18" s="49">
        <v>26188</v>
      </c>
      <c r="L18" s="55">
        <f>×20年度!M18+×20年度!N18</f>
        <v>4945</v>
      </c>
      <c r="M18" s="46">
        <v>3457</v>
      </c>
      <c r="N18" s="47">
        <v>1488</v>
      </c>
      <c r="O18" s="319">
        <v>26592</v>
      </c>
      <c r="P18" s="55">
        <f t="shared" si="1"/>
        <v>22443</v>
      </c>
      <c r="Q18" s="47">
        <v>4149</v>
      </c>
      <c r="R18" s="333">
        <v>126254</v>
      </c>
      <c r="S18" s="401">
        <v>314764</v>
      </c>
      <c r="T18" s="50">
        <f>×20年度!C18/×20年度!R18</f>
        <v>0.34014763888668875</v>
      </c>
      <c r="U18" s="61">
        <f>×20年度!H18/×20年度!S18</f>
        <v>0.24248008031414012</v>
      </c>
      <c r="V18" s="62">
        <f>×20年度!L18/×20年度!H18</f>
        <v>6.4789581258843876E-2</v>
      </c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ROUND(+×20年度!AK18/×20年度!AM18,4)</f>
        <v>0.27060000000000001</v>
      </c>
      <c r="AP18" s="22">
        <f>ROUND(+×20年度!AL18/×20年度!AN18,4)</f>
        <v>0.38550000000000001</v>
      </c>
    </row>
    <row r="19" spans="2:44" ht="20.149999999999999" customHeight="1" x14ac:dyDescent="0.2">
      <c r="B19" s="378" t="s">
        <v>51</v>
      </c>
      <c r="C19" s="319">
        <v>42927</v>
      </c>
      <c r="D19" s="55">
        <f>×20年度!E19+×20年度!F19</f>
        <v>40670</v>
      </c>
      <c r="E19" s="55">
        <f>×20年度!C19-×20年度!G19-×20年度!F19</f>
        <v>39946</v>
      </c>
      <c r="F19" s="46">
        <v>724</v>
      </c>
      <c r="G19" s="47">
        <v>2257</v>
      </c>
      <c r="H19" s="315">
        <f t="shared" si="0"/>
        <v>76230</v>
      </c>
      <c r="I19" s="55">
        <f>×20年度!J19+×20年度!K19</f>
        <v>71385</v>
      </c>
      <c r="J19" s="46">
        <f>76230-K19-L19</f>
        <v>45146</v>
      </c>
      <c r="K19" s="49">
        <v>26239</v>
      </c>
      <c r="L19" s="55">
        <f>×20年度!M19+×20年度!N19</f>
        <v>4845</v>
      </c>
      <c r="M19" s="46">
        <v>3394</v>
      </c>
      <c r="N19" s="47">
        <v>1451</v>
      </c>
      <c r="O19" s="319">
        <v>26480</v>
      </c>
      <c r="P19" s="55">
        <f t="shared" si="1"/>
        <v>22424</v>
      </c>
      <c r="Q19" s="47">
        <v>4056</v>
      </c>
      <c r="R19" s="386">
        <v>126231</v>
      </c>
      <c r="S19" s="402">
        <v>313963</v>
      </c>
      <c r="T19" s="50">
        <f>×20年度!C19/×20年度!R19</f>
        <v>0.34006701998716637</v>
      </c>
      <c r="U19" s="61">
        <f>×20年度!H19/×20年度!S19</f>
        <v>0.24279931074680774</v>
      </c>
      <c r="V19" s="62">
        <f>×20年度!L19/×20年度!H19</f>
        <v>6.355765446674537E-2</v>
      </c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ROUND(+×20年度!AK19/×20年度!AM19,4)</f>
        <v>0.28050000000000003</v>
      </c>
      <c r="AP19" s="35">
        <f>ROUND(+×20年度!AL19/×20年度!AN19,4)</f>
        <v>0.39810000000000001</v>
      </c>
      <c r="AQ19" s="36">
        <f>ROUND((+×20年度!AO19-×20年度!AO18),4)</f>
        <v>9.9000000000000008E-3</v>
      </c>
      <c r="AR19" s="36">
        <f>ROUND((+×20年度!AP19-×20年度!AP18),4)</f>
        <v>1.26E-2</v>
      </c>
    </row>
    <row r="20" spans="2:44" s="404" customFormat="1" ht="20.149999999999999" customHeight="1" x14ac:dyDescent="0.2">
      <c r="B20" s="405" t="s">
        <v>52</v>
      </c>
      <c r="C20" s="406">
        <f>SUM(×20年度!C8:C19)</f>
        <v>518353</v>
      </c>
      <c r="D20" s="407">
        <f>SUM(×20年度!D8:D19)</f>
        <v>491068</v>
      </c>
      <c r="E20" s="408">
        <f>SUM(×20年度!E8:E19)</f>
        <v>482144</v>
      </c>
      <c r="F20" s="408">
        <f>SUM(F8:F19)</f>
        <v>8924</v>
      </c>
      <c r="G20" s="409">
        <f>SUM(G8:G19)</f>
        <v>27285</v>
      </c>
      <c r="H20" s="406">
        <f>SUM(×20年度!H8:H19)</f>
        <v>923950</v>
      </c>
      <c r="I20" s="407">
        <f>SUM(×20年度!I8:I19)</f>
        <v>862260</v>
      </c>
      <c r="J20" s="408">
        <f>SUM(×20年度!J8:J19)</f>
        <v>550234</v>
      </c>
      <c r="K20" s="408">
        <f>SUM(×20年度!K8:K19)</f>
        <v>312026</v>
      </c>
      <c r="L20" s="408">
        <f>SUM(×20年度!L8:L19)</f>
        <v>61690</v>
      </c>
      <c r="M20" s="408">
        <f>SUM(×20年度!M8:M19)</f>
        <v>42811</v>
      </c>
      <c r="N20" s="409">
        <f>SUM(×20年度!N8:N19)</f>
        <v>18879</v>
      </c>
      <c r="O20" s="406">
        <f>SUM(×20年度!O8:O19)</f>
        <v>325271</v>
      </c>
      <c r="P20" s="407">
        <f>SUM(×20年度!P8:P19)</f>
        <v>272594</v>
      </c>
      <c r="Q20" s="409">
        <f>SUM(×20年度!Q8:Q19)</f>
        <v>52677</v>
      </c>
      <c r="R20" s="428">
        <f>SUM(R8:R19)</f>
        <v>1511917</v>
      </c>
      <c r="S20" s="411">
        <f>SUM(S8:S19)</f>
        <v>3776139</v>
      </c>
      <c r="T20" s="412">
        <f>×20年度!C20/×20年度!R20</f>
        <v>0.34284487838948829</v>
      </c>
      <c r="U20" s="413">
        <f>×20年度!H20/×20年度!S20</f>
        <v>0.24468114123976897</v>
      </c>
      <c r="V20" s="414">
        <f>×20年度!L20/×20年度!H20</f>
        <v>6.6767682233887113E-2</v>
      </c>
      <c r="AJ20" s="415" t="s">
        <v>1088</v>
      </c>
      <c r="AK20" s="416">
        <f>平成11年度!H19</f>
        <v>85006</v>
      </c>
      <c r="AL20" s="417">
        <f>平成11年度!C19</f>
        <v>43579</v>
      </c>
      <c r="AM20" s="418">
        <f>平成11年度!P19</f>
        <v>292833</v>
      </c>
      <c r="AN20" s="418">
        <f>平成11年度!O19</f>
        <v>106170</v>
      </c>
      <c r="AO20" s="419">
        <f>ROUND(+×20年度!AK20/×20年度!AM20,4)</f>
        <v>0.2903</v>
      </c>
      <c r="AP20" s="420">
        <f>ROUND(+×20年度!AL20/×20年度!AN20,4)</f>
        <v>0.41049999999999998</v>
      </c>
      <c r="AQ20" s="421">
        <f>ROUND((+×20年度!AO20-×20年度!AO19),4)</f>
        <v>9.7999999999999997E-3</v>
      </c>
      <c r="AR20" s="421">
        <f>ROUND((+×20年度!AP20-×20年度!AP19),4)</f>
        <v>1.24E-2</v>
      </c>
    </row>
    <row r="21" spans="2:44" s="404" customFormat="1" ht="20.149999999999999" customHeight="1" x14ac:dyDescent="0.2">
      <c r="B21" s="405" t="s">
        <v>53</v>
      </c>
      <c r="C21" s="422" t="e">
        <f>#VALUE!</f>
        <v>#VALUE!</v>
      </c>
      <c r="D21" s="422" t="e">
        <f>#VALUE!</f>
        <v>#VALUE!</v>
      </c>
      <c r="E21" s="423" t="e">
        <f>#VALUE!</f>
        <v>#VALUE!</v>
      </c>
      <c r="F21" s="423" t="e">
        <f>#VALUE!</f>
        <v>#VALUE!</v>
      </c>
      <c r="G21" s="423" t="e">
        <f>#VALUE!</f>
        <v>#VALUE!</v>
      </c>
      <c r="H21" s="406" t="e">
        <f>#VALUE!</f>
        <v>#VALUE!</v>
      </c>
      <c r="I21" s="422" t="e">
        <f>#VALUE!</f>
        <v>#VALUE!</v>
      </c>
      <c r="J21" s="422" t="e">
        <f>#VALUE!</f>
        <v>#VALUE!</v>
      </c>
      <c r="K21" s="422" t="e">
        <f>#VALUE!</f>
        <v>#VALUE!</v>
      </c>
      <c r="L21" s="423" t="e">
        <f>#VALUE!</f>
        <v>#VALUE!</v>
      </c>
      <c r="M21" s="423" t="e">
        <f>#VALUE!</f>
        <v>#VALUE!</v>
      </c>
      <c r="N21" s="424" t="e">
        <f>#VALUE!</f>
        <v>#VALUE!</v>
      </c>
      <c r="O21" s="406" t="e">
        <f>#VALUE!</f>
        <v>#VALUE!</v>
      </c>
      <c r="P21" s="422" t="e">
        <f>#VALUE!</f>
        <v>#VALUE!</v>
      </c>
      <c r="Q21" s="422" t="e">
        <f>#VALUE!</f>
        <v>#VALUE!</v>
      </c>
      <c r="R21" s="406" t="e">
        <f>#VALUE!</f>
        <v>#VALUE!</v>
      </c>
      <c r="S21" s="423" t="e">
        <f>#VALUE!</f>
        <v>#VALUE!</v>
      </c>
      <c r="T21" s="412" t="e">
        <f>×20年度!C21/×20年度!R21</f>
        <v>#VALUE!</v>
      </c>
      <c r="U21" s="413" t="e">
        <f>×20年度!H21/×20年度!S21</f>
        <v>#VALUE!</v>
      </c>
      <c r="V21" s="414" t="e">
        <f>×20年度!L21/×20年度!H21</f>
        <v>#VALUE!</v>
      </c>
      <c r="AJ21" s="415" t="s">
        <v>284</v>
      </c>
      <c r="AK21" s="416">
        <f>平成12年度!H19</f>
        <v>87854</v>
      </c>
      <c r="AL21" s="417">
        <f>平成12年度!C19</f>
        <v>45290</v>
      </c>
      <c r="AM21" s="418">
        <f>平成12年度!P19</f>
        <v>20917</v>
      </c>
      <c r="AN21" s="418">
        <f>平成12年度!O19</f>
        <v>27178</v>
      </c>
      <c r="AO21" s="419">
        <f>ROUND(+×20年度!AK21/×20年度!AM21,4)</f>
        <v>4.2000999999999999</v>
      </c>
      <c r="AP21" s="420">
        <f>ROUND(+×20年度!AL21/×20年度!AN21,4)</f>
        <v>1.6664000000000001</v>
      </c>
      <c r="AQ21" s="421">
        <f>ROUND((+×20年度!AO21-×20年度!AO20),4)</f>
        <v>3.9098000000000002</v>
      </c>
      <c r="AR21" s="421">
        <f>ROUND((+×20年度!AP21-×20年度!AP20),4)</f>
        <v>1.2559</v>
      </c>
    </row>
    <row r="22" spans="2:44" s="343" customFormat="1" ht="20.149999999999999" customHeight="1" x14ac:dyDescent="0.2">
      <c r="B22" s="381"/>
      <c r="C22" s="344"/>
      <c r="D22" s="383"/>
      <c r="E22" s="387"/>
      <c r="F22" s="387"/>
      <c r="G22" s="384"/>
      <c r="H22" s="344"/>
      <c r="I22" s="345"/>
      <c r="J22" s="387"/>
      <c r="K22" s="387"/>
      <c r="L22" s="346"/>
      <c r="M22" s="387"/>
      <c r="N22" s="384"/>
      <c r="O22" s="344"/>
      <c r="P22" s="383"/>
      <c r="Q22" s="384"/>
      <c r="R22" s="385"/>
      <c r="S22" s="383"/>
      <c r="T22" s="348"/>
      <c r="U22" s="348"/>
      <c r="V22" s="347"/>
      <c r="AJ22" s="349" t="s">
        <v>607</v>
      </c>
      <c r="AK22" s="350">
        <f>平成13年度!H19</f>
        <v>91363</v>
      </c>
      <c r="AL22" s="351">
        <f>平成13年度!C19</f>
        <v>47502</v>
      </c>
      <c r="AM22" s="352">
        <f>平成13年度!P19</f>
        <v>21019</v>
      </c>
      <c r="AN22" s="352">
        <f>平成13年度!O19</f>
        <v>27824</v>
      </c>
      <c r="AO22" s="353">
        <f>ROUND(+×20年度!AK22/×20年度!AM22,4)</f>
        <v>4.3467000000000002</v>
      </c>
      <c r="AP22" s="354">
        <f>ROUND(+×20年度!AL22/×20年度!AN22,4)</f>
        <v>1.7072000000000001</v>
      </c>
      <c r="AQ22" s="355">
        <f>ROUND((+×20年度!AO22-×20年度!AO21),4)</f>
        <v>0.14660000000000001</v>
      </c>
      <c r="AR22" s="355">
        <f>ROUND((+×20年度!AP22-×20年度!AP21),4)</f>
        <v>4.0800000000000003E-2</v>
      </c>
    </row>
    <row r="23" spans="2:44" ht="20.149999999999999" customHeight="1" x14ac:dyDescent="0.2">
      <c r="B23" s="377" t="s">
        <v>54</v>
      </c>
      <c r="C23" s="314">
        <f>×20年度!C8</f>
        <v>43490</v>
      </c>
      <c r="D23" s="45">
        <f>×20年度!D8</f>
        <v>41113</v>
      </c>
      <c r="E23" s="79">
        <f>×20年度!E8</f>
        <v>40327</v>
      </c>
      <c r="F23" s="79">
        <f>×20年度!F8</f>
        <v>786</v>
      </c>
      <c r="G23" s="80">
        <f>×20年度!G8</f>
        <v>2377</v>
      </c>
      <c r="H23" s="314">
        <f>×20年度!H8</f>
        <v>77940</v>
      </c>
      <c r="I23" s="45">
        <f>×20年度!I8</f>
        <v>72542</v>
      </c>
      <c r="J23" s="79">
        <f>×20年度!J8</f>
        <v>46842</v>
      </c>
      <c r="K23" s="79">
        <f>×20年度!K8</f>
        <v>25700</v>
      </c>
      <c r="L23" s="79">
        <f>×20年度!L8</f>
        <v>5398</v>
      </c>
      <c r="M23" s="79">
        <f>×20年度!M8</f>
        <v>3690</v>
      </c>
      <c r="N23" s="80">
        <f>×20年度!N8</f>
        <v>1708</v>
      </c>
      <c r="O23" s="314">
        <f>×20年度!O8</f>
        <v>27622</v>
      </c>
      <c r="P23" s="45">
        <f>×20年度!P8</f>
        <v>22912</v>
      </c>
      <c r="Q23" s="80">
        <f>×20年度!Q8</f>
        <v>4710</v>
      </c>
      <c r="R23" s="48">
        <f>×20年度!R8</f>
        <v>125257</v>
      </c>
      <c r="S23" s="45">
        <f>×20年度!S8</f>
        <v>314181</v>
      </c>
      <c r="T23" s="50">
        <f>×20年度!C23/×20年度!R23</f>
        <v>0.34720614416759144</v>
      </c>
      <c r="U23" s="51">
        <f>×20年度!H23/×20年度!S23</f>
        <v>0.24807356269156952</v>
      </c>
      <c r="V23" s="52">
        <f>×20年度!L23/×20年度!H23</f>
        <v>6.9258403900436236E-2</v>
      </c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ROUND(+×20年度!AK23/×20年度!AM23,4)</f>
        <v>4.4180999999999999</v>
      </c>
      <c r="AP23" s="68">
        <f>ROUND(+×20年度!AL23/×20年度!AN23,4)</f>
        <v>1.7375</v>
      </c>
      <c r="AQ23" s="36">
        <f>ROUND((+×20年度!AO23-×20年度!AO22),4)</f>
        <v>7.1400000000000005E-2</v>
      </c>
      <c r="AR23" s="36">
        <f>ROUND((+×20年度!AP23-×20年度!AP22),4)</f>
        <v>3.0300000000000001E-2</v>
      </c>
    </row>
    <row r="24" spans="2:44" ht="20.149999999999999" customHeight="1" x14ac:dyDescent="0.2">
      <c r="B24" s="378" t="s">
        <v>55</v>
      </c>
      <c r="C24" s="315">
        <f>SUM(×20年度!C8:C9)</f>
        <v>86963</v>
      </c>
      <c r="D24" s="55">
        <f>SUM(×20年度!D8:D9)</f>
        <v>82247</v>
      </c>
      <c r="E24" s="89">
        <f>SUM(×20年度!E8:E9)</f>
        <v>80691</v>
      </c>
      <c r="F24" s="89">
        <f>SUM(×20年度!F8:F9)</f>
        <v>1556</v>
      </c>
      <c r="G24" s="90">
        <f>SUM(×20年度!G8:G9)</f>
        <v>4716</v>
      </c>
      <c r="H24" s="315">
        <f>SUM(×20年度!H8:H9)</f>
        <v>155691</v>
      </c>
      <c r="I24" s="55">
        <f>SUM(×20年度!I8:I9)</f>
        <v>144990</v>
      </c>
      <c r="J24" s="89">
        <f>SUM(×20年度!J8:J9)</f>
        <v>93516</v>
      </c>
      <c r="K24" s="89">
        <f>SUM(×20年度!K8:K9)</f>
        <v>51474</v>
      </c>
      <c r="L24" s="89">
        <f>SUM(×20年度!L8:L9)</f>
        <v>10701</v>
      </c>
      <c r="M24" s="89">
        <f>SUM(×20年度!M8:M9)</f>
        <v>7331</v>
      </c>
      <c r="N24" s="90">
        <f>SUM(×20年度!N8:N9)</f>
        <v>3370</v>
      </c>
      <c r="O24" s="315">
        <f>SUM(×20年度!O8:O9)</f>
        <v>55185</v>
      </c>
      <c r="P24" s="55">
        <f>SUM(×20年度!P8:P9)</f>
        <v>45860</v>
      </c>
      <c r="Q24" s="90">
        <f>SUM(×20年度!Q8:Q9)</f>
        <v>9325</v>
      </c>
      <c r="R24" s="58">
        <f>SUM(×20年度!R8:R9)</f>
        <v>250746</v>
      </c>
      <c r="S24" s="55">
        <f>SUM(×20年度!S8:S9)</f>
        <v>628572</v>
      </c>
      <c r="T24" s="60">
        <f>×20年度!C24/×20年度!R24</f>
        <v>0.34681709778022379</v>
      </c>
      <c r="U24" s="61">
        <f>×20年度!H24/×20年度!S24</f>
        <v>0.24769000209999809</v>
      </c>
      <c r="V24" s="62">
        <f>×20年度!L24/×20年度!H24</f>
        <v>6.8732296664547082E-2</v>
      </c>
      <c r="AJ24" s="69" t="s">
        <v>907</v>
      </c>
      <c r="AK24" s="70">
        <f>×20年度!H14</f>
        <v>76886</v>
      </c>
      <c r="AL24" s="71">
        <f>×20年度!C14</f>
        <v>43178</v>
      </c>
      <c r="AM24" s="72">
        <f>×20年度!S14</f>
        <v>314859</v>
      </c>
      <c r="AN24" s="72">
        <f>×20年度!R14</f>
        <v>126147</v>
      </c>
      <c r="AO24" s="73">
        <f>ROUND(+×20年度!AK24/×20年度!AM24,4)</f>
        <v>0.2442</v>
      </c>
      <c r="AP24" s="74">
        <f>ROUND(+×20年度!AL24/×20年度!AN24,4)</f>
        <v>0.34229999999999999</v>
      </c>
      <c r="AQ24" s="36">
        <f>ROUND((+×20年度!AO24-×20年度!AO23),4)</f>
        <v>-4.1738999999999997</v>
      </c>
      <c r="AR24" s="36">
        <f>ROUND((+×20年度!AP24-×20年度!AP23),4)</f>
        <v>-1.3952</v>
      </c>
    </row>
    <row r="25" spans="2:44" ht="20.149999999999999" customHeight="1" x14ac:dyDescent="0.2">
      <c r="B25" s="378" t="s">
        <v>56</v>
      </c>
      <c r="C25" s="315">
        <f>SUM(×20年度!C8:C10)</f>
        <v>130339</v>
      </c>
      <c r="D25" s="55">
        <f>SUM(×20年度!D8:D10)</f>
        <v>123309</v>
      </c>
      <c r="E25" s="89">
        <f>SUM(×20年度!E8:E10)</f>
        <v>120984</v>
      </c>
      <c r="F25" s="89">
        <f>SUM(×20年度!F8:F10)</f>
        <v>2325</v>
      </c>
      <c r="G25" s="90">
        <f>SUM(×20年度!G8:G10)</f>
        <v>7030</v>
      </c>
      <c r="H25" s="315">
        <f>SUM(×20年度!H8:H10)</f>
        <v>233234</v>
      </c>
      <c r="I25" s="55">
        <f>SUM(×20年度!I8:I10)</f>
        <v>217276</v>
      </c>
      <c r="J25" s="89">
        <f>SUM(×20年度!J8:J10)</f>
        <v>139951</v>
      </c>
      <c r="K25" s="89">
        <f>SUM(×20年度!K8:K10)</f>
        <v>77325</v>
      </c>
      <c r="L25" s="89">
        <f>SUM(×20年度!L8:L10)</f>
        <v>15958</v>
      </c>
      <c r="M25" s="89">
        <f>SUM(×20年度!M8:M10)</f>
        <v>10957</v>
      </c>
      <c r="N25" s="90">
        <f>SUM(×20年度!N8:N10)</f>
        <v>5001</v>
      </c>
      <c r="O25" s="315">
        <f>SUM(×20年度!O8:O10)</f>
        <v>82652</v>
      </c>
      <c r="P25" s="55">
        <f>SUM(×20年度!P8:P10)</f>
        <v>68769</v>
      </c>
      <c r="Q25" s="90">
        <f>SUM(×20年度!Q8:Q10)</f>
        <v>13883</v>
      </c>
      <c r="R25" s="58">
        <f>SUM(×20年度!R8:R10)</f>
        <v>376385</v>
      </c>
      <c r="S25" s="55">
        <f>SUM(×20年度!S8:S10)</f>
        <v>943111</v>
      </c>
      <c r="T25" s="60">
        <f>×20年度!C25/×20年度!R25</f>
        <v>0.34629169600276311</v>
      </c>
      <c r="U25" s="61">
        <f>×20年度!H25/×20年度!S25</f>
        <v>0.24730280953143374</v>
      </c>
      <c r="V25" s="62">
        <f>×20年度!L25/×20年度!H25</f>
        <v>6.8420556179630762E-2</v>
      </c>
      <c r="AJ25" s="1" t="s">
        <v>1137</v>
      </c>
    </row>
    <row r="26" spans="2:44" ht="20.149999999999999" customHeight="1" x14ac:dyDescent="0.2">
      <c r="B26" s="378" t="s">
        <v>57</v>
      </c>
      <c r="C26" s="315">
        <f>SUM(×20年度!C8:C11)</f>
        <v>173655</v>
      </c>
      <c r="D26" s="55">
        <f>SUM(×20年度!D8:D11)</f>
        <v>164284</v>
      </c>
      <c r="E26" s="89">
        <f>SUM(×20年度!E8:E11)</f>
        <v>161189</v>
      </c>
      <c r="F26" s="89">
        <f>SUM(×20年度!F8:F11)</f>
        <v>3095</v>
      </c>
      <c r="G26" s="90">
        <f>SUM(×20年度!G8:G11)</f>
        <v>9371</v>
      </c>
      <c r="H26" s="315">
        <f>SUM(×20年度!H8:H11)</f>
        <v>310573</v>
      </c>
      <c r="I26" s="55">
        <f>SUM(×20年度!I8:I11)</f>
        <v>289313</v>
      </c>
      <c r="J26" s="89">
        <f>SUM(×20年度!J8:J11)</f>
        <v>186122</v>
      </c>
      <c r="K26" s="89">
        <f>SUM(×20年度!K8:K11)</f>
        <v>103191</v>
      </c>
      <c r="L26" s="89">
        <f>SUM(×20年度!L8:L11)</f>
        <v>21260</v>
      </c>
      <c r="M26" s="89">
        <f>SUM(×20年度!M8:M11)</f>
        <v>14628</v>
      </c>
      <c r="N26" s="90">
        <f>SUM(×20年度!N8:N11)</f>
        <v>6632</v>
      </c>
      <c r="O26" s="315">
        <f>SUM(×20年度!O8:O11)</f>
        <v>110037</v>
      </c>
      <c r="P26" s="55">
        <f>SUM(×20年度!P8:P11)</f>
        <v>91572</v>
      </c>
      <c r="Q26" s="90">
        <f>SUM(×20年度!Q8:Q11)</f>
        <v>18465</v>
      </c>
      <c r="R26" s="58">
        <f>SUM(×20年度!R8:R11)</f>
        <v>502246</v>
      </c>
      <c r="S26" s="55">
        <f>SUM(×20年度!S8:S11)</f>
        <v>1257851</v>
      </c>
      <c r="T26" s="60">
        <f>×20年度!C26/×20年度!R26</f>
        <v>0.34575686018405322</v>
      </c>
      <c r="U26" s="61">
        <f>×20年度!H26/×20年度!S26</f>
        <v>0.24690762260394911</v>
      </c>
      <c r="V26" s="62">
        <f>×20年度!L26/×20年度!H26</f>
        <v>6.8454115457557488E-2</v>
      </c>
      <c r="AJ26" s="69" t="s">
        <v>1106</v>
      </c>
      <c r="AK26" s="76">
        <f>×20年度!AK23/×20年度!AK18</f>
        <v>1.2014763517369964</v>
      </c>
      <c r="AL26" s="77">
        <f>×20年度!AL23/×20年度!AL18</f>
        <v>1.241609726688103</v>
      </c>
      <c r="AM26" s="77">
        <f>×20年度!AM23/×20年度!AM18</f>
        <v>7.3587858569634068E-2</v>
      </c>
      <c r="AN26" s="77">
        <f>×20年度!AN23/×20年度!AN18</f>
        <v>0.27549271221732602</v>
      </c>
      <c r="AO26" s="78">
        <f>×20年度!AO23/×20年度!AO18</f>
        <v>16.327050997782706</v>
      </c>
      <c r="AP26" s="74">
        <f>×20年度!AP23/×20年度!AP18</f>
        <v>4.5071335927367056</v>
      </c>
    </row>
    <row r="27" spans="2:44" ht="20.149999999999999" customHeight="1" x14ac:dyDescent="0.2">
      <c r="B27" s="378" t="s">
        <v>58</v>
      </c>
      <c r="C27" s="315">
        <f>SUM(×20年度!C8:C12)</f>
        <v>216994</v>
      </c>
      <c r="D27" s="55">
        <f>SUM(×20年度!D8:D12)</f>
        <v>205305</v>
      </c>
      <c r="E27" s="89">
        <f>SUM(×20年度!E8:E12)</f>
        <v>201442</v>
      </c>
      <c r="F27" s="89">
        <f>SUM(×20年度!F8:F12)</f>
        <v>3863</v>
      </c>
      <c r="G27" s="90">
        <f>SUM(×20年度!G8:G12)</f>
        <v>11689</v>
      </c>
      <c r="H27" s="315">
        <f>SUM(×20年度!H8:H12)</f>
        <v>387910</v>
      </c>
      <c r="I27" s="55">
        <f>SUM(×20年度!I8:I12)</f>
        <v>361387</v>
      </c>
      <c r="J27" s="89">
        <f>SUM(×20年度!J8:J12)</f>
        <v>232201</v>
      </c>
      <c r="K27" s="89">
        <f>SUM(×20年度!K8:K12)</f>
        <v>129186</v>
      </c>
      <c r="L27" s="89">
        <f>SUM(×20年度!L8:L12)</f>
        <v>26523</v>
      </c>
      <c r="M27" s="89">
        <f>SUM(×20年度!M8:M12)</f>
        <v>18287</v>
      </c>
      <c r="N27" s="90">
        <f>SUM(×20年度!N8:N12)</f>
        <v>8236</v>
      </c>
      <c r="O27" s="315">
        <f>SUM(×20年度!O8:O12)</f>
        <v>137327</v>
      </c>
      <c r="P27" s="55">
        <f>SUM(×20年度!P8:P12)</f>
        <v>114343</v>
      </c>
      <c r="Q27" s="90">
        <f>SUM(×20年度!Q8:Q12)</f>
        <v>22984</v>
      </c>
      <c r="R27" s="58">
        <f>SUM(×20年度!R8:R12)</f>
        <v>628209</v>
      </c>
      <c r="S27" s="55">
        <f>SUM(×20年度!S8:S12)</f>
        <v>1572725</v>
      </c>
      <c r="T27" s="60">
        <f>×20年度!C27/×20年度!R27</f>
        <v>0.34541689151221966</v>
      </c>
      <c r="U27" s="61">
        <f>×20年度!H27/×20年度!S27</f>
        <v>0.24664833330684005</v>
      </c>
      <c r="V27" s="62">
        <f>×20年度!L27/×20年度!H27</f>
        <v>6.8374107396045478E-2</v>
      </c>
    </row>
    <row r="28" spans="2:44" ht="20.149999999999999" customHeight="1" x14ac:dyDescent="0.2">
      <c r="B28" s="378" t="s">
        <v>59</v>
      </c>
      <c r="C28" s="315">
        <f>SUM(×20年度!C8:C13)</f>
        <v>260229</v>
      </c>
      <c r="D28" s="55">
        <f>SUM(×20年度!D8:D13)</f>
        <v>246249</v>
      </c>
      <c r="E28" s="89">
        <f>SUM(×20年度!E8:E13)</f>
        <v>241641</v>
      </c>
      <c r="F28" s="89">
        <f>SUM(×20年度!F8:F13)</f>
        <v>4608</v>
      </c>
      <c r="G28" s="90">
        <f>SUM(×20年度!G8:G13)</f>
        <v>13980</v>
      </c>
      <c r="H28" s="315">
        <f>SUM(×20年度!H8:H13)</f>
        <v>464933</v>
      </c>
      <c r="I28" s="55">
        <f>SUM(×20年度!I8:I13)</f>
        <v>433191</v>
      </c>
      <c r="J28" s="89">
        <f>SUM(×20年度!J8:J13)</f>
        <v>277946</v>
      </c>
      <c r="K28" s="89">
        <f>SUM(×20年度!K8:K13)</f>
        <v>155245</v>
      </c>
      <c r="L28" s="89">
        <f>SUM(×20年度!L8:L13)</f>
        <v>31742</v>
      </c>
      <c r="M28" s="89">
        <f>SUM(×20年度!M8:M13)</f>
        <v>21911</v>
      </c>
      <c r="N28" s="90">
        <f>SUM(×20年度!N8:N13)</f>
        <v>9831</v>
      </c>
      <c r="O28" s="315">
        <f>SUM(×20年度!O8:O13)</f>
        <v>164501</v>
      </c>
      <c r="P28" s="55">
        <f>SUM(×20年度!P8:P13)</f>
        <v>137065</v>
      </c>
      <c r="Q28" s="90">
        <f>SUM(×20年度!Q8:Q13)</f>
        <v>27436</v>
      </c>
      <c r="R28" s="58">
        <f>SUM(×20年度!R8:R13)</f>
        <v>754222</v>
      </c>
      <c r="S28" s="55">
        <f>SUM(×20年度!S8:S13)</f>
        <v>1887530</v>
      </c>
      <c r="T28" s="60">
        <f>×20年度!C28/×20年度!R28</f>
        <v>0.34502971273709865</v>
      </c>
      <c r="U28" s="61">
        <f>×20年度!H28/×20年度!S28</f>
        <v>0.24631820421397277</v>
      </c>
      <c r="V28" s="62">
        <f>×20年度!L28/×20年度!H28</f>
        <v>6.8272202661458753E-2</v>
      </c>
    </row>
    <row r="29" spans="2:44" ht="20.149999999999999" customHeight="1" x14ac:dyDescent="0.2">
      <c r="B29" s="378" t="s">
        <v>60</v>
      </c>
      <c r="C29" s="315">
        <f>SUM(×20年度!C8:C14)</f>
        <v>303407</v>
      </c>
      <c r="D29" s="55">
        <f>SUM(×20年度!D8:D14)</f>
        <v>287163</v>
      </c>
      <c r="E29" s="89">
        <f>SUM(×20年度!E8:E14)</f>
        <v>281813</v>
      </c>
      <c r="F29" s="89">
        <f>SUM(×20年度!F8:F14)</f>
        <v>5350</v>
      </c>
      <c r="G29" s="90">
        <f>SUM(×20年度!G8:G14)</f>
        <v>16244</v>
      </c>
      <c r="H29" s="315">
        <f>SUM(×20年度!H8:H14)</f>
        <v>541819</v>
      </c>
      <c r="I29" s="55">
        <f>SUM(×20年度!I8:I14)</f>
        <v>504906</v>
      </c>
      <c r="J29" s="89">
        <f>SUM(×20年度!J8:J14)</f>
        <v>323612</v>
      </c>
      <c r="K29" s="89">
        <f>SUM(×20年度!K8:K14)</f>
        <v>181294</v>
      </c>
      <c r="L29" s="89">
        <f>SUM(×20年度!L8:L14)</f>
        <v>36913</v>
      </c>
      <c r="M29" s="89">
        <f>SUM(×20年度!M8:M14)</f>
        <v>25505</v>
      </c>
      <c r="N29" s="90">
        <f>SUM(×20年度!N8:N14)</f>
        <v>11408</v>
      </c>
      <c r="O29" s="315">
        <f>SUM(×20年度!O8:O14)</f>
        <v>191618</v>
      </c>
      <c r="P29" s="55">
        <f>SUM(×20年度!P8:P14)</f>
        <v>159790</v>
      </c>
      <c r="Q29" s="90">
        <f>SUM(×20年度!Q8:Q14)</f>
        <v>31828</v>
      </c>
      <c r="R29" s="58">
        <f>SUM(×20年度!R8:R14)</f>
        <v>880369</v>
      </c>
      <c r="S29" s="55">
        <f>SUM(×20年度!S8:S14)</f>
        <v>2202389</v>
      </c>
      <c r="T29" s="60">
        <f>×20年度!C29/×20年度!R29</f>
        <v>0.34463616960615379</v>
      </c>
      <c r="U29" s="61">
        <f>×20年度!H29/×20年度!S29</f>
        <v>0.24601421456427544</v>
      </c>
      <c r="V29" s="62">
        <f>×20年度!L29/×20年度!H29</f>
        <v>6.8127917256500789E-2</v>
      </c>
    </row>
    <row r="30" spans="2:44" ht="20.149999999999999" customHeight="1" x14ac:dyDescent="0.2">
      <c r="B30" s="378" t="s">
        <v>61</v>
      </c>
      <c r="C30" s="315">
        <f>SUM(×20年度!C8:C15)</f>
        <v>346517</v>
      </c>
      <c r="D30" s="55">
        <f>SUM(×20年度!D8:D15)</f>
        <v>328077</v>
      </c>
      <c r="E30" s="89">
        <f>SUM(×20年度!E8:E15)</f>
        <v>322008</v>
      </c>
      <c r="F30" s="89">
        <f>SUM(×20年度!F8:F15)</f>
        <v>6069</v>
      </c>
      <c r="G30" s="90">
        <f>SUM(×20年度!G8:G15)</f>
        <v>18440</v>
      </c>
      <c r="H30" s="315">
        <f>SUM(×20年度!H8:H15)</f>
        <v>618515</v>
      </c>
      <c r="I30" s="55">
        <f>SUM(×20年度!I8:I15)</f>
        <v>576579</v>
      </c>
      <c r="J30" s="89">
        <f>SUM(×20年度!J8:J15)</f>
        <v>369206</v>
      </c>
      <c r="K30" s="89">
        <f>SUM(×20年度!K8:K15)</f>
        <v>207373</v>
      </c>
      <c r="L30" s="89">
        <f>SUM(×20年度!L8:L15)</f>
        <v>41936</v>
      </c>
      <c r="M30" s="89">
        <f>SUM(×20年度!M8:M15)</f>
        <v>29004</v>
      </c>
      <c r="N30" s="90">
        <f>SUM(×20年度!N8:N15)</f>
        <v>12932</v>
      </c>
      <c r="O30" s="315">
        <f>SUM(×20年度!O8:O15)</f>
        <v>218622</v>
      </c>
      <c r="P30" s="55">
        <f>SUM(×20年度!P8:P15)</f>
        <v>182547</v>
      </c>
      <c r="Q30" s="90">
        <f>SUM(×20年度!Q8:Q15)</f>
        <v>36075</v>
      </c>
      <c r="R30" s="58">
        <f>SUM(×20年度!R8:R15)</f>
        <v>1006683</v>
      </c>
      <c r="S30" s="55">
        <f>SUM(×20年度!S8:S15)</f>
        <v>2517403</v>
      </c>
      <c r="T30" s="60">
        <f>×20年度!C30/×20年度!R30</f>
        <v>0.34421660045913161</v>
      </c>
      <c r="U30" s="61">
        <f>×20年度!H30/×20年度!S30</f>
        <v>0.24569566334829981</v>
      </c>
      <c r="V30" s="62">
        <f>×20年度!L30/×20年度!H30</f>
        <v>6.7801104257778716E-2</v>
      </c>
    </row>
    <row r="31" spans="2:44" ht="20.149999999999999" customHeight="1" x14ac:dyDescent="0.2">
      <c r="B31" s="378" t="s">
        <v>62</v>
      </c>
      <c r="C31" s="315">
        <f>SUM(×20年度!C8:C16)</f>
        <v>389541</v>
      </c>
      <c r="D31" s="55">
        <f>SUM(×20年度!D8:D16)</f>
        <v>368922</v>
      </c>
      <c r="E31" s="89">
        <f>SUM(×20年度!E8:E16)</f>
        <v>362144</v>
      </c>
      <c r="F31" s="89">
        <f>SUM(×20年度!F8:F16)</f>
        <v>6778</v>
      </c>
      <c r="G31" s="90">
        <f>SUM(×20年度!G8:G16)</f>
        <v>20619</v>
      </c>
      <c r="H31" s="315">
        <f>SUM(×20年度!H8:H16)</f>
        <v>695048</v>
      </c>
      <c r="I31" s="55">
        <f>SUM(×20年度!I8:I16)</f>
        <v>648147</v>
      </c>
      <c r="J31" s="89">
        <f>SUM(×20年度!J8:J16)</f>
        <v>414629</v>
      </c>
      <c r="K31" s="89">
        <f>SUM(×20年度!K8:K16)</f>
        <v>233518</v>
      </c>
      <c r="L31" s="89">
        <f>SUM(×20年度!L8:L16)</f>
        <v>46901</v>
      </c>
      <c r="M31" s="89">
        <f>SUM(×20年度!M8:M16)</f>
        <v>32469</v>
      </c>
      <c r="N31" s="90">
        <f>SUM(×20年度!N8:N16)</f>
        <v>14432</v>
      </c>
      <c r="O31" s="315">
        <f>SUM(×20年度!O8:O16)</f>
        <v>245498</v>
      </c>
      <c r="P31" s="55">
        <f>SUM(×20年度!P8:P16)</f>
        <v>205235</v>
      </c>
      <c r="Q31" s="90">
        <f>SUM(×20年度!Q8:Q16)</f>
        <v>40263</v>
      </c>
      <c r="R31" s="58">
        <f>SUM(×20年度!R8:R16)</f>
        <v>1133061</v>
      </c>
      <c r="S31" s="55">
        <f>SUM(×20年度!S8:S16)</f>
        <v>2832416</v>
      </c>
      <c r="T31" s="60">
        <f>×20年度!C31/×20年度!R31</f>
        <v>0.34379525903724512</v>
      </c>
      <c r="U31" s="61">
        <f>×20年度!H31/×20年度!S31</f>
        <v>0.24539050760905179</v>
      </c>
      <c r="V31" s="62">
        <f>×20年度!L31/×20年度!H31</f>
        <v>6.7478792831574222E-2</v>
      </c>
    </row>
    <row r="32" spans="2:44" ht="20.149999999999999" customHeight="1" x14ac:dyDescent="0.2">
      <c r="B32" s="378" t="s">
        <v>63</v>
      </c>
      <c r="C32" s="315">
        <f>SUM(×20年度!C8:C17)</f>
        <v>432481</v>
      </c>
      <c r="D32" s="55">
        <f>SUM(×20年度!D8:D17)</f>
        <v>409661</v>
      </c>
      <c r="E32" s="89">
        <f>SUM(×20年度!E8:E17)</f>
        <v>402165</v>
      </c>
      <c r="F32" s="89">
        <f>SUM(×20年度!F8:F17)</f>
        <v>7496</v>
      </c>
      <c r="G32" s="90">
        <f>SUM(×20年度!G8:G17)</f>
        <v>22820</v>
      </c>
      <c r="H32" s="315">
        <f>SUM(×20年度!H8:H17)</f>
        <v>771396</v>
      </c>
      <c r="I32" s="55">
        <f>SUM(×20年度!I8:I17)</f>
        <v>719496</v>
      </c>
      <c r="J32" s="89">
        <f>SUM(×20年度!J8:J17)</f>
        <v>459897</v>
      </c>
      <c r="K32" s="89">
        <f>SUM(×20年度!K8:K17)</f>
        <v>259599</v>
      </c>
      <c r="L32" s="89">
        <f>SUM(×20年度!L8:L17)</f>
        <v>51900</v>
      </c>
      <c r="M32" s="89">
        <f>SUM(×20年度!M8:M17)</f>
        <v>35960</v>
      </c>
      <c r="N32" s="90">
        <f>SUM(×20年度!N8:N17)</f>
        <v>15940</v>
      </c>
      <c r="O32" s="315">
        <f>SUM(×20年度!O8:O17)</f>
        <v>272199</v>
      </c>
      <c r="P32" s="55">
        <f>SUM(×20年度!P8:P17)</f>
        <v>227727</v>
      </c>
      <c r="Q32" s="90">
        <f>SUM(×20年度!Q8:Q17)</f>
        <v>44472</v>
      </c>
      <c r="R32" s="58">
        <f>SUM(×20年度!R8:R17)</f>
        <v>1259432</v>
      </c>
      <c r="S32" s="55">
        <f>SUM(×20年度!S8:S17)</f>
        <v>3147412</v>
      </c>
      <c r="T32" s="60">
        <f>×20年度!C32/×20年度!R32</f>
        <v>0.34339368858342489</v>
      </c>
      <c r="U32" s="61">
        <f>×20年度!H32/×20年度!S32</f>
        <v>0.24508898104220228</v>
      </c>
      <c r="V32" s="62">
        <f>×20年度!L32/×20年度!H32</f>
        <v>6.728061851500397E-2</v>
      </c>
    </row>
    <row r="33" spans="2:35" ht="20.149999999999999" customHeight="1" x14ac:dyDescent="0.2">
      <c r="B33" s="378" t="s">
        <v>64</v>
      </c>
      <c r="C33" s="315">
        <f>SUM(×20年度!C8:C18)</f>
        <v>475426</v>
      </c>
      <c r="D33" s="55">
        <f>SUM(×20年度!D8:D18)</f>
        <v>450398</v>
      </c>
      <c r="E33" s="89">
        <f>SUM(×20年度!E8:E18)</f>
        <v>442198</v>
      </c>
      <c r="F33" s="89">
        <f>SUM(×20年度!F8:F18)</f>
        <v>8200</v>
      </c>
      <c r="G33" s="90">
        <f>SUM(×20年度!G8:G18)</f>
        <v>25028</v>
      </c>
      <c r="H33" s="315">
        <f>SUM(×20年度!H8:H18)</f>
        <v>847720</v>
      </c>
      <c r="I33" s="55">
        <f>SUM(×20年度!I8:I18)</f>
        <v>790875</v>
      </c>
      <c r="J33" s="89">
        <f>SUM(×20年度!J8:J18)</f>
        <v>505088</v>
      </c>
      <c r="K33" s="89">
        <f>SUM(×20年度!K8:K18)</f>
        <v>285787</v>
      </c>
      <c r="L33" s="89">
        <f>SUM(×20年度!L8:L18)</f>
        <v>56845</v>
      </c>
      <c r="M33" s="89">
        <f>SUM(×20年度!M8:M18)</f>
        <v>39417</v>
      </c>
      <c r="N33" s="90">
        <f>SUM(×20年度!N8:N18)</f>
        <v>17428</v>
      </c>
      <c r="O33" s="315">
        <f>SUM(×20年度!O8:O18)</f>
        <v>298791</v>
      </c>
      <c r="P33" s="55">
        <f>SUM(×20年度!P8:P18)</f>
        <v>250170</v>
      </c>
      <c r="Q33" s="90">
        <f>SUM(×20年度!Q8:Q18)</f>
        <v>48621</v>
      </c>
      <c r="R33" s="58">
        <f>SUM(×20年度!R8:R18)</f>
        <v>1385686</v>
      </c>
      <c r="S33" s="55">
        <f>SUM(×20年度!S8:S18)</f>
        <v>3462176</v>
      </c>
      <c r="T33" s="60">
        <f>×20年度!C33/×20年度!R33</f>
        <v>0.3430979312773601</v>
      </c>
      <c r="U33" s="61">
        <f>×20年度!H33/×20年度!S33</f>
        <v>0.24485179262983742</v>
      </c>
      <c r="V33" s="62">
        <f>×20年度!L33/×20年度!H33</f>
        <v>6.7056339357334974E-2</v>
      </c>
    </row>
    <row r="34" spans="2:35" ht="20.149999999999999" customHeight="1" thickBot="1" x14ac:dyDescent="0.25">
      <c r="B34" s="379" t="s">
        <v>65</v>
      </c>
      <c r="C34" s="366">
        <f>SUM(×20年度!C8:C19)</f>
        <v>518353</v>
      </c>
      <c r="D34" s="367">
        <f>SUM(×20年度!D8:D19)</f>
        <v>491068</v>
      </c>
      <c r="E34" s="368">
        <f>SUM(×20年度!E8:E19)</f>
        <v>482144</v>
      </c>
      <c r="F34" s="368">
        <f>SUM(×20年度!F8:F19)</f>
        <v>8924</v>
      </c>
      <c r="G34" s="369">
        <f>SUM(×20年度!G8:G19)</f>
        <v>27285</v>
      </c>
      <c r="H34" s="366">
        <f>SUM(×20年度!H8:H19)</f>
        <v>923950</v>
      </c>
      <c r="I34" s="367">
        <f>SUM(×20年度!I8:I19)</f>
        <v>862260</v>
      </c>
      <c r="J34" s="368">
        <f>SUM(×20年度!J8:J19)</f>
        <v>550234</v>
      </c>
      <c r="K34" s="368">
        <f>SUM(×20年度!K8:K19)</f>
        <v>312026</v>
      </c>
      <c r="L34" s="368">
        <f>SUM(×20年度!L8:L19)</f>
        <v>61690</v>
      </c>
      <c r="M34" s="368">
        <f>SUM(×20年度!M8:M19)</f>
        <v>42811</v>
      </c>
      <c r="N34" s="369">
        <f>SUM(×20年度!N8:N19)</f>
        <v>18879</v>
      </c>
      <c r="O34" s="366">
        <f>SUM(×20年度!O8:O19)</f>
        <v>325271</v>
      </c>
      <c r="P34" s="367">
        <f>SUM(×20年度!P8:P19)</f>
        <v>272594</v>
      </c>
      <c r="Q34" s="369">
        <f>SUM(×20年度!Q8:Q19)</f>
        <v>52677</v>
      </c>
      <c r="R34" s="370">
        <f>SUM(×20年度!R8:R19)</f>
        <v>1511917</v>
      </c>
      <c r="S34" s="367">
        <f>SUM(×20年度!S8:S19)</f>
        <v>3776139</v>
      </c>
      <c r="T34" s="371">
        <f>×20年度!C34/×20年度!R34</f>
        <v>0.34284487838948829</v>
      </c>
      <c r="U34" s="372">
        <f>×20年度!H34/×20年度!S34</f>
        <v>0.24468114123976897</v>
      </c>
      <c r="V34" s="373">
        <f>×20年度!L34/×20年度!H34</f>
        <v>6.6767682233887113E-2</v>
      </c>
    </row>
    <row r="35" spans="2:35" s="404" customFormat="1" ht="20.149999999999999" customHeight="1" thickTop="1" x14ac:dyDescent="0.2">
      <c r="B35" s="438" t="s">
        <v>66</v>
      </c>
      <c r="C35" s="440">
        <f t="shared" ref="C35:S35" si="2">SUM(C7:C18)</f>
        <v>530285</v>
      </c>
      <c r="D35" s="440">
        <f t="shared" si="2"/>
        <v>493764</v>
      </c>
      <c r="E35" s="440">
        <f t="shared" si="2"/>
        <v>482273</v>
      </c>
      <c r="F35" s="440">
        <f t="shared" si="2"/>
        <v>11491</v>
      </c>
      <c r="G35" s="441">
        <f t="shared" si="2"/>
        <v>36521</v>
      </c>
      <c r="H35" s="439">
        <f t="shared" si="2"/>
        <v>947880</v>
      </c>
      <c r="I35" s="440">
        <f t="shared" si="2"/>
        <v>866685</v>
      </c>
      <c r="J35" s="440">
        <f t="shared" si="2"/>
        <v>558497</v>
      </c>
      <c r="K35" s="440">
        <f t="shared" si="2"/>
        <v>308188</v>
      </c>
      <c r="L35" s="440">
        <f t="shared" si="2"/>
        <v>81195</v>
      </c>
      <c r="M35" s="440">
        <f t="shared" si="2"/>
        <v>55901</v>
      </c>
      <c r="N35" s="442">
        <f t="shared" si="2"/>
        <v>25294</v>
      </c>
      <c r="O35" s="439">
        <f t="shared" si="2"/>
        <v>326075</v>
      </c>
      <c r="P35" s="440">
        <f t="shared" si="2"/>
        <v>270449</v>
      </c>
      <c r="Q35" s="442">
        <f t="shared" si="2"/>
        <v>55626</v>
      </c>
      <c r="R35" s="439">
        <f t="shared" si="2"/>
        <v>1510273</v>
      </c>
      <c r="S35" s="440">
        <f t="shared" si="2"/>
        <v>3775671</v>
      </c>
      <c r="T35" s="443">
        <f>×20年度!C35/×20年度!R35</f>
        <v>0.35111863881563132</v>
      </c>
      <c r="U35" s="443">
        <f>×20年度!H35/×20年度!S35</f>
        <v>0.25104941611702924</v>
      </c>
      <c r="V35" s="444">
        <f>×20年度!L35/×20年度!H35</f>
        <v>8.5659577161666028E-2</v>
      </c>
      <c r="AA35" s="445"/>
    </row>
    <row r="36" spans="2:35" s="446" customFormat="1" ht="20.149999999999999" customHeight="1" thickBot="1" x14ac:dyDescent="0.25">
      <c r="B36" s="447" t="s">
        <v>53</v>
      </c>
      <c r="C36" s="448">
        <f t="shared" ref="C36:S36" si="3">C35/12</f>
        <v>44190.416666666664</v>
      </c>
      <c r="D36" s="449">
        <f t="shared" si="3"/>
        <v>41147</v>
      </c>
      <c r="E36" s="449">
        <f t="shared" si="3"/>
        <v>40189.416666666664</v>
      </c>
      <c r="F36" s="449">
        <f t="shared" si="3"/>
        <v>957.58333333333337</v>
      </c>
      <c r="G36" s="450">
        <f t="shared" si="3"/>
        <v>3043.4166666666665</v>
      </c>
      <c r="H36" s="448">
        <f t="shared" si="3"/>
        <v>78990</v>
      </c>
      <c r="I36" s="449">
        <f t="shared" si="3"/>
        <v>72223.75</v>
      </c>
      <c r="J36" s="449">
        <f t="shared" si="3"/>
        <v>46541.416666666664</v>
      </c>
      <c r="K36" s="449">
        <f t="shared" si="3"/>
        <v>25682.333333333332</v>
      </c>
      <c r="L36" s="449">
        <f t="shared" si="3"/>
        <v>6766.25</v>
      </c>
      <c r="M36" s="449">
        <f t="shared" si="3"/>
        <v>4658.416666666667</v>
      </c>
      <c r="N36" s="451">
        <f t="shared" si="3"/>
        <v>2107.8333333333335</v>
      </c>
      <c r="O36" s="448">
        <f t="shared" si="3"/>
        <v>27172.916666666668</v>
      </c>
      <c r="P36" s="449">
        <f t="shared" si="3"/>
        <v>22537.416666666668</v>
      </c>
      <c r="Q36" s="451">
        <f t="shared" si="3"/>
        <v>4635.5</v>
      </c>
      <c r="R36" s="448">
        <f t="shared" si="3"/>
        <v>125856.08333333333</v>
      </c>
      <c r="S36" s="449">
        <f t="shared" si="3"/>
        <v>314639.25</v>
      </c>
      <c r="T36" s="452">
        <f>×20年度!C36/×20年度!R36</f>
        <v>0.35111863881563132</v>
      </c>
      <c r="U36" s="453">
        <f>×20年度!H36/×20年度!S36</f>
        <v>0.25104941611702924</v>
      </c>
      <c r="V36" s="454">
        <f>×20年度!L36/×20年度!H36</f>
        <v>8.5659577161666028E-2</v>
      </c>
      <c r="X36" s="455"/>
      <c r="Y36" s="455"/>
      <c r="Z36" s="455"/>
      <c r="AA36" s="455"/>
    </row>
    <row r="37" spans="2:35" s="404" customFormat="1" ht="20.149999999999999" customHeight="1" thickTop="1" x14ac:dyDescent="0.2">
      <c r="B37" s="456" t="s">
        <v>67</v>
      </c>
      <c r="C37" s="457">
        <f>×20年度!C2+×20年度!C31</f>
        <v>554304</v>
      </c>
      <c r="D37" s="458">
        <f>×20年度!D2+×20年度!D31</f>
        <v>499174</v>
      </c>
      <c r="E37" s="459">
        <f>×20年度!E2+×20年度!E31</f>
        <v>482485</v>
      </c>
      <c r="F37" s="459">
        <f>×20年度!F2+×20年度!F31</f>
        <v>16689</v>
      </c>
      <c r="G37" s="460">
        <f>×20年度!G2+×20年度!G31</f>
        <v>55130</v>
      </c>
      <c r="H37" s="457">
        <f>×20年度!H2+×20年度!H31</f>
        <v>996274</v>
      </c>
      <c r="I37" s="458">
        <f>×20年度!I2+×20年度!I31</f>
        <v>876227</v>
      </c>
      <c r="J37" s="459">
        <f>×20年度!J2+×20年度!J31</f>
        <v>575188</v>
      </c>
      <c r="K37" s="459">
        <f>×20年度!K2+×20年度!K31</f>
        <v>301039</v>
      </c>
      <c r="L37" s="459">
        <f>×20年度!L2+×20年度!L31</f>
        <v>120047</v>
      </c>
      <c r="M37" s="459">
        <f>×20年度!M2+×20年度!M31</f>
        <v>82002</v>
      </c>
      <c r="N37" s="461">
        <f>×20年度!N2+×20年度!N31</f>
        <v>38045</v>
      </c>
      <c r="O37" s="462">
        <f>×20年度!O2+×20年度!O31</f>
        <v>328202</v>
      </c>
      <c r="P37" s="461">
        <f>×20年度!P2+×20年度!P31</f>
        <v>266527</v>
      </c>
      <c r="Q37" s="460">
        <f>×20年度!Q2+×20年度!Q31</f>
        <v>61675</v>
      </c>
      <c r="R37" s="463">
        <f>×20年度!R2+×20年度!R31</f>
        <v>1506366</v>
      </c>
      <c r="S37" s="458">
        <f>×20年度!S2+×20年度!S31</f>
        <v>3773616</v>
      </c>
      <c r="T37" s="464">
        <f>×20年度!C37/×20年度!R37</f>
        <v>0.36797431699865768</v>
      </c>
      <c r="U37" s="464">
        <f>×20年度!H37/×20年度!S37</f>
        <v>0.26401043455401929</v>
      </c>
      <c r="V37" s="465">
        <f>×20年度!L37/×20年度!H37</f>
        <v>0.12049596797668112</v>
      </c>
      <c r="AA37" s="445"/>
    </row>
    <row r="38" spans="2:35" s="404" customFormat="1" ht="20.149999999999999" customHeight="1" thickBot="1" x14ac:dyDescent="0.25">
      <c r="B38" s="466" t="s">
        <v>53</v>
      </c>
      <c r="C38" s="467" t="e">
        <f>#VALUE!</f>
        <v>#VALUE!</v>
      </c>
      <c r="D38" s="468" t="e">
        <f>#VALUE!</f>
        <v>#VALUE!</v>
      </c>
      <c r="E38" s="469" t="e">
        <f>#VALUE!</f>
        <v>#VALUE!</v>
      </c>
      <c r="F38" s="469" t="e">
        <f>#VALUE!</f>
        <v>#VALUE!</v>
      </c>
      <c r="G38" s="470" t="e">
        <f>#VALUE!</f>
        <v>#VALUE!</v>
      </c>
      <c r="H38" s="467" t="e">
        <f>#VALUE!</f>
        <v>#VALUE!</v>
      </c>
      <c r="I38" s="468" t="e">
        <f>#VALUE!</f>
        <v>#VALUE!</v>
      </c>
      <c r="J38" s="469" t="e">
        <f>#VALUE!</f>
        <v>#VALUE!</v>
      </c>
      <c r="K38" s="469" t="e">
        <f>#VALUE!</f>
        <v>#VALUE!</v>
      </c>
      <c r="L38" s="469" t="e">
        <f>#VALUE!</f>
        <v>#VALUE!</v>
      </c>
      <c r="M38" s="469" t="e">
        <f>#VALUE!</f>
        <v>#VALUE!</v>
      </c>
      <c r="N38" s="471" t="e">
        <f>#VALUE!</f>
        <v>#VALUE!</v>
      </c>
      <c r="O38" s="472" t="e">
        <f>#VALUE!</f>
        <v>#VALUE!</v>
      </c>
      <c r="P38" s="471" t="e">
        <f>#VALUE!</f>
        <v>#VALUE!</v>
      </c>
      <c r="Q38" s="470" t="e">
        <f>#VALUE!</f>
        <v>#VALUE!</v>
      </c>
      <c r="R38" s="473" t="e">
        <f>#VALUE!</f>
        <v>#VALUE!</v>
      </c>
      <c r="S38" s="468" t="e">
        <f>#VALUE!</f>
        <v>#VALUE!</v>
      </c>
      <c r="T38" s="474" t="e">
        <f>×20年度!C38/×20年度!R38</f>
        <v>#VALUE!</v>
      </c>
      <c r="U38" s="474" t="e">
        <f>×20年度!H38/×20年度!S38</f>
        <v>#VALUE!</v>
      </c>
      <c r="V38" s="475" t="e">
        <f>×20年度!L38/×20年度!H38</f>
        <v>#VALUE!</v>
      </c>
      <c r="X38" s="476"/>
      <c r="Y38" s="476"/>
    </row>
    <row r="39" spans="2:35" ht="20.149999999999999" customHeight="1" thickTop="1" x14ac:dyDescent="0.2"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2:35" ht="20.149999999999999" customHeight="1" x14ac:dyDescent="0.2">
      <c r="B40" s="1" t="s">
        <v>475</v>
      </c>
      <c r="J40" s="1" t="s">
        <v>1152</v>
      </c>
      <c r="R40" s="1">
        <v>29298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2:35" ht="20.149999999999999" customHeight="1" x14ac:dyDescent="0.2">
      <c r="C41" s="1" t="s">
        <v>682</v>
      </c>
      <c r="D41" s="1" t="s">
        <v>1483</v>
      </c>
      <c r="E41" s="1" t="s">
        <v>1484</v>
      </c>
      <c r="F41" s="1" t="s">
        <v>1485</v>
      </c>
      <c r="K41" s="1" t="s">
        <v>405</v>
      </c>
      <c r="L41" s="1" t="s">
        <v>1160</v>
      </c>
      <c r="M41" s="1" t="s">
        <v>817</v>
      </c>
      <c r="N41" s="1" t="s">
        <v>907</v>
      </c>
      <c r="R41" s="1" t="s">
        <v>1158</v>
      </c>
    </row>
    <row r="42" spans="2:35" ht="20.149999999999999" customHeight="1" x14ac:dyDescent="0.2"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ROUND(+×20年度!R43*×20年度!N42,0)</f>
        <v>27605</v>
      </c>
      <c r="S42" s="1" t="s">
        <v>1165</v>
      </c>
      <c r="W42" s="117"/>
      <c r="X42" s="117"/>
      <c r="AD42" s="119"/>
    </row>
    <row r="43" spans="2:35" ht="20.149999999999999" customHeight="1" x14ac:dyDescent="0.2"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ROUND((+平成14年度!K19+×20年度!K27)/6,0)</f>
        <v>25704</v>
      </c>
      <c r="L43" s="1">
        <f>ROUND(+×20年度!L42/×20年度!K42,4)</f>
        <v>0.99850000000000005</v>
      </c>
      <c r="M43" s="1">
        <f>ROUND(+×20年度!M42/×20年度!L42,4)</f>
        <v>1.0199</v>
      </c>
      <c r="N43" s="1">
        <f>×20年度!M43</f>
        <v>1.0199</v>
      </c>
      <c r="R43" s="1">
        <f>ROUND((×20年度!M43+×20年度!N43)/2,4)</f>
        <v>1.0199</v>
      </c>
      <c r="Y43" s="117"/>
    </row>
    <row r="44" spans="2:35" ht="20.149999999999999" customHeight="1" x14ac:dyDescent="0.2">
      <c r="B44" s="121" t="s">
        <v>482</v>
      </c>
      <c r="C44" s="121"/>
      <c r="D44" s="122">
        <f>×20年度!D43/×20年度!C43</f>
        <v>1.0781186534811042</v>
      </c>
      <c r="E44" s="122">
        <f>×20年度!E43/×20年度!D43</f>
        <v>1.0713588239364606</v>
      </c>
      <c r="F44" s="123">
        <f>ROUND(+×20年度!F43/×20年度!E43,4)</f>
        <v>1.0658000000000001</v>
      </c>
      <c r="G44" s="123">
        <f>ROUND(+×20年度!G43/×20年度!F43,4)</f>
        <v>1.0385</v>
      </c>
      <c r="J44" s="1" t="s">
        <v>1168</v>
      </c>
      <c r="K44" s="1">
        <f>ROUND(+×20年度!K46/×20年度!K42,4)</f>
        <v>0.99309999999999998</v>
      </c>
      <c r="L44" s="1">
        <f>ROUND(+×20年度!L46/×20年度!L42,4)</f>
        <v>0.99739999999999995</v>
      </c>
      <c r="M44" s="1">
        <f>ROUND(+×20年度!M46/×20年度!M42,4)</f>
        <v>1.0001</v>
      </c>
      <c r="N44" s="1">
        <f>×20年度!M44</f>
        <v>1.0001</v>
      </c>
      <c r="R44" s="1">
        <f>ROUND((+×20年度!N44+×20年度!M44)/2,4)</f>
        <v>1.0001</v>
      </c>
      <c r="W44" s="117"/>
      <c r="X44" s="124" t="s">
        <v>275</v>
      </c>
      <c r="Z44" s="125" t="str">
        <f>×20年度!C3</f>
        <v>平成20年度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</row>
    <row r="45" spans="2:35" ht="20.149999999999999" customHeight="1" x14ac:dyDescent="0.25"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ROUND(+×20年度!F46*×20年度!G43,0)</f>
        <v>25966</v>
      </c>
      <c r="H45" s="126">
        <f>×20年度!G45*×20年度!G47</f>
        <v>26965.690999999999</v>
      </c>
      <c r="N45" s="3">
        <f>ROUND(+×20年度!N44*×20年度!N42,0)</f>
        <v>27069</v>
      </c>
      <c r="O45" s="3"/>
      <c r="P45" s="3"/>
      <c r="Q45" s="3"/>
      <c r="R45" s="3">
        <f>ROUND(+×20年度!R42*×20年度!R44,0)</f>
        <v>27608</v>
      </c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</row>
    <row r="46" spans="2:35" ht="20.149999999999999" customHeight="1" x14ac:dyDescent="0.2">
      <c r="B46" s="121" t="s">
        <v>498</v>
      </c>
      <c r="C46" s="122">
        <f>×20年度!C45/×20年度!C43</f>
        <v>1.0183691570579507</v>
      </c>
      <c r="D46" s="122">
        <f>×20年度!D45/×20年度!D43</f>
        <v>1.0172149991157995</v>
      </c>
      <c r="E46" s="122">
        <f>×20年度!E45/×20年度!E43</f>
        <v>1.0149703606952676</v>
      </c>
      <c r="F46" s="122">
        <f>ROUND(+×20年度!F45/×20年度!F43,4)</f>
        <v>1.0102</v>
      </c>
      <c r="G46" s="122">
        <f>ROUND((+×20年度!E46+×20年度!F46)/2,4)</f>
        <v>1.0125999999999999</v>
      </c>
      <c r="J46" s="1" t="s">
        <v>1185</v>
      </c>
      <c r="K46" s="118">
        <v>25949</v>
      </c>
      <c r="L46" s="118">
        <v>26021</v>
      </c>
      <c r="M46" s="118">
        <v>26608</v>
      </c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</row>
    <row r="47" spans="2:35" ht="20.149999999999999" customHeight="1" x14ac:dyDescent="0.2">
      <c r="B47" s="121" t="s">
        <v>509</v>
      </c>
      <c r="C47" s="121"/>
      <c r="D47" s="122">
        <f>×20年度!D45/×20年度!C45</f>
        <v>1.076896779077434</v>
      </c>
      <c r="E47" s="122">
        <f>×20年度!E45/×20年度!D45</f>
        <v>1.0689947089947089</v>
      </c>
      <c r="F47" s="122">
        <f>ROUND(+×20年度!F45/×20年度!E45,4)</f>
        <v>1.0608</v>
      </c>
      <c r="G47" s="122">
        <f>ROUND(+×20年度!G45/×20年度!F45,4)</f>
        <v>1.0385</v>
      </c>
      <c r="L47" s="1">
        <f>ROUND(+×20年度!L46/×20年度!K46,4)</f>
        <v>1.0027999999999999</v>
      </c>
      <c r="M47" s="1">
        <f>ROUND(+×20年度!M46/×20年度!L46,4)</f>
        <v>1.0226</v>
      </c>
      <c r="N47" s="1">
        <f>×20年度!M47</f>
        <v>1.0226</v>
      </c>
      <c r="R47" s="1">
        <f>×20年度!N47</f>
        <v>1.0226</v>
      </c>
      <c r="W47" s="117"/>
      <c r="X47" s="142"/>
      <c r="Y47" s="143"/>
      <c r="Z47" s="144"/>
      <c r="AA47" s="144"/>
      <c r="AB47" s="144"/>
      <c r="AC47" s="145"/>
      <c r="AD47" s="146">
        <f>×20年度!M8</f>
        <v>3690</v>
      </c>
      <c r="AE47" s="144" t="s">
        <v>275</v>
      </c>
      <c r="AF47" s="144"/>
      <c r="AG47" s="147"/>
      <c r="AH47" s="147"/>
      <c r="AI47" s="148"/>
    </row>
    <row r="48" spans="2:35" ht="20.149999999999999" customHeight="1" x14ac:dyDescent="0.2">
      <c r="J48" s="1" t="s">
        <v>1198</v>
      </c>
      <c r="N48" s="3">
        <f>ROUND(+×20年度!M46*×20年度!N47,0)</f>
        <v>27209</v>
      </c>
      <c r="O48" s="3"/>
      <c r="P48" s="3"/>
      <c r="Q48" s="3"/>
      <c r="R48" s="149">
        <f>ROUND(+×20年度!N48*×20年度!R47,0)</f>
        <v>27824</v>
      </c>
      <c r="W48" s="117" t="s">
        <v>308</v>
      </c>
      <c r="X48" s="134" t="s">
        <v>40</v>
      </c>
      <c r="Y48" s="150">
        <f>×20年度!C8</f>
        <v>43490</v>
      </c>
      <c r="Z48" s="151">
        <f>×20年度!H8</f>
        <v>77940</v>
      </c>
      <c r="AA48" s="151">
        <f>×20年度!Z48-×20年度!AB48-×20年度!AC48</f>
        <v>46842</v>
      </c>
      <c r="AB48" s="151">
        <f>×20年度!K8</f>
        <v>25700</v>
      </c>
      <c r="AC48" s="152">
        <f>×20年度!AD47+×20年度!AD48</f>
        <v>5398</v>
      </c>
      <c r="AD48" s="153">
        <f>×20年度!N8</f>
        <v>1708</v>
      </c>
      <c r="AE48" s="151">
        <f>×20年度!R8</f>
        <v>125257</v>
      </c>
      <c r="AF48" s="150">
        <f>×20年度!S8</f>
        <v>314181</v>
      </c>
      <c r="AG48" s="154">
        <f>×20年度!Y48/+×20年度!AE48</f>
        <v>0.34720614416759144</v>
      </c>
      <c r="AH48" s="155">
        <f>×20年度!Z48/+×20年度!AF48</f>
        <v>0.24807356269156952</v>
      </c>
      <c r="AI48" s="156">
        <f>×20年度!AC48/+×20年度!Z48</f>
        <v>6.9258403900436236E-2</v>
      </c>
    </row>
    <row r="49" spans="1:35" ht="20.149999999999999" customHeight="1" x14ac:dyDescent="0.2">
      <c r="G49" s="99" t="s">
        <v>940</v>
      </c>
      <c r="H49" s="99" t="s">
        <v>940</v>
      </c>
      <c r="W49" s="117"/>
      <c r="X49" s="142"/>
      <c r="Y49" s="143" t="s">
        <v>275</v>
      </c>
      <c r="Z49" s="144"/>
      <c r="AA49" s="144"/>
      <c r="AB49" s="144"/>
      <c r="AC49" s="157"/>
      <c r="AD49" s="146">
        <f>×20年度!M9</f>
        <v>3641</v>
      </c>
      <c r="AE49" s="144"/>
      <c r="AF49" s="143"/>
      <c r="AG49" s="158"/>
      <c r="AH49" s="147"/>
      <c r="AI49" s="159"/>
    </row>
    <row r="50" spans="1:35" ht="20.149999999999999" customHeight="1" x14ac:dyDescent="0.2">
      <c r="G50" s="160">
        <f>IF(+×20年度!G45&gt;0,ROUNDUP(+×20年度!G45,-2),ROUNDDOWN(+×20年度!G45,-2))</f>
        <v>26000</v>
      </c>
      <c r="H50" s="160">
        <f>IF(+×20年度!H45&gt;0,ROUNDUP(+×20年度!H45,-2),ROUNDDOWN(+×20年度!H45,-2))</f>
        <v>27000</v>
      </c>
      <c r="W50" s="117"/>
      <c r="X50" s="134" t="s">
        <v>41</v>
      </c>
      <c r="Y50" s="150">
        <f>×20年度!C9</f>
        <v>43473</v>
      </c>
      <c r="Z50" s="151">
        <f>×20年度!H9</f>
        <v>77751</v>
      </c>
      <c r="AA50" s="151">
        <f>×20年度!Z50-×20年度!AB50-×20年度!AC50</f>
        <v>46674</v>
      </c>
      <c r="AB50" s="151">
        <f>×20年度!K9</f>
        <v>25774</v>
      </c>
      <c r="AC50" s="152">
        <f>×20年度!AD49+×20年度!AD50</f>
        <v>5303</v>
      </c>
      <c r="AD50" s="153">
        <f>×20年度!N9</f>
        <v>1662</v>
      </c>
      <c r="AE50" s="151">
        <f>×20年度!R9</f>
        <v>125489</v>
      </c>
      <c r="AF50" s="150">
        <f>×20年度!S9</f>
        <v>314391</v>
      </c>
      <c r="AG50" s="154">
        <f>×20年度!Y50/+×20年度!AE50</f>
        <v>0.34642877064922023</v>
      </c>
      <c r="AH50" s="155">
        <f>×20年度!Z50/+×20年度!AF50</f>
        <v>0.24730669771081235</v>
      </c>
      <c r="AI50" s="156">
        <f>×20年度!AC50/+×20年度!Z50</f>
        <v>6.8204910547774306E-2</v>
      </c>
    </row>
    <row r="51" spans="1:35" ht="20.149999999999999" customHeight="1" x14ac:dyDescent="0.2">
      <c r="A51" s="161" t="s">
        <v>1205</v>
      </c>
      <c r="K51" s="1" t="s">
        <v>405</v>
      </c>
      <c r="L51" s="1" t="s">
        <v>1160</v>
      </c>
      <c r="M51" s="1" t="s">
        <v>817</v>
      </c>
      <c r="N51" s="1" t="s">
        <v>907</v>
      </c>
      <c r="R51" s="1" t="s">
        <v>1158</v>
      </c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×20年度!M10</f>
        <v>3626</v>
      </c>
      <c r="AE51" s="144"/>
      <c r="AF51" s="144"/>
      <c r="AG51" s="147" t="s">
        <v>275</v>
      </c>
      <c r="AH51" s="147" t="s">
        <v>275</v>
      </c>
      <c r="AI51" s="148" t="s">
        <v>275</v>
      </c>
    </row>
    <row r="52" spans="1:35" ht="20.149999999999999" customHeight="1" x14ac:dyDescent="0.2">
      <c r="A52" s="1" t="s">
        <v>1217</v>
      </c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W52" s="117"/>
      <c r="X52" s="134" t="s">
        <v>42</v>
      </c>
      <c r="Y52" s="150">
        <f>×20年度!C10</f>
        <v>43376</v>
      </c>
      <c r="Z52" s="151">
        <f>×20年度!H10</f>
        <v>77543</v>
      </c>
      <c r="AA52" s="151">
        <f>×20年度!Z52-×20年度!AB52-×20年度!AC52</f>
        <v>46435</v>
      </c>
      <c r="AB52" s="151">
        <f>×20年度!K10</f>
        <v>25851</v>
      </c>
      <c r="AC52" s="152">
        <f>×20年度!AD51+×20年度!AD52</f>
        <v>5257</v>
      </c>
      <c r="AD52" s="153">
        <f>×20年度!N10</f>
        <v>1631</v>
      </c>
      <c r="AE52" s="151">
        <f>×20年度!R10</f>
        <v>125639</v>
      </c>
      <c r="AF52" s="150">
        <f>×20年度!S10</f>
        <v>314539</v>
      </c>
      <c r="AG52" s="154">
        <f>×20年度!Y52/+×20年度!AE52</f>
        <v>0.34524311718495054</v>
      </c>
      <c r="AH52" s="155">
        <f>×20年度!Z52/+×20年度!AF52</f>
        <v>0.24652904727235733</v>
      </c>
      <c r="AI52" s="156">
        <f>×20年度!AC52/+×20年度!Z52</f>
        <v>6.7794642972286351E-2</v>
      </c>
    </row>
    <row r="53" spans="1:35" ht="20.149999999999999" customHeight="1" x14ac:dyDescent="0.2">
      <c r="K53" s="1">
        <v>48779</v>
      </c>
      <c r="L53" s="1">
        <v>48738</v>
      </c>
      <c r="M53" s="1">
        <v>49951</v>
      </c>
      <c r="N53" s="1">
        <v>50707</v>
      </c>
      <c r="W53" s="117"/>
      <c r="X53" s="142"/>
      <c r="Y53" s="143"/>
      <c r="Z53" s="144"/>
      <c r="AA53" s="144" t="s">
        <v>275</v>
      </c>
      <c r="AB53" s="144"/>
      <c r="AC53" s="157"/>
      <c r="AD53" s="146">
        <f>×20年度!M11</f>
        <v>3671</v>
      </c>
      <c r="AE53" s="144"/>
      <c r="AF53" s="143"/>
      <c r="AG53" s="158" t="s">
        <v>275</v>
      </c>
      <c r="AH53" s="147" t="s">
        <v>275</v>
      </c>
      <c r="AI53" s="159" t="s">
        <v>275</v>
      </c>
    </row>
    <row r="54" spans="1:35" ht="20.149999999999999" customHeight="1" x14ac:dyDescent="0.2"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ROUND(SUM(+×20年度!S8:S12)/5,0)</f>
        <v>#VALUE!</v>
      </c>
      <c r="W54" s="117"/>
      <c r="X54" s="134" t="s">
        <v>43</v>
      </c>
      <c r="Y54" s="150">
        <f>×20年度!C11</f>
        <v>43316</v>
      </c>
      <c r="Z54" s="151">
        <f>×20年度!H11</f>
        <v>77339</v>
      </c>
      <c r="AA54" s="151">
        <f>×20年度!Z54-×20年度!AB54-×20年度!AC54</f>
        <v>46171</v>
      </c>
      <c r="AB54" s="151">
        <f>×20年度!K11</f>
        <v>25866</v>
      </c>
      <c r="AC54" s="152">
        <f>×20年度!AD53+×20年度!AD54</f>
        <v>5302</v>
      </c>
      <c r="AD54" s="153">
        <f>×20年度!N11</f>
        <v>1631</v>
      </c>
      <c r="AE54" s="151">
        <f>×20年度!R11</f>
        <v>125861</v>
      </c>
      <c r="AF54" s="150">
        <f>×20年度!S11</f>
        <v>314740</v>
      </c>
      <c r="AG54" s="154">
        <f>×20年度!Y54/+×20年度!AE54</f>
        <v>0.34415744352897243</v>
      </c>
      <c r="AH54" s="155">
        <f>×20年度!Z54/+×20年度!AF54</f>
        <v>0.24572345427972295</v>
      </c>
      <c r="AI54" s="156">
        <f>×20年度!AC54/+×20年度!Z54</f>
        <v>6.8555321377312864E-2</v>
      </c>
    </row>
    <row r="55" spans="1:35" ht="20.149999999999999" customHeight="1" x14ac:dyDescent="0.2">
      <c r="B55" s="121" t="s">
        <v>1232</v>
      </c>
      <c r="C55" s="121"/>
      <c r="D55" s="122" t="e">
        <f>×20年度!D54/×20年度!C54</f>
        <v>#VALUE!</v>
      </c>
      <c r="E55" s="122" t="e">
        <f>×20年度!E54/×20年度!D54</f>
        <v>#VALUE!</v>
      </c>
      <c r="F55" s="123" t="e">
        <f>ROUND(+×20年度!F54/×20年度!E54,4)</f>
        <v>#VALUE!</v>
      </c>
      <c r="G55" s="123" t="e">
        <f>ROUND(+×20年度!G54/×20年度!F54,4)</f>
        <v>#VALUE!</v>
      </c>
      <c r="H55" s="123" t="e">
        <f>ROUND(+×20年度!H54/×20年度!G54,4)</f>
        <v>#VALUE!</v>
      </c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ROUND(ROUND(+×20年度!M55/×20年度!L55,4)*×20年度!M55,0)</f>
        <v>27209</v>
      </c>
      <c r="W55" s="117"/>
      <c r="X55" s="142"/>
      <c r="Y55" s="143"/>
      <c r="Z55" s="144"/>
      <c r="AA55" s="144" t="s">
        <v>275</v>
      </c>
      <c r="AB55" s="144"/>
      <c r="AC55" s="145"/>
      <c r="AD55" s="146">
        <f>×20年度!M12</f>
        <v>3659</v>
      </c>
      <c r="AE55" s="144"/>
      <c r="AF55" s="144"/>
      <c r="AG55" s="147" t="s">
        <v>275</v>
      </c>
      <c r="AH55" s="147" t="s">
        <v>275</v>
      </c>
      <c r="AI55" s="148" t="s">
        <v>275</v>
      </c>
    </row>
    <row r="56" spans="1:35" ht="20.149999999999999" customHeight="1" x14ac:dyDescent="0.25"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K56" s="1">
        <v>48708</v>
      </c>
      <c r="L56" s="1">
        <v>49113</v>
      </c>
      <c r="M56" s="1">
        <v>50246</v>
      </c>
      <c r="N56" s="1">
        <f>ROUND(ROUND(+×20年度!M56/×20年度!L56,4)*×20年度!M56,0)</f>
        <v>51407</v>
      </c>
      <c r="W56" s="117"/>
      <c r="X56" s="134" t="s">
        <v>44</v>
      </c>
      <c r="Y56" s="150">
        <f>×20年度!C12</f>
        <v>43339</v>
      </c>
      <c r="Z56" s="151">
        <f>×20年度!H12</f>
        <v>77337</v>
      </c>
      <c r="AA56" s="151">
        <f>×20年度!Z56-×20年度!AB56-×20年度!AC56</f>
        <v>46079</v>
      </c>
      <c r="AB56" s="151">
        <f>×20年度!K12</f>
        <v>25995</v>
      </c>
      <c r="AC56" s="152">
        <f>×20年度!AD55+×20年度!AD56</f>
        <v>5263</v>
      </c>
      <c r="AD56" s="153">
        <f>×20年度!N12</f>
        <v>1604</v>
      </c>
      <c r="AE56" s="151">
        <f>×20年度!R12</f>
        <v>125963</v>
      </c>
      <c r="AF56" s="150">
        <f>×20年度!S12</f>
        <v>314874</v>
      </c>
      <c r="AG56" s="154">
        <f>×20年度!Y56/+×20年度!AE56</f>
        <v>0.34406135134920574</v>
      </c>
      <c r="AH56" s="155">
        <f>×20年度!Z56/+×20年度!AF56</f>
        <v>0.24561253072657635</v>
      </c>
      <c r="AI56" s="156">
        <f>×20年度!AC56/+×20年度!Z56</f>
        <v>6.8052807841007534E-2</v>
      </c>
    </row>
    <row r="57" spans="1:35" ht="20.149999999999999" customHeight="1" x14ac:dyDescent="0.2">
      <c r="B57" s="121" t="s">
        <v>1241</v>
      </c>
      <c r="C57" s="122" t="e">
        <f>×20年度!C56/×20年度!C54</f>
        <v>#VALUE!</v>
      </c>
      <c r="D57" s="122" t="e">
        <f>×20年度!D56/×20年度!D54</f>
        <v>#VALUE!</v>
      </c>
      <c r="E57" s="122" t="e">
        <f>×20年度!E56/×20年度!E54</f>
        <v>#VALUE!</v>
      </c>
      <c r="F57" s="122" t="e">
        <f>ROUND(+×20年度!F56/×20年度!F54,4)</f>
        <v>#VALUE!</v>
      </c>
      <c r="G57" s="122" t="e">
        <f>ROUND((+×20年度!E57+×20年度!F57)/2,4)</f>
        <v>#VALUE!</v>
      </c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R57" s="1" t="s">
        <v>1247</v>
      </c>
      <c r="S57" s="1" t="s">
        <v>1248</v>
      </c>
      <c r="W57" s="117"/>
      <c r="X57" s="142"/>
      <c r="Y57" s="143"/>
      <c r="Z57" s="144"/>
      <c r="AA57" s="144" t="s">
        <v>275</v>
      </c>
      <c r="AB57" s="144"/>
      <c r="AC57" s="145"/>
      <c r="AD57" s="146">
        <f>×20年度!M13</f>
        <v>3624</v>
      </c>
      <c r="AE57" s="144"/>
      <c r="AF57" s="144"/>
      <c r="AG57" s="147" t="s">
        <v>275</v>
      </c>
      <c r="AH57" s="147" t="s">
        <v>275</v>
      </c>
      <c r="AI57" s="148" t="s">
        <v>275</v>
      </c>
    </row>
    <row r="58" spans="1:35" ht="20.149999999999999" customHeight="1" x14ac:dyDescent="0.2">
      <c r="B58" s="121" t="s">
        <v>509</v>
      </c>
      <c r="C58" s="121"/>
      <c r="D58" s="122" t="e">
        <f>×20年度!D56/×20年度!C56</f>
        <v>#VALUE!</v>
      </c>
      <c r="E58" s="122" t="e">
        <f>×20年度!E56/×20年度!D56</f>
        <v>#VALUE!</v>
      </c>
      <c r="F58" s="122" t="e">
        <f>ROUND(+×20年度!F56/×20年度!E56,4)</f>
        <v>#VALUE!</v>
      </c>
      <c r="G58" s="122" t="e">
        <f>ROUND(+×20年度!G56/×20年度!F56,4)</f>
        <v>#VALUE!</v>
      </c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W58" s="117"/>
      <c r="X58" s="134" t="s">
        <v>45</v>
      </c>
      <c r="Y58" s="150">
        <f>×20年度!C13</f>
        <v>43235</v>
      </c>
      <c r="Z58" s="151">
        <f>×20年度!H13</f>
        <v>77023</v>
      </c>
      <c r="AA58" s="151">
        <f>×20年度!Z58-×20年度!AB58-×20年度!AC58</f>
        <v>45745</v>
      </c>
      <c r="AB58" s="151">
        <f>×20年度!K13</f>
        <v>26059</v>
      </c>
      <c r="AC58" s="152">
        <f>×20年度!AD57+×20年度!AD58</f>
        <v>5219</v>
      </c>
      <c r="AD58" s="153">
        <f>×20年度!N13</f>
        <v>1595</v>
      </c>
      <c r="AE58" s="151">
        <f>×20年度!R13</f>
        <v>126013</v>
      </c>
      <c r="AF58" s="150">
        <f>×20年度!S13</f>
        <v>314805</v>
      </c>
      <c r="AG58" s="154">
        <f>×20年度!Y58/+×20年度!AE58</f>
        <v>0.34309952147794276</v>
      </c>
      <c r="AH58" s="155">
        <f>×20年度!Z58/+×20年度!AF58</f>
        <v>0.24466892203109861</v>
      </c>
      <c r="AI58" s="156">
        <f>×20年度!AC58/+×20年度!Z58</f>
        <v>6.7758981083572437E-2</v>
      </c>
    </row>
    <row r="59" spans="1:35" ht="20.149999999999999" customHeight="1" x14ac:dyDescent="0.2">
      <c r="J59" s="36">
        <v>1</v>
      </c>
      <c r="K59" s="36">
        <f>ROUND(+×20年度!K58/×20年度!J58,4)</f>
        <v>0.99309999999999998</v>
      </c>
      <c r="L59" s="36">
        <f>ROUND(+×20年度!L58/×20年度!K58,4)</f>
        <v>1.0054000000000001</v>
      </c>
      <c r="M59" s="36">
        <f>ROUND(+×20年度!M58/×20年度!L58,4)</f>
        <v>0.99739999999999995</v>
      </c>
      <c r="N59" s="36">
        <f>ROUND(+×20年度!N58/×20年度!M58,4)</f>
        <v>1.0225</v>
      </c>
      <c r="O59" s="36"/>
      <c r="P59" s="36"/>
      <c r="Q59" s="36"/>
      <c r="R59" s="36">
        <f>ROUND(+×20年度!R58/×20年度!N58,4)</f>
        <v>1.0001</v>
      </c>
      <c r="S59" s="36">
        <f>ROUND(+×20年度!S58/×20年度!R58,4)</f>
        <v>1.0172000000000001</v>
      </c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×20年度!M14</f>
        <v>3594</v>
      </c>
      <c r="AE59" s="144"/>
      <c r="AF59" s="144"/>
      <c r="AG59" s="147" t="s">
        <v>275</v>
      </c>
      <c r="AH59" s="147" t="s">
        <v>275</v>
      </c>
      <c r="AI59" s="148" t="s">
        <v>275</v>
      </c>
    </row>
    <row r="60" spans="1:35" ht="20.149999999999999" customHeight="1" x14ac:dyDescent="0.2">
      <c r="D60" s="1" t="e">
        <f>×20年度!C57*×20年度!D54</f>
        <v>#VALUE!</v>
      </c>
      <c r="E60" s="1" t="e">
        <f>×20年度!D57*×20年度!E54</f>
        <v>#VALUE!</v>
      </c>
      <c r="F60" s="1" t="e">
        <f>×20年度!E57*×20年度!F54</f>
        <v>#VALUE!</v>
      </c>
      <c r="G60" s="1" t="e">
        <f>×20年度!F57*×20年度!G54</f>
        <v>#VALUE!</v>
      </c>
      <c r="H60" s="162" t="e">
        <f>IF(+×20年度!G57*×20年度!H54&gt;0,ROUNDDOWN(+×20年度!G57*×20年度!H54,-2),ROUNDUP(+×20年度!G57*×20年度!H54,-2))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R60" s="1">
        <v>50246</v>
      </c>
      <c r="S60" s="1">
        <v>50707</v>
      </c>
      <c r="W60" s="117"/>
      <c r="X60" s="134" t="s">
        <v>46</v>
      </c>
      <c r="Y60" s="150">
        <f>×20年度!C14</f>
        <v>43178</v>
      </c>
      <c r="Z60" s="151">
        <f>×20年度!H14</f>
        <v>76886</v>
      </c>
      <c r="AA60" s="151">
        <f>×20年度!Z60-×20年度!AB60-×20年度!AC60</f>
        <v>45666</v>
      </c>
      <c r="AB60" s="151">
        <f>×20年度!K14</f>
        <v>26049</v>
      </c>
      <c r="AC60" s="152">
        <f>×20年度!AD59+×20年度!AD60</f>
        <v>5171</v>
      </c>
      <c r="AD60" s="153">
        <f>×20年度!N14</f>
        <v>1577</v>
      </c>
      <c r="AE60" s="151">
        <f>×20年度!R14</f>
        <v>126147</v>
      </c>
      <c r="AF60" s="150">
        <f>×20年度!S14</f>
        <v>314859</v>
      </c>
      <c r="AG60" s="154">
        <f>×20年度!Y60/+×20年度!AE60</f>
        <v>0.34228320927172268</v>
      </c>
      <c r="AH60" s="155">
        <f>×20年度!Z60/+×20年度!AF60</f>
        <v>0.24419184460345741</v>
      </c>
      <c r="AI60" s="156">
        <f>×20年度!AC60/+×20年度!Z60</f>
        <v>6.725541711104753E-2</v>
      </c>
    </row>
    <row r="61" spans="1:35" ht="20.149999999999999" customHeight="1" x14ac:dyDescent="0.2">
      <c r="J61" s="36">
        <v>1</v>
      </c>
      <c r="K61" s="36">
        <f>ROUND(+×20年度!K60/×20年度!J60,4)</f>
        <v>0.99850000000000005</v>
      </c>
      <c r="L61" s="36">
        <f>ROUND(+×20年度!L60/×20年度!K60,4)</f>
        <v>1.0005999999999999</v>
      </c>
      <c r="M61" s="36">
        <f>ROUND(+×20年度!M60/×20年度!L60,4)</f>
        <v>1.0077</v>
      </c>
      <c r="N61" s="36">
        <f>ROUND(+×20年度!N60/×20年度!M60,4)</f>
        <v>1.0170999999999999</v>
      </c>
      <c r="O61" s="36"/>
      <c r="P61" s="36"/>
      <c r="Q61" s="36"/>
      <c r="R61" s="36">
        <f>ROUND(+×20年度!R60/×20年度!N60,4)</f>
        <v>1.0059</v>
      </c>
      <c r="S61" s="36">
        <f>ROUND(+×20年度!S60/×20年度!R60,4)</f>
        <v>1.0092000000000001</v>
      </c>
      <c r="W61" s="117"/>
      <c r="X61" s="142"/>
      <c r="Y61" s="143"/>
      <c r="Z61" s="144"/>
      <c r="AA61" s="144" t="s">
        <v>275</v>
      </c>
      <c r="AB61" s="144"/>
      <c r="AC61" s="145"/>
      <c r="AD61" s="146">
        <f>×20年度!M15</f>
        <v>3499</v>
      </c>
      <c r="AE61" s="144"/>
      <c r="AF61" s="144"/>
      <c r="AG61" s="147" t="s">
        <v>275</v>
      </c>
      <c r="AH61" s="147" t="s">
        <v>275</v>
      </c>
      <c r="AI61" s="148" t="s">
        <v>275</v>
      </c>
    </row>
    <row r="62" spans="1:35" ht="20.149999999999999" customHeight="1" x14ac:dyDescent="0.2">
      <c r="A62" s="1" t="s">
        <v>11</v>
      </c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R62" s="1">
        <v>81903</v>
      </c>
      <c r="S62" s="1">
        <v>83699</v>
      </c>
      <c r="W62" s="117"/>
      <c r="X62" s="134" t="s">
        <v>47</v>
      </c>
      <c r="Y62" s="150">
        <f>×20年度!C15</f>
        <v>43110</v>
      </c>
      <c r="Z62" s="151">
        <f>×20年度!H15</f>
        <v>76696</v>
      </c>
      <c r="AA62" s="151">
        <f>×20年度!Z62-×20年度!AB62-×20年度!AC62</f>
        <v>45594</v>
      </c>
      <c r="AB62" s="151">
        <f>×20年度!K15</f>
        <v>26079</v>
      </c>
      <c r="AC62" s="152">
        <f>×20年度!AD61+×20年度!AD62</f>
        <v>5023</v>
      </c>
      <c r="AD62" s="153">
        <f>×20年度!N15</f>
        <v>1524</v>
      </c>
      <c r="AE62" s="151">
        <f>×20年度!R15</f>
        <v>126314</v>
      </c>
      <c r="AF62" s="150">
        <f>×20年度!S15</f>
        <v>315014</v>
      </c>
      <c r="AG62" s="154">
        <f>×20年度!Y62/+×20年度!AE62</f>
        <v>0.34129233497474548</v>
      </c>
      <c r="AH62" s="155">
        <f>×20年度!Z62/+×20年度!AF62</f>
        <v>0.24346854425517597</v>
      </c>
      <c r="AI62" s="156">
        <f>×20年度!AC62/+×20年度!Z62</f>
        <v>6.5492333368102645E-2</v>
      </c>
    </row>
    <row r="63" spans="1:35" ht="20.149999999999999" customHeight="1" x14ac:dyDescent="0.2">
      <c r="J63" s="36">
        <v>1</v>
      </c>
      <c r="K63" s="36">
        <f>ROUND(+×20年度!K62/×20年度!J62,4)</f>
        <v>1.0068999999999999</v>
      </c>
      <c r="L63" s="36">
        <f>ROUND(+×20年度!L62/×20年度!K62,4)</f>
        <v>1.0145</v>
      </c>
      <c r="M63" s="36">
        <f>ROUND(+×20年度!M62/×20年度!L62,4)</f>
        <v>1.0133000000000001</v>
      </c>
      <c r="N63" s="36">
        <f>ROUND(+×20年度!N62/×20年度!M62,4)</f>
        <v>1.0256000000000001</v>
      </c>
      <c r="O63" s="36"/>
      <c r="P63" s="36"/>
      <c r="Q63" s="36"/>
      <c r="R63" s="36">
        <f>ROUND(+×20年度!R62/×20年度!N62,4)</f>
        <v>1.0128999999999999</v>
      </c>
      <c r="S63" s="36">
        <f>ROUND(+×20年度!S62/×20年度!R62,4)</f>
        <v>1.0219</v>
      </c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×20年度!M16</f>
        <v>3465</v>
      </c>
      <c r="AE63" s="144"/>
      <c r="AF63" s="143"/>
      <c r="AG63" s="158" t="s">
        <v>275</v>
      </c>
      <c r="AH63" s="147" t="s">
        <v>275</v>
      </c>
      <c r="AI63" s="159" t="s">
        <v>275</v>
      </c>
    </row>
    <row r="64" spans="1:35" ht="20.149999999999999" customHeight="1" x14ac:dyDescent="0.2"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ROUND(SUM(+×20年度!R8:R12)/5,0)</f>
        <v>#VALUE!</v>
      </c>
      <c r="W64" s="117"/>
      <c r="X64" s="134" t="s">
        <v>48</v>
      </c>
      <c r="Y64" s="150">
        <f>×20年度!C16</f>
        <v>43024</v>
      </c>
      <c r="Z64" s="151">
        <f>×20年度!H16</f>
        <v>76533</v>
      </c>
      <c r="AA64" s="151">
        <f>×20年度!Z64-×20年度!AB64-×20年度!AC64</f>
        <v>45423</v>
      </c>
      <c r="AB64" s="151">
        <f>×20年度!K16</f>
        <v>26145</v>
      </c>
      <c r="AC64" s="152">
        <f>×20年度!AD63+×20年度!AD64</f>
        <v>4965</v>
      </c>
      <c r="AD64" s="153">
        <f>×20年度!N16</f>
        <v>1500</v>
      </c>
      <c r="AE64" s="151">
        <f>×20年度!R16</f>
        <v>126378</v>
      </c>
      <c r="AF64" s="150">
        <f>×20年度!S16</f>
        <v>315013</v>
      </c>
      <c r="AG64" s="154">
        <f>×20年度!Y64/+×20年度!AE64</f>
        <v>0.34043900045894065</v>
      </c>
      <c r="AH64" s="155">
        <f>×20年度!Z64/+×20年度!AF64</f>
        <v>0.24295187817645622</v>
      </c>
      <c r="AI64" s="156">
        <f>×20年度!AC64/+×20年度!Z64</f>
        <v>6.487397593195092E-2</v>
      </c>
    </row>
    <row r="65" spans="1:35" ht="20.149999999999999" customHeight="1" x14ac:dyDescent="0.2">
      <c r="A65" s="163"/>
      <c r="B65" s="121" t="s">
        <v>1232</v>
      </c>
      <c r="C65" s="121"/>
      <c r="D65" s="122" t="e">
        <f>×20年度!D64/×20年度!C64</f>
        <v>#VALUE!</v>
      </c>
      <c r="E65" s="122" t="e">
        <f>×20年度!E64/×20年度!D64</f>
        <v>#VALUE!</v>
      </c>
      <c r="F65" s="123" t="e">
        <f>ROUND(+×20年度!F64/×20年度!E64,4)</f>
        <v>#VALUE!</v>
      </c>
      <c r="G65" s="123" t="e">
        <f>ROUND(+×20年度!G64/×20年度!F64,4)</f>
        <v>#VALUE!</v>
      </c>
      <c r="H65" s="123" t="e">
        <f>ROUND(+×20年度!H64/×20年度!G64,4)</f>
        <v>#VALUE!</v>
      </c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×20年度!M17</f>
        <v>3491</v>
      </c>
      <c r="AE65" s="144"/>
      <c r="AF65" s="143"/>
      <c r="AG65" s="158" t="s">
        <v>275</v>
      </c>
      <c r="AH65" s="147" t="s">
        <v>275</v>
      </c>
      <c r="AI65" s="159" t="s">
        <v>275</v>
      </c>
    </row>
    <row r="66" spans="1:35" ht="20.149999999999999" customHeight="1" x14ac:dyDescent="0.25"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W66" s="117"/>
      <c r="X66" s="134" t="s">
        <v>49</v>
      </c>
      <c r="Y66" s="150">
        <f>×20年度!C17</f>
        <v>42940</v>
      </c>
      <c r="Z66" s="151">
        <f>×20年度!H17</f>
        <v>76348</v>
      </c>
      <c r="AA66" s="151">
        <f>×20年度!Z66-×20年度!AB66-×20年度!AC66</f>
        <v>45268</v>
      </c>
      <c r="AB66" s="151">
        <f>×20年度!K17</f>
        <v>26081</v>
      </c>
      <c r="AC66" s="152">
        <f>×20年度!AD65+×20年度!AD66</f>
        <v>4999</v>
      </c>
      <c r="AD66" s="153">
        <f>×20年度!N17</f>
        <v>1508</v>
      </c>
      <c r="AE66" s="151">
        <f>×20年度!R17</f>
        <v>126371</v>
      </c>
      <c r="AF66" s="150">
        <f>×20年度!S17</f>
        <v>314996</v>
      </c>
      <c r="AG66" s="154">
        <f>×20年度!Y66/+×20年度!AE66</f>
        <v>0.33979314874456956</v>
      </c>
      <c r="AH66" s="155">
        <f>×20年度!Z66/+×20年度!AF66</f>
        <v>0.24237768098642523</v>
      </c>
      <c r="AI66" s="156">
        <f>×20年度!AC66/+×20年度!Z66</f>
        <v>6.5476502331429765E-2</v>
      </c>
    </row>
    <row r="67" spans="1:35" ht="20.149999999999999" customHeight="1" x14ac:dyDescent="0.2">
      <c r="B67" s="121" t="s">
        <v>1241</v>
      </c>
      <c r="C67" s="122" t="e">
        <f>×20年度!C66/×20年度!C64</f>
        <v>#VALUE!</v>
      </c>
      <c r="D67" s="122" t="e">
        <f>×20年度!D66/×20年度!D64</f>
        <v>#VALUE!</v>
      </c>
      <c r="E67" s="122" t="e">
        <f>×20年度!E66/×20年度!E64</f>
        <v>#VALUE!</v>
      </c>
      <c r="F67" s="122" t="e">
        <f>ROUND(+×20年度!F66/×20年度!F64,4)</f>
        <v>#VALUE!</v>
      </c>
      <c r="G67" s="122" t="e">
        <f>ROUND((+×20年度!E67+×20年度!F67)/2,4)</f>
        <v>#VALUE!</v>
      </c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×20年度!M18</f>
        <v>3457</v>
      </c>
      <c r="AE67" s="144"/>
      <c r="AF67" s="143"/>
      <c r="AG67" s="158" t="s">
        <v>275</v>
      </c>
      <c r="AH67" s="147" t="s">
        <v>275</v>
      </c>
      <c r="AI67" s="159" t="s">
        <v>275</v>
      </c>
    </row>
    <row r="68" spans="1:35" ht="20.149999999999999" customHeight="1" x14ac:dyDescent="0.2">
      <c r="B68" s="121" t="s">
        <v>509</v>
      </c>
      <c r="C68" s="121"/>
      <c r="D68" s="122" t="e">
        <f>×20年度!D66/×20年度!C66</f>
        <v>#VALUE!</v>
      </c>
      <c r="E68" s="122">
        <f>×20年度!E66/×20年度!D66</f>
        <v>0.25925412132844117</v>
      </c>
      <c r="F68" s="122">
        <f>ROUND(+×20年度!F66/×20年度!E66,4)</f>
        <v>1.0185999999999999</v>
      </c>
      <c r="G68" s="122">
        <f>ROUND(+×20年度!G66/×20年度!F66,4)</f>
        <v>1.0221</v>
      </c>
      <c r="W68" s="117"/>
      <c r="X68" s="134" t="s">
        <v>50</v>
      </c>
      <c r="Y68" s="150">
        <f>×20年度!C18</f>
        <v>42945</v>
      </c>
      <c r="Z68" s="151">
        <f>×20年度!H18</f>
        <v>76324</v>
      </c>
      <c r="AA68" s="151">
        <f>×20年度!Z68-×20年度!AB68-×20年度!AC68</f>
        <v>45191</v>
      </c>
      <c r="AB68" s="151">
        <f>×20年度!K18</f>
        <v>26188</v>
      </c>
      <c r="AC68" s="152">
        <f>×20年度!AD67+×20年度!AD68</f>
        <v>4945</v>
      </c>
      <c r="AD68" s="153">
        <f>×20年度!N18</f>
        <v>1488</v>
      </c>
      <c r="AE68" s="151">
        <f>×20年度!R18</f>
        <v>126254</v>
      </c>
      <c r="AF68" s="150">
        <f>×20年度!S18</f>
        <v>314764</v>
      </c>
      <c r="AG68" s="154">
        <f>×20年度!Y68/+×20年度!AE68</f>
        <v>0.34014763888668875</v>
      </c>
      <c r="AH68" s="155">
        <f>×20年度!Z68/+×20年度!AF68</f>
        <v>0.24248008031414012</v>
      </c>
      <c r="AI68" s="156">
        <f>×20年度!AC68/+×20年度!Z68</f>
        <v>6.4789581258843876E-2</v>
      </c>
    </row>
    <row r="69" spans="1:35" ht="20.149999999999999" customHeight="1" x14ac:dyDescent="0.2">
      <c r="W69" s="117"/>
      <c r="X69" s="142"/>
      <c r="Y69" s="143"/>
      <c r="Z69" s="144"/>
      <c r="AA69" s="144" t="s">
        <v>275</v>
      </c>
      <c r="AB69" s="144"/>
      <c r="AC69" s="157"/>
      <c r="AD69" s="146">
        <f>×20年度!M19</f>
        <v>3394</v>
      </c>
      <c r="AE69" s="144"/>
      <c r="AF69" s="143"/>
      <c r="AG69" s="158" t="s">
        <v>275</v>
      </c>
      <c r="AH69" s="147" t="s">
        <v>275</v>
      </c>
      <c r="AI69" s="159" t="s">
        <v>275</v>
      </c>
    </row>
    <row r="70" spans="1:35" ht="20.149999999999999" customHeight="1" x14ac:dyDescent="0.2">
      <c r="D70" s="1" t="e">
        <f>×20年度!C67*×20年度!D64</f>
        <v>#VALUE!</v>
      </c>
      <c r="E70" s="1" t="e">
        <f>×20年度!D67*×20年度!E64</f>
        <v>#VALUE!</v>
      </c>
      <c r="F70" s="1" t="e">
        <f>×20年度!E67*×20年度!F64</f>
        <v>#VALUE!</v>
      </c>
      <c r="G70" s="1" t="e">
        <f>×20年度!F67*×20年度!G64</f>
        <v>#VALUE!</v>
      </c>
      <c r="H70" s="162" t="e">
        <f>IF(+×20年度!G67*×20年度!H64&gt;0,ROUNDDOWN(+×20年度!G67*×20年度!H64,-2),ROUNDUP(+×20年度!G67*×20年度!H64,-2))</f>
        <v>#VALUE!</v>
      </c>
      <c r="W70" s="117"/>
      <c r="X70" s="134" t="s">
        <v>51</v>
      </c>
      <c r="Y70" s="150">
        <f>×20年度!C19</f>
        <v>42927</v>
      </c>
      <c r="Z70" s="151">
        <f>×20年度!H19</f>
        <v>76230</v>
      </c>
      <c r="AA70" s="151">
        <f>×20年度!Z70-×20年度!AB70-×20年度!AC70</f>
        <v>45146</v>
      </c>
      <c r="AB70" s="151">
        <f>×20年度!K19</f>
        <v>26239</v>
      </c>
      <c r="AC70" s="152">
        <f>×20年度!AD69+×20年度!AD70</f>
        <v>4845</v>
      </c>
      <c r="AD70" s="153">
        <f>×20年度!N19</f>
        <v>1451</v>
      </c>
      <c r="AE70" s="151">
        <f>×20年度!R19</f>
        <v>126231</v>
      </c>
      <c r="AF70" s="150">
        <f>×20年度!S19</f>
        <v>313963</v>
      </c>
      <c r="AG70" s="154">
        <f>×20年度!Y70/+×20年度!AE70</f>
        <v>0.34006701998716637</v>
      </c>
      <c r="AH70" s="155">
        <f>×20年度!Z70/+×20年度!AF70</f>
        <v>0.24279931074680774</v>
      </c>
      <c r="AI70" s="156">
        <f>×20年度!AC70/+×20年度!Z70</f>
        <v>6.355765446674537E-2</v>
      </c>
    </row>
    <row r="71" spans="1:35" ht="20.149999999999999" customHeight="1" x14ac:dyDescent="0.2"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×20年度!AD47+×20年度!AD49+×20年度!AD51+×20年度!AD53+×20年度!AD55+×20年度!AD57+×20年度!AD59+×20年度!AD61+×20年度!AD63+×20年度!AD65+×20年度!AD67+×20年度!AD69</f>
        <v>42811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</row>
    <row r="72" spans="1:35" ht="20.149999999999999" customHeight="1" x14ac:dyDescent="0.2">
      <c r="W72" s="117"/>
      <c r="X72" s="134" t="s">
        <v>52</v>
      </c>
      <c r="Y72" s="150">
        <f>SUM(×20年度!Y48:Y70)</f>
        <v>518353</v>
      </c>
      <c r="Z72" s="151">
        <f>SUM(×20年度!Z48:Z70)</f>
        <v>923950</v>
      </c>
      <c r="AA72" s="151">
        <f>SUM(×20年度!AA48:AA70)</f>
        <v>550234</v>
      </c>
      <c r="AB72" s="151">
        <f>SUM(×20年度!AB48:AB70)</f>
        <v>312026</v>
      </c>
      <c r="AC72" s="152">
        <f>SUM(×20年度!AC48:AC70)</f>
        <v>61690</v>
      </c>
      <c r="AD72" s="153">
        <f>×20年度!AD48+×20年度!AD50+×20年度!AD52+×20年度!AD54+×20年度!AD56+×20年度!AD58+×20年度!AD60+×20年度!AD62+×20年度!AD64+×20年度!AD66+×20年度!AD68+×20年度!AD70</f>
        <v>18879</v>
      </c>
      <c r="AE72" s="150">
        <f>SUM(×20年度!AE48:AE70)</f>
        <v>1511917</v>
      </c>
      <c r="AF72" s="151">
        <f>SUM(×20年度!AF48:AF70)</f>
        <v>3776139</v>
      </c>
      <c r="AG72" s="154">
        <f>×20年度!Y72/+×20年度!AE72</f>
        <v>0.34284487838948829</v>
      </c>
      <c r="AH72" s="155">
        <f>×20年度!Z72/+×20年度!AF72</f>
        <v>0.24468114123976897</v>
      </c>
      <c r="AI72" s="156">
        <f>×20年度!AC72/+×20年度!Z72</f>
        <v>6.6767682233887113E-2</v>
      </c>
    </row>
    <row r="73" spans="1:35" ht="20.149999999999999" customHeight="1" x14ac:dyDescent="0.2">
      <c r="W73" s="117"/>
      <c r="X73" s="142" t="s">
        <v>69</v>
      </c>
      <c r="Y73" s="143" t="s">
        <v>69</v>
      </c>
      <c r="Z73" s="144" t="s">
        <v>69</v>
      </c>
      <c r="AA73" s="144" t="e">
        <f>×20年度!AA74+×20年度!AB74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</row>
    <row r="74" spans="1:35" ht="20.149999999999999" customHeight="1" x14ac:dyDescent="0.2"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×20年度!Y74/+×20年度!AE74</f>
        <v>#VALUE!</v>
      </c>
      <c r="AH74" s="170" t="e">
        <f>×20年度!Z74/+×20年度!AF74</f>
        <v>#VALUE!</v>
      </c>
      <c r="AI74" s="171" t="e">
        <f>×20年度!AC74/+×20年度!Z74</f>
        <v>#VALUE!</v>
      </c>
    </row>
    <row r="75" spans="1:35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×20年度!M2+×20年度!AD47+×20年度!AD49+×20年度!AD51+×20年度!AD53+×20年度!AD55+×20年度!AD57+×20年度!AD59+×20年度!AD61+×20年度!AD63</f>
        <v>82002</v>
      </c>
      <c r="AE75" s="174"/>
      <c r="AF75" s="173"/>
      <c r="AG75" s="177"/>
      <c r="AH75" s="178"/>
      <c r="AI75" s="179"/>
    </row>
    <row r="76" spans="1:35" ht="20.149999999999999" customHeight="1" x14ac:dyDescent="0.2">
      <c r="A76" s="1" t="s">
        <v>1339</v>
      </c>
      <c r="B76" s="1">
        <v>2</v>
      </c>
      <c r="C76" s="1">
        <f>×20年度!C75+×20年度!C77</f>
        <v>478663</v>
      </c>
      <c r="D76" s="1">
        <f>×20年度!D75+×20年度!D77</f>
        <v>497118</v>
      </c>
      <c r="E76" s="1">
        <f>×20年度!E75+×20年度!E77</f>
        <v>515553</v>
      </c>
      <c r="F76" s="1">
        <f>×20年度!F75+×20年度!F77</f>
        <v>534452</v>
      </c>
      <c r="G76" s="1">
        <f>×20年度!G75+×20年度!G77</f>
        <v>555972</v>
      </c>
      <c r="H76" s="1">
        <f>×20年度!H75+×20年度!H77</f>
        <v>482638</v>
      </c>
      <c r="W76" s="180" t="s">
        <v>593</v>
      </c>
      <c r="X76" s="134" t="s">
        <v>52</v>
      </c>
      <c r="Y76" s="181">
        <f>×20年度!C2+SUM(×20年度!Y48:Y64)</f>
        <v>554304</v>
      </c>
      <c r="Z76" s="182">
        <f>×20年度!H2+SUM(×20年度!Z48:Z64)</f>
        <v>996274</v>
      </c>
      <c r="AA76" s="182">
        <f>×20年度!J2+SUM(×20年度!AA48:AA64)</f>
        <v>575188</v>
      </c>
      <c r="AB76" s="182">
        <f>×20年度!K2+SUM(×20年度!AB48:AB64)</f>
        <v>301039</v>
      </c>
      <c r="AC76" s="183">
        <f>×20年度!L2+SUM(×20年度!AC48:AC64)</f>
        <v>120047</v>
      </c>
      <c r="AD76" s="184">
        <f>×20年度!N2+×20年度!AD48+×20年度!AD50+×20年度!AD52+×20年度!AD54+×20年度!AD56+×20年度!AD58+×20年度!AD60+×20年度!AD62+×20年度!AD64</f>
        <v>38045</v>
      </c>
      <c r="AE76" s="181">
        <f>×20年度!R2+SUM(×20年度!AE48:AE64)</f>
        <v>1506366</v>
      </c>
      <c r="AF76" s="182">
        <f>×20年度!S2+SUM(×20年度!AF48:AF64)</f>
        <v>3773616</v>
      </c>
      <c r="AG76" s="185">
        <f>×20年度!Y76/+×20年度!AE76</f>
        <v>0.36797431699865768</v>
      </c>
      <c r="AH76" s="186">
        <f>×20年度!Z76/+×20年度!AF76</f>
        <v>0.26401043455401929</v>
      </c>
      <c r="AI76" s="187">
        <f>×20年度!AC76/+×20年度!Z76</f>
        <v>0.12049596797668112</v>
      </c>
    </row>
    <row r="77" spans="1:35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×20年度!H27</f>
        <v>387910</v>
      </c>
      <c r="W77" s="188" t="s">
        <v>1343</v>
      </c>
      <c r="X77" s="142" t="s">
        <v>69</v>
      </c>
      <c r="Y77" s="189"/>
      <c r="Z77" s="190"/>
      <c r="AA77" s="190" t="e">
        <f>×20年度!AA78+×20年度!AB78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</row>
    <row r="78" spans="1:35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×20年度!H20</f>
        <v>923950</v>
      </c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×20年度!Y78/+×20年度!AE78</f>
        <v>#VALUE!</v>
      </c>
      <c r="AH78" s="202" t="e">
        <f>×20年度!Z78/+×20年度!AF78</f>
        <v>#VALUE!</v>
      </c>
      <c r="AI78" s="203" t="e">
        <f>×20年度!AC78/+×20年度!Z78</f>
        <v>#VALUE!</v>
      </c>
    </row>
    <row r="79" spans="1:35" ht="20.149999999999999" customHeight="1" x14ac:dyDescent="0.2"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×20年度!H21</f>
        <v>#VALUE!</v>
      </c>
    </row>
    <row r="80" spans="1:35" ht="20.149999999999999" customHeight="1" x14ac:dyDescent="0.2">
      <c r="A80" s="1" t="s">
        <v>1347</v>
      </c>
      <c r="C80" s="204">
        <f>ROUND(+×20年度!C78/×20年度!C76,8)</f>
        <v>2.02529337</v>
      </c>
      <c r="D80" s="204">
        <f>ROUND(+×20年度!D78/×20年度!D76,8)</f>
        <v>2.0240164300000001</v>
      </c>
      <c r="E80" s="204">
        <f>ROUND(+×20年度!E78/×20年度!E76,8)</f>
        <v>2.02072144</v>
      </c>
      <c r="F80" s="204">
        <f>ROUND(+×20年度!F78/×20年度!F76,8)</f>
        <v>2.0253886200000002</v>
      </c>
      <c r="G80" s="204">
        <f>ROUND(+×20年度!G78/×20年度!G76,8)</f>
        <v>2.02343283</v>
      </c>
    </row>
    <row r="81" spans="1:8" ht="20.149999999999999" customHeight="1" x14ac:dyDescent="0.2">
      <c r="A81" s="1" t="s">
        <v>1348</v>
      </c>
      <c r="C81" s="204">
        <f>ROUND(+×20年度!C78/×20年度!C77,8)</f>
        <v>2.4246736000000002</v>
      </c>
      <c r="D81" s="204">
        <f>ROUND(+×20年度!D78/×20年度!D77,8)</f>
        <v>2.4232626499999999</v>
      </c>
      <c r="E81" s="204">
        <f>ROUND(+×20年度!E78/×20年度!E77,8)</f>
        <v>2.4196870499999998</v>
      </c>
      <c r="F81" s="204">
        <f>ROUND(+×20年度!F78/×20年度!F77,8)</f>
        <v>2.4238196300000001</v>
      </c>
      <c r="G81" s="204">
        <f>ROUND(+×20年度!G78/×20年度!G77,8)</f>
        <v>2.42133062</v>
      </c>
    </row>
    <row r="82" spans="1:8" ht="20.149999999999999" customHeight="1" x14ac:dyDescent="0.2">
      <c r="A82" s="1" t="s">
        <v>1349</v>
      </c>
      <c r="D82" s="204">
        <f>ROUND(+×20年度!D78/×20年度!C78,8)</f>
        <v>1.0379004999999999</v>
      </c>
      <c r="E82" s="204">
        <f>ROUND(+×20年度!E78/×20年度!D78,8)</f>
        <v>1.0353954299999999</v>
      </c>
      <c r="F82" s="204">
        <f>ROUND(+×20年度!F78/×20年度!E78,8)</f>
        <v>1.03905205</v>
      </c>
      <c r="G82" s="204">
        <f>ROUND(+×20年度!G78/×20年度!F78,8)</f>
        <v>1.03926103</v>
      </c>
      <c r="H82" s="204" t="s">
        <v>275</v>
      </c>
    </row>
    <row r="83" spans="1:8" ht="20.149999999999999" customHeight="1" x14ac:dyDescent="0.2">
      <c r="A83" s="1" t="s">
        <v>1351</v>
      </c>
      <c r="E83" s="1">
        <f>(+×20年度!C81+×20年度!D81)/2*×20年度!E77/12</f>
        <v>86969.35035953125</v>
      </c>
      <c r="F83" s="1">
        <f>(+×20年度!D81+×20年度!E81)/2*×20年度!F77/12</f>
        <v>90118.818755025</v>
      </c>
      <c r="G83" s="1">
        <f>(+×20年度!E81+×20年度!F81)/2*×20年度!G77/12</f>
        <v>93764.033128671654</v>
      </c>
      <c r="H83" s="1">
        <f>(+×20年度!F81+×20年度!G81)/2*×20年度!H77/12</f>
        <v>78311.759728229154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1" t="e">
        <f>(+×20年度!D82+×20年度!E82)/2*×20年度!E79</f>
        <v>#VALUE!</v>
      </c>
      <c r="G86" s="1" t="e">
        <f>(+×20年度!E82+×20年度!F82)/2*×20年度!F79</f>
        <v>#VALUE!</v>
      </c>
      <c r="H86" s="1" t="e">
        <f>(+×20年度!F82+×20年度!G82)/2*×20年度!G79</f>
        <v>#VALUE!</v>
      </c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8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4" width="8" style="205" customWidth="1"/>
    <col min="15" max="15" width="10.58203125" style="205" customWidth="1"/>
    <col min="16" max="16" width="11.25" style="205" customWidth="1"/>
    <col min="17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205">
        <f>SUM(平成4年度!C17:C19)</f>
        <v>103631</v>
      </c>
      <c r="D2" s="205">
        <f>SUM(平成4年度!D17:D19)</f>
        <v>89273</v>
      </c>
      <c r="E2" s="205">
        <f>SUM(平成4年度!E17:E19)</f>
        <v>85133</v>
      </c>
      <c r="F2" s="205">
        <f>SUM(平成4年度!F17:F19)</f>
        <v>4140</v>
      </c>
      <c r="G2" s="205" t="e">
        <f>SUM(+平成4年度!G17:G19)</f>
        <v>#VALUE!</v>
      </c>
      <c r="H2" s="205">
        <f>SUM(平成4年度!H17:H19)</f>
        <v>219936</v>
      </c>
      <c r="I2" s="205" t="e">
        <f>SUM(+平成4年度!I17:I19)</f>
        <v>#VALUE!</v>
      </c>
      <c r="J2" s="205" t="e">
        <f>SUM(+平成4年度!J17:J19)</f>
        <v>#VALUE!</v>
      </c>
      <c r="K2" s="205">
        <f>SUM(平成4年度!K17:K19)</f>
        <v>39843</v>
      </c>
      <c r="L2" s="205">
        <f>SUM(平成4年度!L17:L19)</f>
        <v>29108</v>
      </c>
      <c r="M2" s="205">
        <f>SUM(平成4年度!M17:M19)</f>
        <v>20993</v>
      </c>
      <c r="N2" s="205">
        <f>SUM(平成4年度!N17:N19)</f>
        <v>8115</v>
      </c>
      <c r="O2" s="205">
        <f>SUM(平成4年度!O17:O19)</f>
        <v>284720</v>
      </c>
      <c r="P2" s="205">
        <f>SUM(平成4年度!P17:P19)</f>
        <v>851289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70</v>
      </c>
      <c r="D3" s="3"/>
      <c r="E3" s="3" t="s">
        <v>71</v>
      </c>
      <c r="F3" s="3" t="s">
        <v>72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73</v>
      </c>
      <c r="C4" s="10" t="s">
        <v>74</v>
      </c>
      <c r="D4" s="11"/>
      <c r="E4" s="11"/>
      <c r="F4" s="11"/>
      <c r="G4" s="12"/>
      <c r="H4" s="10" t="s">
        <v>75</v>
      </c>
      <c r="I4" s="11"/>
      <c r="J4" s="11"/>
      <c r="K4" s="11"/>
      <c r="L4" s="11"/>
      <c r="M4" s="11"/>
      <c r="N4" s="11"/>
      <c r="O4" s="10" t="s">
        <v>76</v>
      </c>
      <c r="P4" s="11" t="s">
        <v>77</v>
      </c>
      <c r="Q4" s="12" t="s">
        <v>78</v>
      </c>
      <c r="R4" s="13" t="s">
        <v>79</v>
      </c>
      <c r="S4" s="14" t="s">
        <v>80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81</v>
      </c>
      <c r="D5" s="25" t="s">
        <v>82</v>
      </c>
      <c r="E5" s="26" t="s">
        <v>83</v>
      </c>
      <c r="F5" s="26" t="s">
        <v>84</v>
      </c>
      <c r="G5" s="27" t="s">
        <v>85</v>
      </c>
      <c r="H5" s="24" t="s">
        <v>86</v>
      </c>
      <c r="I5" s="25" t="s">
        <v>87</v>
      </c>
      <c r="J5" s="26" t="s">
        <v>88</v>
      </c>
      <c r="K5" s="26" t="s">
        <v>89</v>
      </c>
      <c r="L5" s="26" t="s">
        <v>90</v>
      </c>
      <c r="M5" s="26" t="s">
        <v>91</v>
      </c>
      <c r="N5" s="27" t="s">
        <v>92</v>
      </c>
      <c r="O5" s="24" t="s">
        <v>93</v>
      </c>
      <c r="P5" s="25" t="s">
        <v>94</v>
      </c>
      <c r="Q5" s="27" t="s">
        <v>95</v>
      </c>
      <c r="R5" s="24" t="s">
        <v>96</v>
      </c>
      <c r="S5" s="25" t="s">
        <v>97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98</v>
      </c>
      <c r="D6" s="14" t="s">
        <v>99</v>
      </c>
      <c r="E6" s="15" t="s">
        <v>100</v>
      </c>
      <c r="F6" s="15" t="s">
        <v>101</v>
      </c>
      <c r="G6" s="16" t="s">
        <v>102</v>
      </c>
      <c r="H6" s="38" t="s">
        <v>103</v>
      </c>
      <c r="I6" s="14" t="s">
        <v>104</v>
      </c>
      <c r="J6" s="15" t="s">
        <v>105</v>
      </c>
      <c r="K6" s="15" t="s">
        <v>106</v>
      </c>
      <c r="L6" s="15" t="s">
        <v>107</v>
      </c>
      <c r="M6" s="15" t="s">
        <v>108</v>
      </c>
      <c r="N6" s="16" t="s">
        <v>109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110</v>
      </c>
      <c r="C8" s="44">
        <f>平成5年度!D8+平成5年度!G8</f>
        <v>34700</v>
      </c>
      <c r="D8" s="45">
        <f>平成5年度!E8+平成5年度!F8</f>
        <v>29895</v>
      </c>
      <c r="E8" s="45">
        <v>28497</v>
      </c>
      <c r="F8" s="46">
        <v>1398</v>
      </c>
      <c r="G8" s="47">
        <v>4805</v>
      </c>
      <c r="H8" s="48">
        <f>平成5年度!I8+平成5年度!L8</f>
        <v>73361</v>
      </c>
      <c r="I8" s="45">
        <f>平成5年度!J8+平成5年度!K8</f>
        <v>63580</v>
      </c>
      <c r="J8" s="46">
        <v>50124</v>
      </c>
      <c r="K8" s="49">
        <v>13456</v>
      </c>
      <c r="L8" s="45">
        <f>平成5年度!M8+平成5年度!N8</f>
        <v>9781</v>
      </c>
      <c r="M8" s="46">
        <v>7063</v>
      </c>
      <c r="N8" s="47">
        <v>2718</v>
      </c>
      <c r="O8" s="44">
        <v>95363</v>
      </c>
      <c r="P8" s="45">
        <v>283977</v>
      </c>
      <c r="Q8" s="47">
        <f>平成5年度!C8/平成5年度!O8</f>
        <v>0.36387278084791796</v>
      </c>
      <c r="R8" s="44">
        <f>平成5年度!H8/平成5年度!P8</f>
        <v>0.25833430172161831</v>
      </c>
      <c r="S8" s="46">
        <f>平成5年度!L8/平成5年度!H8</f>
        <v>0.13332697209689071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111</v>
      </c>
      <c r="C9" s="44">
        <f>平成5年度!D9+平成5年度!G9</f>
        <v>34722</v>
      </c>
      <c r="D9" s="45">
        <f>平成5年度!E9+平成5年度!F9</f>
        <v>29918</v>
      </c>
      <c r="E9" s="45">
        <v>28522</v>
      </c>
      <c r="F9" s="46">
        <v>1396</v>
      </c>
      <c r="G9" s="47">
        <v>4804</v>
      </c>
      <c r="H9" s="48">
        <f>平成5年度!I9+平成5年度!L9</f>
        <v>73255</v>
      </c>
      <c r="I9" s="45">
        <f>平成5年度!J9+平成5年度!K9</f>
        <v>63486</v>
      </c>
      <c r="J9" s="46">
        <v>50022</v>
      </c>
      <c r="K9" s="49">
        <v>13464</v>
      </c>
      <c r="L9" s="45">
        <f>平成5年度!M9+平成5年度!N9</f>
        <v>9769</v>
      </c>
      <c r="M9" s="46">
        <v>7056</v>
      </c>
      <c r="N9" s="47">
        <v>2713</v>
      </c>
      <c r="O9" s="44">
        <v>95523</v>
      </c>
      <c r="P9" s="45">
        <v>284049</v>
      </c>
      <c r="Q9" s="47">
        <f>平成5年度!C9/平成5年度!O9</f>
        <v>0.36349360886906817</v>
      </c>
      <c r="R9" s="44">
        <f>平成5年度!H9/平成5年度!P9</f>
        <v>0.2578956447655158</v>
      </c>
      <c r="S9" s="46">
        <f>平成5年度!L9/平成5年度!H9</f>
        <v>0.13335608490887993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112</v>
      </c>
      <c r="C10" s="54">
        <f>平成5年度!D10+平成5年度!G10</f>
        <v>34764</v>
      </c>
      <c r="D10" s="55">
        <f>平成5年度!E10+平成5年度!F10</f>
        <v>29917</v>
      </c>
      <c r="E10" s="55">
        <v>28523</v>
      </c>
      <c r="F10" s="56">
        <v>1394</v>
      </c>
      <c r="G10" s="57">
        <v>4847</v>
      </c>
      <c r="H10" s="58">
        <f>平成5年度!I10+平成5年度!L10</f>
        <v>73142</v>
      </c>
      <c r="I10" s="55">
        <f>平成5年度!J10+平成5年度!K10</f>
        <v>63310</v>
      </c>
      <c r="J10" s="56">
        <v>49797</v>
      </c>
      <c r="K10" s="59">
        <v>13513</v>
      </c>
      <c r="L10" s="55">
        <f>平成5年度!M10+平成5年度!N10</f>
        <v>9832</v>
      </c>
      <c r="M10" s="56">
        <v>7106</v>
      </c>
      <c r="N10" s="57">
        <v>2726</v>
      </c>
      <c r="O10" s="54">
        <v>95678</v>
      </c>
      <c r="P10" s="55">
        <v>284238</v>
      </c>
      <c r="Q10" s="57">
        <f>平成5年度!C10/平成5年度!O10</f>
        <v>0.36334371537866594</v>
      </c>
      <c r="R10" s="54">
        <f>平成5年度!H10/平成5年度!P10</f>
        <v>0.25732660657617912</v>
      </c>
      <c r="S10" s="56">
        <f>平成5年度!L10/平成5年度!H10</f>
        <v>0.1344234502748079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113</v>
      </c>
      <c r="C11" s="54">
        <f>平成5年度!D11+平成5年度!G11</f>
        <v>34851</v>
      </c>
      <c r="D11" s="55">
        <f>平成5年度!E11+平成5年度!F11</f>
        <v>29975</v>
      </c>
      <c r="E11" s="55">
        <v>28578</v>
      </c>
      <c r="F11" s="56">
        <v>1397</v>
      </c>
      <c r="G11" s="57">
        <v>4876</v>
      </c>
      <c r="H11" s="58">
        <f>平成5年度!I11+平成5年度!L11</f>
        <v>73294</v>
      </c>
      <c r="I11" s="55">
        <f>平成5年度!J11+平成5年度!K11</f>
        <v>63400</v>
      </c>
      <c r="J11" s="56">
        <v>49844</v>
      </c>
      <c r="K11" s="59">
        <v>13556</v>
      </c>
      <c r="L11" s="55">
        <f>平成5年度!M11+平成5年度!N11</f>
        <v>9894</v>
      </c>
      <c r="M11" s="56">
        <v>7151</v>
      </c>
      <c r="N11" s="57">
        <v>2743</v>
      </c>
      <c r="O11" s="54">
        <v>95804</v>
      </c>
      <c r="P11" s="55">
        <v>284477</v>
      </c>
      <c r="Q11" s="57">
        <f>平成5年度!C11/平成5年度!O11</f>
        <v>0.36377395515844851</v>
      </c>
      <c r="R11" s="54">
        <f>平成5年度!H11/平成5年度!P11</f>
        <v>0.25764473050545389</v>
      </c>
      <c r="S11" s="56">
        <f>平成5年度!L11/平成5年度!H11</f>
        <v>0.13499058585968837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114</v>
      </c>
      <c r="C12" s="54">
        <f>平成5年度!D12+平成5年度!G12</f>
        <v>34876</v>
      </c>
      <c r="D12" s="55">
        <f>平成5年度!E12+平成5年度!F12</f>
        <v>30002</v>
      </c>
      <c r="E12" s="55">
        <v>28610</v>
      </c>
      <c r="F12" s="56">
        <v>1392</v>
      </c>
      <c r="G12" s="57">
        <v>4874</v>
      </c>
      <c r="H12" s="58">
        <f>平成5年度!I12+平成5年度!L12</f>
        <v>73330</v>
      </c>
      <c r="I12" s="55">
        <f>平成5年度!J12+平成5年度!K12</f>
        <v>63446</v>
      </c>
      <c r="J12" s="56">
        <v>49834</v>
      </c>
      <c r="K12" s="59">
        <v>13612</v>
      </c>
      <c r="L12" s="55">
        <f>平成5年度!M12+平成5年度!N12</f>
        <v>9884</v>
      </c>
      <c r="M12" s="56">
        <v>7144</v>
      </c>
      <c r="N12" s="57">
        <v>2740</v>
      </c>
      <c r="O12" s="54">
        <v>95942</v>
      </c>
      <c r="P12" s="55">
        <v>284747</v>
      </c>
      <c r="Q12" s="57">
        <f>平成5年度!C12/平成5年度!O12</f>
        <v>0.36351128806987554</v>
      </c>
      <c r="R12" s="54">
        <f>平成5年度!H12/平成5年度!P12</f>
        <v>0.25752685717496587</v>
      </c>
      <c r="S12" s="56">
        <f>平成5年度!L12/平成5年度!H12</f>
        <v>0.13478794490658666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115</v>
      </c>
      <c r="C13" s="44">
        <f>平成5年度!D13+平成5年度!G13</f>
        <v>34938</v>
      </c>
      <c r="D13" s="45">
        <f>平成5年度!E13+平成5年度!F13</f>
        <v>30079</v>
      </c>
      <c r="E13" s="45">
        <v>28693</v>
      </c>
      <c r="F13" s="46">
        <v>1386</v>
      </c>
      <c r="G13" s="47">
        <v>4859</v>
      </c>
      <c r="H13" s="58">
        <f>平成5年度!I13+平成5年度!L13</f>
        <v>73353</v>
      </c>
      <c r="I13" s="45">
        <f>平成5年度!J13+平成5年度!K13</f>
        <v>63496</v>
      </c>
      <c r="J13" s="46">
        <v>49799</v>
      </c>
      <c r="K13" s="49">
        <v>13697</v>
      </c>
      <c r="L13" s="45">
        <f>平成5年度!M13+平成5年度!N13</f>
        <v>9857</v>
      </c>
      <c r="M13" s="46">
        <v>7122</v>
      </c>
      <c r="N13" s="47">
        <v>2735</v>
      </c>
      <c r="O13" s="44">
        <v>96015</v>
      </c>
      <c r="P13" s="45">
        <v>284805</v>
      </c>
      <c r="Q13" s="47">
        <f>平成5年度!C13/平成5年度!O13</f>
        <v>0.36388064364942979</v>
      </c>
      <c r="R13" s="44">
        <f>平成5年度!H13/平成5年度!P13</f>
        <v>0.25755516932638123</v>
      </c>
      <c r="S13" s="46">
        <f>平成5年度!L13/平成5年度!H13</f>
        <v>0.13437759873488472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116</v>
      </c>
      <c r="C14" s="44">
        <f>平成5年度!D14+平成5年度!G14</f>
        <v>35009</v>
      </c>
      <c r="D14" s="45">
        <f>平成5年度!E14+平成5年度!F14</f>
        <v>30119</v>
      </c>
      <c r="E14" s="45">
        <v>28728</v>
      </c>
      <c r="F14" s="46">
        <v>1391</v>
      </c>
      <c r="G14" s="47">
        <v>4890</v>
      </c>
      <c r="H14" s="48">
        <f>平成5年度!I14+平成5年度!L14</f>
        <v>73375</v>
      </c>
      <c r="I14" s="45">
        <f>平成5年度!J14+平成5年度!K14</f>
        <v>63457</v>
      </c>
      <c r="J14" s="46">
        <v>49676</v>
      </c>
      <c r="K14" s="49">
        <v>13781</v>
      </c>
      <c r="L14" s="45">
        <f>平成5年度!M14+平成5年度!N14</f>
        <v>9918</v>
      </c>
      <c r="M14" s="46">
        <v>7165</v>
      </c>
      <c r="N14" s="47">
        <v>2753</v>
      </c>
      <c r="O14" s="44">
        <v>96147</v>
      </c>
      <c r="P14" s="45">
        <v>284956</v>
      </c>
      <c r="Q14" s="47">
        <f>平成5年度!C14/平成5年度!O14</f>
        <v>0.36411952531020209</v>
      </c>
      <c r="R14" s="44">
        <f>平成5年度!H14/平成5年度!P14</f>
        <v>0.25749589410294921</v>
      </c>
      <c r="S14" s="46">
        <f>平成5年度!L14/平成5年度!H14</f>
        <v>0.13516865417376492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117</v>
      </c>
      <c r="C15" s="54">
        <f>平成5年度!D15+平成5年度!G15</f>
        <v>35057</v>
      </c>
      <c r="D15" s="55">
        <f>平成5年度!E15+平成5年度!F15</f>
        <v>30119</v>
      </c>
      <c r="E15" s="55">
        <v>28722</v>
      </c>
      <c r="F15" s="56">
        <v>1397</v>
      </c>
      <c r="G15" s="57">
        <v>4938</v>
      </c>
      <c r="H15" s="58">
        <f>平成5年度!I15+平成5年度!L15</f>
        <v>73375</v>
      </c>
      <c r="I15" s="55">
        <f>平成5年度!J15+平成5年度!K15</f>
        <v>63373</v>
      </c>
      <c r="J15" s="56">
        <v>49539</v>
      </c>
      <c r="K15" s="59">
        <v>13834</v>
      </c>
      <c r="L15" s="55">
        <f>平成5年度!M15+平成5年度!N15</f>
        <v>10002</v>
      </c>
      <c r="M15" s="56">
        <v>7230</v>
      </c>
      <c r="N15" s="57">
        <v>2772</v>
      </c>
      <c r="O15" s="54">
        <v>96277</v>
      </c>
      <c r="P15" s="55">
        <v>285134</v>
      </c>
      <c r="Q15" s="57">
        <f>平成5年度!C15/平成5年度!O15</f>
        <v>0.36412642687246177</v>
      </c>
      <c r="R15" s="54">
        <f>平成5年度!H15/平成5年度!P15</f>
        <v>0.25733514768494814</v>
      </c>
      <c r="S15" s="56">
        <f>平成5年度!L15/平成5年度!H15</f>
        <v>0.13631345826235094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118</v>
      </c>
      <c r="C16" s="44">
        <f>平成5年度!D16+平成5年度!G16</f>
        <v>35127</v>
      </c>
      <c r="D16" s="45">
        <f>平成5年度!E16+平成5年度!F16</f>
        <v>30171</v>
      </c>
      <c r="E16" s="45">
        <v>28769</v>
      </c>
      <c r="F16" s="46">
        <v>1402</v>
      </c>
      <c r="G16" s="47">
        <v>4956</v>
      </c>
      <c r="H16" s="48">
        <f>平成5年度!I16+平成5年度!L16</f>
        <v>73521</v>
      </c>
      <c r="I16" s="45">
        <f>平成5年度!J16+平成5年度!K16</f>
        <v>63472</v>
      </c>
      <c r="J16" s="46">
        <v>49600</v>
      </c>
      <c r="K16" s="49">
        <v>13872</v>
      </c>
      <c r="L16" s="45">
        <f>平成5年度!M16+平成5年度!N16</f>
        <v>10049</v>
      </c>
      <c r="M16" s="46">
        <v>7265</v>
      </c>
      <c r="N16" s="47">
        <v>2784</v>
      </c>
      <c r="O16" s="44">
        <v>96368</v>
      </c>
      <c r="P16" s="45">
        <v>285338</v>
      </c>
      <c r="Q16" s="47">
        <f>平成5年度!C16/平成5年度!O16</f>
        <v>0.36450896563174495</v>
      </c>
      <c r="R16" s="44">
        <f>平成5年度!H16/平成5年度!P16</f>
        <v>0.2576628419628651</v>
      </c>
      <c r="S16" s="46">
        <f>平成5年度!L16/平成5年度!H16</f>
        <v>0.13668203642496701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119</v>
      </c>
      <c r="C17" s="44">
        <f>平成5年度!D17+平成5年度!G17</f>
        <v>35207</v>
      </c>
      <c r="D17" s="45">
        <f>平成5年度!E17+平成5年度!F17</f>
        <v>30256</v>
      </c>
      <c r="E17" s="45">
        <v>28865</v>
      </c>
      <c r="F17" s="46">
        <v>1391</v>
      </c>
      <c r="G17" s="47">
        <v>4951</v>
      </c>
      <c r="H17" s="58">
        <f>平成5年度!I17+平成5年度!L17</f>
        <v>73698</v>
      </c>
      <c r="I17" s="45">
        <f>平成5年度!J17+平成5年度!K17</f>
        <v>63662</v>
      </c>
      <c r="J17" s="46">
        <v>49732</v>
      </c>
      <c r="K17" s="49">
        <v>13930</v>
      </c>
      <c r="L17" s="45">
        <f>平成5年度!M17+平成5年度!N17</f>
        <v>10036</v>
      </c>
      <c r="M17" s="46">
        <v>7250</v>
      </c>
      <c r="N17" s="47">
        <v>2786</v>
      </c>
      <c r="O17" s="44">
        <v>96404</v>
      </c>
      <c r="P17" s="45">
        <v>285411</v>
      </c>
      <c r="Q17" s="47">
        <f>平成5年度!C17/平成5年度!O17</f>
        <v>0.36520268868511679</v>
      </c>
      <c r="R17" s="44">
        <f>平成5年度!H17/平成5年度!P17</f>
        <v>0.25821709744894206</v>
      </c>
      <c r="S17" s="46">
        <f>平成5年度!L17/平成5年度!H17</f>
        <v>0.1361773725202855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120</v>
      </c>
      <c r="C18" s="54">
        <f>平成5年度!D18+平成5年度!G18</f>
        <v>35212</v>
      </c>
      <c r="D18" s="55">
        <f>平成5年度!E18+平成5年度!F18</f>
        <v>30297</v>
      </c>
      <c r="E18" s="55">
        <v>28896</v>
      </c>
      <c r="F18" s="56">
        <v>1401</v>
      </c>
      <c r="G18" s="57">
        <v>4915</v>
      </c>
      <c r="H18" s="58">
        <f>平成5年度!I18+平成5年度!L18</f>
        <v>73680</v>
      </c>
      <c r="I18" s="55">
        <f>平成5年度!J18+平成5年度!K18</f>
        <v>63692</v>
      </c>
      <c r="J18" s="56">
        <v>49658</v>
      </c>
      <c r="K18" s="59">
        <v>14034</v>
      </c>
      <c r="L18" s="55">
        <f>平成5年度!M18+平成5年度!N18</f>
        <v>9988</v>
      </c>
      <c r="M18" s="56">
        <v>7214</v>
      </c>
      <c r="N18" s="57">
        <v>2774</v>
      </c>
      <c r="O18" s="54">
        <v>96472</v>
      </c>
      <c r="P18" s="55">
        <v>285582</v>
      </c>
      <c r="Q18" s="57">
        <f>平成5年度!C18/平成5年度!O18</f>
        <v>0.36499709760344973</v>
      </c>
      <c r="R18" s="54">
        <f>平成5年度!H18/平成5年度!P18</f>
        <v>0.25799945374708488</v>
      </c>
      <c r="S18" s="56">
        <f>平成5年度!L18/平成5年度!H18</f>
        <v>0.13555917480998914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121</v>
      </c>
      <c r="C19" s="54">
        <f>平成5年度!D19+平成5年度!G19</f>
        <v>35276</v>
      </c>
      <c r="D19" s="55">
        <f>平成5年度!E19+平成5年度!F19</f>
        <v>30371</v>
      </c>
      <c r="E19" s="55">
        <v>28957</v>
      </c>
      <c r="F19" s="56">
        <v>1414</v>
      </c>
      <c r="G19" s="57">
        <v>4905</v>
      </c>
      <c r="H19" s="58">
        <f>平成5年度!I19+平成5年度!L19</f>
        <v>73674</v>
      </c>
      <c r="I19" s="55">
        <f>平成5年度!J19+平成5年度!K19</f>
        <v>63696</v>
      </c>
      <c r="J19" s="56">
        <v>49653</v>
      </c>
      <c r="K19" s="59">
        <v>14043</v>
      </c>
      <c r="L19" s="55">
        <f>平成5年度!M19+平成5年度!N19</f>
        <v>9978</v>
      </c>
      <c r="M19" s="56">
        <v>7214</v>
      </c>
      <c r="N19" s="57">
        <v>2764</v>
      </c>
      <c r="O19" s="54">
        <v>96552</v>
      </c>
      <c r="P19" s="55">
        <v>285325</v>
      </c>
      <c r="Q19" s="57">
        <f>平成5年度!C19/平成5年度!O19</f>
        <v>0.36535752754992129</v>
      </c>
      <c r="R19" s="54">
        <f>平成5年度!H19/平成5年度!P19</f>
        <v>0.25821081223166564</v>
      </c>
      <c r="S19" s="56">
        <f>平成5年度!L19/平成5年度!H19</f>
        <v>0.13543448163531233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122</v>
      </c>
      <c r="C20" s="48">
        <f>SUM(平成5年度!C8:C19)</f>
        <v>419739</v>
      </c>
      <c r="D20" s="45">
        <f>SUM(平成5年度!D8:D19)</f>
        <v>361119</v>
      </c>
      <c r="E20" s="79">
        <f>SUM(平成5年度!E8:E19)</f>
        <v>344360</v>
      </c>
      <c r="F20" s="79">
        <f>SUM(平成5年度!F8:F19)</f>
        <v>16759</v>
      </c>
      <c r="G20" s="80">
        <f>SUM(平成5年度!G8:G19)</f>
        <v>58620</v>
      </c>
      <c r="H20" s="48">
        <f>SUM(平成5年度!H8:H19)</f>
        <v>881058</v>
      </c>
      <c r="I20" s="45">
        <f>SUM(平成5年度!I8:I19)</f>
        <v>762070</v>
      </c>
      <c r="J20" s="79">
        <f>SUM(平成5年度!J8:J19)</f>
        <v>597278</v>
      </c>
      <c r="K20" s="79">
        <f>SUM(平成5年度!K8:K19)</f>
        <v>164792</v>
      </c>
      <c r="L20" s="79">
        <f>SUM(平成5年度!L8:L19)</f>
        <v>118988</v>
      </c>
      <c r="M20" s="79">
        <f>SUM(平成5年度!M8:M19)</f>
        <v>85980</v>
      </c>
      <c r="N20" s="80">
        <f>SUM(平成5年度!N8:N19)</f>
        <v>33008</v>
      </c>
      <c r="O20" s="48">
        <f>SUM(平成5年度!O8:O19)</f>
        <v>1152545</v>
      </c>
      <c r="P20" s="45">
        <f>SUM(平成5年度!P8:P19)</f>
        <v>3418039</v>
      </c>
      <c r="Q20" s="80">
        <f>平成5年度!C20/平成5年度!O20</f>
        <v>0.36418447869714415</v>
      </c>
      <c r="R20" s="48">
        <f>平成5年度!H20/平成5年度!P20</f>
        <v>0.25776709979025986</v>
      </c>
      <c r="S20" s="45">
        <f>平成5年度!L20/平成5年度!H20</f>
        <v>0.13505126790744765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123</v>
      </c>
      <c r="C21" s="48">
        <f>平成5年度!C20/12</f>
        <v>34978.25</v>
      </c>
      <c r="D21" s="45">
        <f>平成5年度!D20/12</f>
        <v>30093.25</v>
      </c>
      <c r="E21" s="79">
        <f>平成5年度!E20/12</f>
        <v>28696.666666666668</v>
      </c>
      <c r="F21" s="79">
        <f>平成5年度!F20/12</f>
        <v>1396.5833333333333</v>
      </c>
      <c r="G21" s="80">
        <f>平成5年度!G20/12</f>
        <v>4885</v>
      </c>
      <c r="H21" s="48">
        <f>平成5年度!H20/12</f>
        <v>73421.5</v>
      </c>
      <c r="I21" s="45">
        <f>平成5年度!I20/12</f>
        <v>63505.833333333336</v>
      </c>
      <c r="J21" s="79">
        <f>平成5年度!J20/12</f>
        <v>49773.166666666664</v>
      </c>
      <c r="K21" s="79">
        <f>平成5年度!K20/12</f>
        <v>13732.666666666666</v>
      </c>
      <c r="L21" s="79">
        <f>平成5年度!L20/12</f>
        <v>9915.6666666666661</v>
      </c>
      <c r="M21" s="79">
        <f>平成5年度!M20/12</f>
        <v>7165</v>
      </c>
      <c r="N21" s="80">
        <f>平成5年度!N20/12</f>
        <v>2750.6666666666665</v>
      </c>
      <c r="O21" s="48">
        <f>平成5年度!O20/12</f>
        <v>96045.416666666672</v>
      </c>
      <c r="P21" s="45">
        <f>平成5年度!P20/12</f>
        <v>284836.58333333331</v>
      </c>
      <c r="Q21" s="80">
        <f>平成5年度!C21/平成5年度!O21</f>
        <v>0.36418447869714415</v>
      </c>
      <c r="R21" s="48">
        <f>平成5年度!H21/平成5年度!P21</f>
        <v>0.25776709979025986</v>
      </c>
      <c r="S21" s="45">
        <f>平成5年度!L21/平成5年度!H21</f>
        <v>0.13505126790744762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124</v>
      </c>
      <c r="C23" s="48">
        <f>平成5年度!C8</f>
        <v>34700</v>
      </c>
      <c r="D23" s="45">
        <f>平成5年度!D8</f>
        <v>29895</v>
      </c>
      <c r="E23" s="79">
        <f>平成5年度!E8</f>
        <v>28497</v>
      </c>
      <c r="F23" s="79">
        <f>平成5年度!F8</f>
        <v>1398</v>
      </c>
      <c r="G23" s="80">
        <f>平成5年度!G8</f>
        <v>4805</v>
      </c>
      <c r="H23" s="48">
        <f>平成5年度!H8</f>
        <v>73361</v>
      </c>
      <c r="I23" s="45">
        <f>平成5年度!I8</f>
        <v>63580</v>
      </c>
      <c r="J23" s="79">
        <f>平成5年度!J8</f>
        <v>50124</v>
      </c>
      <c r="K23" s="79">
        <f>平成5年度!K8</f>
        <v>13456</v>
      </c>
      <c r="L23" s="79">
        <f>平成5年度!L8</f>
        <v>9781</v>
      </c>
      <c r="M23" s="79">
        <f>平成5年度!M8</f>
        <v>7063</v>
      </c>
      <c r="N23" s="80">
        <f>平成5年度!N8</f>
        <v>2718</v>
      </c>
      <c r="O23" s="48">
        <f>平成5年度!O8</f>
        <v>95363</v>
      </c>
      <c r="P23" s="45">
        <f>平成5年度!P8</f>
        <v>283977</v>
      </c>
      <c r="Q23" s="80">
        <f>平成5年度!C23/平成5年度!O23</f>
        <v>0.36387278084791796</v>
      </c>
      <c r="R23" s="48">
        <f>平成5年度!H23/平成5年度!P23</f>
        <v>0.25833430172161831</v>
      </c>
      <c r="S23" s="45">
        <f>平成5年度!L23/平成5年度!H23</f>
        <v>0.13332697209689071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125</v>
      </c>
      <c r="C24" s="58">
        <f>SUM(平成5年度!C8:C9)</f>
        <v>69422</v>
      </c>
      <c r="D24" s="55">
        <f>SUM(平成5年度!D8:D9)</f>
        <v>59813</v>
      </c>
      <c r="E24" s="89">
        <f>SUM(平成5年度!E8:E9)</f>
        <v>57019</v>
      </c>
      <c r="F24" s="89">
        <f>SUM(平成5年度!F8:F9)</f>
        <v>2794</v>
      </c>
      <c r="G24" s="90">
        <f>SUM(平成5年度!G8:G9)</f>
        <v>9609</v>
      </c>
      <c r="H24" s="58">
        <f>SUM(平成5年度!H8:H9)</f>
        <v>146616</v>
      </c>
      <c r="I24" s="55">
        <f>SUM(平成5年度!I8:I9)</f>
        <v>127066</v>
      </c>
      <c r="J24" s="89">
        <f>SUM(平成5年度!J8:J9)</f>
        <v>100146</v>
      </c>
      <c r="K24" s="89">
        <f>SUM(平成5年度!K8:K9)</f>
        <v>26920</v>
      </c>
      <c r="L24" s="89">
        <f>SUM(平成5年度!L8:L9)</f>
        <v>19550</v>
      </c>
      <c r="M24" s="89">
        <f>SUM(平成5年度!M8:M9)</f>
        <v>14119</v>
      </c>
      <c r="N24" s="90">
        <f>SUM(平成5年度!N8:N9)</f>
        <v>5431</v>
      </c>
      <c r="O24" s="58">
        <f>SUM(平成5年度!O8:O9)</f>
        <v>190886</v>
      </c>
      <c r="P24" s="55">
        <f>SUM(平成5年度!P8:P9)</f>
        <v>568026</v>
      </c>
      <c r="Q24" s="90">
        <f>平成5年度!C24/平成5年度!O24</f>
        <v>0.36368303594815754</v>
      </c>
      <c r="R24" s="58">
        <f>平成5年度!H24/平成5年度!P24</f>
        <v>0.25811494544263819</v>
      </c>
      <c r="S24" s="55">
        <f>平成5年度!L24/平成5年度!H24</f>
        <v>0.13334151797893817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126</v>
      </c>
      <c r="C25" s="58">
        <f>SUM(平成5年度!C8:C10)</f>
        <v>104186</v>
      </c>
      <c r="D25" s="55">
        <f>SUM(平成5年度!D8:D10)</f>
        <v>89730</v>
      </c>
      <c r="E25" s="89">
        <f>SUM(平成5年度!E8:E10)</f>
        <v>85542</v>
      </c>
      <c r="F25" s="89">
        <f>SUM(平成5年度!F8:F10)</f>
        <v>4188</v>
      </c>
      <c r="G25" s="90">
        <f>SUM(平成5年度!G8:G10)</f>
        <v>14456</v>
      </c>
      <c r="H25" s="58">
        <f>SUM(平成5年度!H8:H10)</f>
        <v>219758</v>
      </c>
      <c r="I25" s="55">
        <f>SUM(平成5年度!I8:I10)</f>
        <v>190376</v>
      </c>
      <c r="J25" s="89">
        <f>SUM(平成5年度!J8:J10)</f>
        <v>149943</v>
      </c>
      <c r="K25" s="89">
        <f>SUM(平成5年度!K8:K10)</f>
        <v>40433</v>
      </c>
      <c r="L25" s="89">
        <f>SUM(平成5年度!L8:L10)</f>
        <v>29382</v>
      </c>
      <c r="M25" s="89">
        <f>SUM(平成5年度!M8:M10)</f>
        <v>21225</v>
      </c>
      <c r="N25" s="90">
        <f>SUM(平成5年度!N8:N10)</f>
        <v>8157</v>
      </c>
      <c r="O25" s="58">
        <f>SUM(平成5年度!O8:O10)</f>
        <v>286564</v>
      </c>
      <c r="P25" s="55">
        <f>SUM(平成5年度!P8:P10)</f>
        <v>852264</v>
      </c>
      <c r="Q25" s="90">
        <f>平成5年度!C25/平成5年度!O25</f>
        <v>0.36356974358258537</v>
      </c>
      <c r="R25" s="58">
        <f>平成5年度!H25/平成5年度!P25</f>
        <v>0.25785202707142385</v>
      </c>
      <c r="S25" s="55">
        <f>平成5年度!L25/平成5年度!H25</f>
        <v>0.1337016172335023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127</v>
      </c>
      <c r="C26" s="58">
        <f>SUM(平成5年度!C8:C11)</f>
        <v>139037</v>
      </c>
      <c r="D26" s="55">
        <f>SUM(平成5年度!D8:D11)</f>
        <v>119705</v>
      </c>
      <c r="E26" s="89">
        <f>SUM(平成5年度!E8:E11)</f>
        <v>114120</v>
      </c>
      <c r="F26" s="89">
        <f>SUM(平成5年度!F8:F11)</f>
        <v>5585</v>
      </c>
      <c r="G26" s="90">
        <f>SUM(平成5年度!G8:G11)</f>
        <v>19332</v>
      </c>
      <c r="H26" s="58">
        <f>SUM(平成5年度!H8:H11)</f>
        <v>293052</v>
      </c>
      <c r="I26" s="55">
        <f>SUM(平成5年度!I8:I11)</f>
        <v>253776</v>
      </c>
      <c r="J26" s="89">
        <f>SUM(平成5年度!J8:J11)</f>
        <v>199787</v>
      </c>
      <c r="K26" s="89">
        <f>SUM(平成5年度!K8:K11)</f>
        <v>53989</v>
      </c>
      <c r="L26" s="89">
        <f>SUM(平成5年度!L8:L11)</f>
        <v>39276</v>
      </c>
      <c r="M26" s="89">
        <f>SUM(平成5年度!M8:M11)</f>
        <v>28376</v>
      </c>
      <c r="N26" s="90">
        <f>SUM(平成5年度!N8:N11)</f>
        <v>10900</v>
      </c>
      <c r="O26" s="58">
        <f>SUM(平成5年度!O8:O11)</f>
        <v>382368</v>
      </c>
      <c r="P26" s="55">
        <f>SUM(平成5年度!P8:P11)</f>
        <v>1136741</v>
      </c>
      <c r="Q26" s="90">
        <f>平成5年度!C26/平成5年度!O26</f>
        <v>0.36362090969955646</v>
      </c>
      <c r="R26" s="58">
        <f>平成5年度!H26/平成5年度!P26</f>
        <v>0.2578001497262789</v>
      </c>
      <c r="S26" s="55">
        <f>平成5年度!L26/平成5年度!H26</f>
        <v>0.13402399574137014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128</v>
      </c>
      <c r="C27" s="58">
        <f>SUM(平成5年度!C8:C12)</f>
        <v>173913</v>
      </c>
      <c r="D27" s="55">
        <f>SUM(平成5年度!D8:D12)</f>
        <v>149707</v>
      </c>
      <c r="E27" s="89">
        <f>SUM(平成5年度!E8:E12)</f>
        <v>142730</v>
      </c>
      <c r="F27" s="89">
        <f>SUM(平成5年度!F8:F12)</f>
        <v>6977</v>
      </c>
      <c r="G27" s="90">
        <f>SUM(平成5年度!G8:G12)</f>
        <v>24206</v>
      </c>
      <c r="H27" s="58">
        <f>SUM(平成5年度!H8:H12)</f>
        <v>366382</v>
      </c>
      <c r="I27" s="55">
        <f>SUM(平成5年度!I8:I12)</f>
        <v>317222</v>
      </c>
      <c r="J27" s="89">
        <f>SUM(平成5年度!J8:J12)</f>
        <v>249621</v>
      </c>
      <c r="K27" s="89">
        <f>SUM(平成5年度!K8:K12)</f>
        <v>67601</v>
      </c>
      <c r="L27" s="89">
        <f>SUM(平成5年度!L8:L12)</f>
        <v>49160</v>
      </c>
      <c r="M27" s="89">
        <f>SUM(平成5年度!M8:M12)</f>
        <v>35520</v>
      </c>
      <c r="N27" s="90">
        <f>SUM(平成5年度!N8:N12)</f>
        <v>13640</v>
      </c>
      <c r="O27" s="58">
        <f>SUM(平成5年度!O8:O12)</f>
        <v>478310</v>
      </c>
      <c r="P27" s="55">
        <f>SUM(平成5年度!P8:P12)</f>
        <v>1421488</v>
      </c>
      <c r="Q27" s="90">
        <f>平成5年度!C27/平成5年度!O27</f>
        <v>0.3635989212017311</v>
      </c>
      <c r="R27" s="58">
        <f>平成5年度!H27/平成5年度!P27</f>
        <v>0.25774540481523589</v>
      </c>
      <c r="S27" s="55">
        <f>平成5年度!L27/平成5年度!H27</f>
        <v>0.13417689733665955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129</v>
      </c>
      <c r="C28" s="58">
        <f>SUM(平成5年度!C8:C13)</f>
        <v>208851</v>
      </c>
      <c r="D28" s="55">
        <f>SUM(平成5年度!D8:D13)</f>
        <v>179786</v>
      </c>
      <c r="E28" s="89">
        <f>SUM(平成5年度!E8:E13)</f>
        <v>171423</v>
      </c>
      <c r="F28" s="89">
        <f>SUM(平成5年度!F8:F13)</f>
        <v>8363</v>
      </c>
      <c r="G28" s="90">
        <f>SUM(平成5年度!G8:G13)</f>
        <v>29065</v>
      </c>
      <c r="H28" s="58">
        <f>SUM(平成5年度!H8:H13)</f>
        <v>439735</v>
      </c>
      <c r="I28" s="55">
        <f>SUM(平成5年度!I8:I13)</f>
        <v>380718</v>
      </c>
      <c r="J28" s="89">
        <f>SUM(平成5年度!J8:J13)</f>
        <v>299420</v>
      </c>
      <c r="K28" s="89">
        <f>SUM(平成5年度!K8:K13)</f>
        <v>81298</v>
      </c>
      <c r="L28" s="89">
        <f>SUM(平成5年度!L8:L13)</f>
        <v>59017</v>
      </c>
      <c r="M28" s="89">
        <f>SUM(平成5年度!M8:M13)</f>
        <v>42642</v>
      </c>
      <c r="N28" s="90">
        <f>SUM(平成5年度!N8:N13)</f>
        <v>16375</v>
      </c>
      <c r="O28" s="58">
        <f>SUM(平成5年度!O8:O13)</f>
        <v>574325</v>
      </c>
      <c r="P28" s="55">
        <f>SUM(平成5年度!P8:P13)</f>
        <v>1706293</v>
      </c>
      <c r="Q28" s="90">
        <f>平成5年度!C28/平成5年度!O28</f>
        <v>0.36364601923997736</v>
      </c>
      <c r="R28" s="58">
        <f>平成5年度!H28/平成5年度!P28</f>
        <v>0.25771365175851979</v>
      </c>
      <c r="S28" s="55">
        <f>平成5年度!L28/平成5年度!H28</f>
        <v>0.13421037670415137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130</v>
      </c>
      <c r="C29" s="58">
        <f>SUM(平成5年度!C8:C14)</f>
        <v>243860</v>
      </c>
      <c r="D29" s="55">
        <f>SUM(平成5年度!D8:D14)</f>
        <v>209905</v>
      </c>
      <c r="E29" s="89">
        <f>SUM(平成5年度!E8:E14)</f>
        <v>200151</v>
      </c>
      <c r="F29" s="89">
        <f>SUM(平成5年度!F8:F14)</f>
        <v>9754</v>
      </c>
      <c r="G29" s="90">
        <f>SUM(平成5年度!G8:G14)</f>
        <v>33955</v>
      </c>
      <c r="H29" s="58">
        <f>SUM(平成5年度!H8:H14)</f>
        <v>513110</v>
      </c>
      <c r="I29" s="55">
        <f>SUM(平成5年度!I8:I14)</f>
        <v>444175</v>
      </c>
      <c r="J29" s="89">
        <f>SUM(平成5年度!J8:J14)</f>
        <v>349096</v>
      </c>
      <c r="K29" s="89">
        <f>SUM(平成5年度!K8:K14)</f>
        <v>95079</v>
      </c>
      <c r="L29" s="89">
        <f>SUM(平成5年度!L8:L14)</f>
        <v>68935</v>
      </c>
      <c r="M29" s="89">
        <f>SUM(平成5年度!M8:M14)</f>
        <v>49807</v>
      </c>
      <c r="N29" s="90">
        <f>SUM(平成5年度!N8:N14)</f>
        <v>19128</v>
      </c>
      <c r="O29" s="58">
        <f>SUM(平成5年度!O8:O14)</f>
        <v>670472</v>
      </c>
      <c r="P29" s="55">
        <f>SUM(平成5年度!P8:P14)</f>
        <v>1991249</v>
      </c>
      <c r="Q29" s="90">
        <f>平成5年度!C29/平成5年度!O29</f>
        <v>0.36371392093927862</v>
      </c>
      <c r="R29" s="58">
        <f>平成5年度!H29/平成5年度!P29</f>
        <v>0.2576824897338304</v>
      </c>
      <c r="S29" s="55">
        <f>平成5年度!L29/平成5年度!H29</f>
        <v>0.13434741088655455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131</v>
      </c>
      <c r="C30" s="58">
        <f>SUM(平成5年度!C8:C15)</f>
        <v>278917</v>
      </c>
      <c r="D30" s="55">
        <f>SUM(平成5年度!D8:D15)</f>
        <v>240024</v>
      </c>
      <c r="E30" s="89">
        <f>SUM(平成5年度!E8:E15)</f>
        <v>228873</v>
      </c>
      <c r="F30" s="89">
        <f>SUM(平成5年度!F8:F15)</f>
        <v>11151</v>
      </c>
      <c r="G30" s="90">
        <f>SUM(平成5年度!G8:G15)</f>
        <v>38893</v>
      </c>
      <c r="H30" s="58">
        <f>SUM(平成5年度!H8:H15)</f>
        <v>586485</v>
      </c>
      <c r="I30" s="55">
        <f>SUM(平成5年度!I8:I15)</f>
        <v>507548</v>
      </c>
      <c r="J30" s="89">
        <f>SUM(平成5年度!J8:J15)</f>
        <v>398635</v>
      </c>
      <c r="K30" s="89">
        <f>SUM(平成5年度!K8:K15)</f>
        <v>108913</v>
      </c>
      <c r="L30" s="89">
        <f>SUM(平成5年度!L8:L15)</f>
        <v>78937</v>
      </c>
      <c r="M30" s="89">
        <f>SUM(平成5年度!M8:M15)</f>
        <v>57037</v>
      </c>
      <c r="N30" s="90">
        <f>SUM(平成5年度!N8:N15)</f>
        <v>21900</v>
      </c>
      <c r="O30" s="58">
        <f>SUM(平成5年度!O8:O15)</f>
        <v>766749</v>
      </c>
      <c r="P30" s="55">
        <f>SUM(平成5年度!P8:P15)</f>
        <v>2276383</v>
      </c>
      <c r="Q30" s="90">
        <f>平成5年度!C30/平成5年度!O30</f>
        <v>0.36376571733383417</v>
      </c>
      <c r="R30" s="58">
        <f>平成5年度!H30/平成5年度!P30</f>
        <v>0.25763898254379863</v>
      </c>
      <c r="S30" s="55">
        <f>平成5年度!L30/平成5年度!H30</f>
        <v>0.13459338260995593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132</v>
      </c>
      <c r="C31" s="58">
        <f>SUM(平成5年度!C8:C16)</f>
        <v>314044</v>
      </c>
      <c r="D31" s="55">
        <f>SUM(平成5年度!D8:D16)</f>
        <v>270195</v>
      </c>
      <c r="E31" s="89">
        <f>SUM(平成5年度!E8:E16)</f>
        <v>257642</v>
      </c>
      <c r="F31" s="89">
        <f>SUM(平成5年度!F8:F16)</f>
        <v>12553</v>
      </c>
      <c r="G31" s="90">
        <f>SUM(平成5年度!G8:G16)</f>
        <v>43849</v>
      </c>
      <c r="H31" s="58">
        <f>SUM(平成5年度!H8:H16)</f>
        <v>660006</v>
      </c>
      <c r="I31" s="55">
        <f>SUM(平成5年度!I8:I16)</f>
        <v>571020</v>
      </c>
      <c r="J31" s="89">
        <f>SUM(平成5年度!J8:J16)</f>
        <v>448235</v>
      </c>
      <c r="K31" s="89">
        <f>SUM(平成5年度!K8:K16)</f>
        <v>122785</v>
      </c>
      <c r="L31" s="89">
        <f>SUM(平成5年度!L8:L16)</f>
        <v>88986</v>
      </c>
      <c r="M31" s="89">
        <f>SUM(平成5年度!M8:M16)</f>
        <v>64302</v>
      </c>
      <c r="N31" s="90">
        <f>SUM(平成5年度!N8:N16)</f>
        <v>24684</v>
      </c>
      <c r="O31" s="58">
        <f>SUM(平成5年度!O8:O16)</f>
        <v>863117</v>
      </c>
      <c r="P31" s="55">
        <f>SUM(平成5年度!P8:P16)</f>
        <v>2561721</v>
      </c>
      <c r="Q31" s="90">
        <f>平成5年度!C31/平成5年度!O31</f>
        <v>0.3638487018561794</v>
      </c>
      <c r="R31" s="58">
        <f>平成5年度!H31/平成5年度!P31</f>
        <v>0.25764164013177077</v>
      </c>
      <c r="S31" s="55">
        <f>平成5年度!L31/平成5年度!H31</f>
        <v>0.13482604703593604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133</v>
      </c>
      <c r="C32" s="58">
        <f>SUM(平成5年度!C8:C17)</f>
        <v>349251</v>
      </c>
      <c r="D32" s="55">
        <f>SUM(平成5年度!D8:D17)</f>
        <v>300451</v>
      </c>
      <c r="E32" s="89">
        <f>SUM(平成5年度!E8:E17)</f>
        <v>286507</v>
      </c>
      <c r="F32" s="89">
        <f>SUM(平成5年度!F8:F17)</f>
        <v>13944</v>
      </c>
      <c r="G32" s="90">
        <f>SUM(平成5年度!G8:G17)</f>
        <v>48800</v>
      </c>
      <c r="H32" s="58">
        <f>SUM(平成5年度!H8:H17)</f>
        <v>733704</v>
      </c>
      <c r="I32" s="55">
        <f>SUM(平成5年度!I8:I17)</f>
        <v>634682</v>
      </c>
      <c r="J32" s="89">
        <f>SUM(平成5年度!J8:J17)</f>
        <v>497967</v>
      </c>
      <c r="K32" s="89">
        <f>SUM(平成5年度!K8:K17)</f>
        <v>136715</v>
      </c>
      <c r="L32" s="89">
        <f>SUM(平成5年度!L8:L17)</f>
        <v>99022</v>
      </c>
      <c r="M32" s="89">
        <f>SUM(平成5年度!M8:M17)</f>
        <v>71552</v>
      </c>
      <c r="N32" s="90">
        <f>SUM(平成5年度!N8:N17)</f>
        <v>27470</v>
      </c>
      <c r="O32" s="58">
        <f>SUM(平成5年度!O8:O17)</f>
        <v>959521</v>
      </c>
      <c r="P32" s="55">
        <f>SUM(平成5年度!P8:P17)</f>
        <v>2847132</v>
      </c>
      <c r="Q32" s="90">
        <f>平成5年度!C32/平成5年度!O32</f>
        <v>0.36398473821834021</v>
      </c>
      <c r="R32" s="58">
        <f>平成5年度!H32/平成5年度!P32</f>
        <v>0.2576993269015978</v>
      </c>
      <c r="S32" s="55">
        <f>平成5年度!L32/平成5年度!H32</f>
        <v>0.13496178295334357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134</v>
      </c>
      <c r="C33" s="58">
        <f>SUM(平成5年度!C8:C18)</f>
        <v>384463</v>
      </c>
      <c r="D33" s="55">
        <f>SUM(平成5年度!D8:D18)</f>
        <v>330748</v>
      </c>
      <c r="E33" s="89">
        <f>SUM(平成5年度!E8:E18)</f>
        <v>315403</v>
      </c>
      <c r="F33" s="89">
        <f>SUM(平成5年度!F8:F18)</f>
        <v>15345</v>
      </c>
      <c r="G33" s="90">
        <f>SUM(平成5年度!G8:G18)</f>
        <v>53715</v>
      </c>
      <c r="H33" s="58">
        <f>SUM(平成5年度!H8:H18)</f>
        <v>807384</v>
      </c>
      <c r="I33" s="55">
        <f>SUM(平成5年度!I8:I18)</f>
        <v>698374</v>
      </c>
      <c r="J33" s="89">
        <f>SUM(平成5年度!J8:J18)</f>
        <v>547625</v>
      </c>
      <c r="K33" s="89">
        <f>SUM(平成5年度!K8:K18)</f>
        <v>150749</v>
      </c>
      <c r="L33" s="89">
        <f>SUM(平成5年度!L8:L18)</f>
        <v>109010</v>
      </c>
      <c r="M33" s="89">
        <f>SUM(平成5年度!M8:M18)</f>
        <v>78766</v>
      </c>
      <c r="N33" s="90">
        <f>SUM(平成5年度!N8:N18)</f>
        <v>30244</v>
      </c>
      <c r="O33" s="58">
        <f>SUM(平成5年度!O8:O18)</f>
        <v>1055993</v>
      </c>
      <c r="P33" s="55">
        <f>SUM(平成5年度!P8:P18)</f>
        <v>3132714</v>
      </c>
      <c r="Q33" s="90">
        <f>平成5年度!C33/平成5年度!O33</f>
        <v>0.36407722399674997</v>
      </c>
      <c r="R33" s="58">
        <f>平成5年度!H33/平成5年度!P33</f>
        <v>0.25772668682809857</v>
      </c>
      <c r="S33" s="55">
        <f>平成5年度!L33/平成5年度!H33</f>
        <v>0.13501629955510636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135</v>
      </c>
      <c r="C34" s="58">
        <f>SUM(平成5年度!C8:C19)</f>
        <v>419739</v>
      </c>
      <c r="D34" s="55">
        <f>SUM(平成5年度!D8:D19)</f>
        <v>361119</v>
      </c>
      <c r="E34" s="89">
        <f>SUM(平成5年度!E8:E19)</f>
        <v>344360</v>
      </c>
      <c r="F34" s="89">
        <f>SUM(平成5年度!F8:F19)</f>
        <v>16759</v>
      </c>
      <c r="G34" s="90">
        <f>SUM(平成5年度!G8:G19)</f>
        <v>58620</v>
      </c>
      <c r="H34" s="58">
        <f>SUM(平成5年度!H8:H19)</f>
        <v>881058</v>
      </c>
      <c r="I34" s="55">
        <f>SUM(平成5年度!I8:I19)</f>
        <v>762070</v>
      </c>
      <c r="J34" s="89">
        <f>SUM(平成5年度!J8:J19)</f>
        <v>597278</v>
      </c>
      <c r="K34" s="89">
        <f>SUM(平成5年度!K8:K19)</f>
        <v>164792</v>
      </c>
      <c r="L34" s="89">
        <f>SUM(平成5年度!L8:L19)</f>
        <v>118988</v>
      </c>
      <c r="M34" s="89">
        <f>SUM(平成5年度!M8:M19)</f>
        <v>85980</v>
      </c>
      <c r="N34" s="90">
        <f>SUM(平成5年度!N8:N19)</f>
        <v>33008</v>
      </c>
      <c r="O34" s="58">
        <f>SUM(平成5年度!O8:O19)</f>
        <v>1152545</v>
      </c>
      <c r="P34" s="55">
        <f>SUM(平成5年度!P8:P19)</f>
        <v>3418039</v>
      </c>
      <c r="Q34" s="90">
        <f>平成5年度!C34/平成5年度!O34</f>
        <v>0.36418447869714415</v>
      </c>
      <c r="R34" s="58">
        <f>平成5年度!H34/平成5年度!P34</f>
        <v>0.25776709979025986</v>
      </c>
      <c r="S34" s="55">
        <f>平成5年度!L34/平成5年度!H34</f>
        <v>0.13505126790744765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136</v>
      </c>
      <c r="C35" s="92">
        <f>平成4年度!C19+SUM(平成5年度!C8:C18)</f>
        <v>419000</v>
      </c>
      <c r="D35" s="93">
        <f>平成4年度!D19+SUM(平成5年度!D8:D18)</f>
        <v>360519</v>
      </c>
      <c r="E35" s="94">
        <f>平成4年度!E19+SUM(平成5年度!E8:E18)</f>
        <v>343800</v>
      </c>
      <c r="F35" s="94">
        <f>平成4年度!F19+SUM(平成5年度!F8:F18)</f>
        <v>16719</v>
      </c>
      <c r="G35" s="95">
        <f>平成4年度!G19+SUM(平成5年度!G8:G18)</f>
        <v>58481</v>
      </c>
      <c r="H35" s="92">
        <f>平成4年度!H19+SUM(平成5年度!H8:H18)</f>
        <v>880621</v>
      </c>
      <c r="I35" s="93">
        <f>平成4年度!I19+SUM(平成5年度!I8:I18)</f>
        <v>761952</v>
      </c>
      <c r="J35" s="94">
        <f>平成4年度!J19+SUM(平成5年度!J8:J18)</f>
        <v>597853</v>
      </c>
      <c r="K35" s="94">
        <f>平成4年度!K19+SUM(平成5年度!K8:K18)</f>
        <v>164099</v>
      </c>
      <c r="L35" s="94">
        <f>平成4年度!L19+SUM(平成5年度!L8:L18)</f>
        <v>118669</v>
      </c>
      <c r="M35" s="94">
        <f>平成4年度!M19+SUM(平成5年度!M8:M18)</f>
        <v>85741</v>
      </c>
      <c r="N35" s="95">
        <f>平成4年度!N19+SUM(平成5年度!N8:N18)</f>
        <v>32928</v>
      </c>
      <c r="O35" s="92">
        <f>平成4年度!O19+SUM(平成5年度!O8:O18)</f>
        <v>1150942</v>
      </c>
      <c r="P35" s="93">
        <f>平成4年度!P19+SUM(平成5年度!P8:P18)</f>
        <v>3416342</v>
      </c>
      <c r="Q35" s="95">
        <f>平成5年度!C35/平成5年度!O35</f>
        <v>0.36404962196183649</v>
      </c>
      <c r="R35" s="92">
        <f>平成5年度!H35/平成5年度!P35</f>
        <v>0.25776722588078127</v>
      </c>
      <c r="S35" s="93">
        <f>平成5年度!L35/平成5年度!H35</f>
        <v>0.13475604147527712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平成5年度!K35/12</f>
        <v>13674.916666666666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137</v>
      </c>
      <c r="C37" s="102">
        <f>平成5年度!C2+平成5年度!C31</f>
        <v>417675</v>
      </c>
      <c r="D37" s="103">
        <f>平成5年度!D2+平成5年度!D31</f>
        <v>359468</v>
      </c>
      <c r="E37" s="104">
        <f>平成5年度!E2+平成5年度!E31</f>
        <v>342775</v>
      </c>
      <c r="F37" s="104">
        <f>平成5年度!F2+平成5年度!F31</f>
        <v>16693</v>
      </c>
      <c r="G37" s="105" t="e">
        <f>平成5年度!G2+平成5年度!G31</f>
        <v>#VALUE!</v>
      </c>
      <c r="H37" s="102">
        <f>平成5年度!H2+平成5年度!H31</f>
        <v>879942</v>
      </c>
      <c r="I37" s="103" t="e">
        <f>平成5年度!I2+平成5年度!I31</f>
        <v>#VALUE!</v>
      </c>
      <c r="J37" s="104" t="e">
        <f>平成5年度!J2+平成5年度!J31</f>
        <v>#VALUE!</v>
      </c>
      <c r="K37" s="104">
        <f>平成5年度!K2+平成5年度!K31</f>
        <v>162628</v>
      </c>
      <c r="L37" s="104">
        <f>平成5年度!L2+平成5年度!L31</f>
        <v>118094</v>
      </c>
      <c r="M37" s="104">
        <f>平成5年度!M2+平成5年度!M31</f>
        <v>85295</v>
      </c>
      <c r="N37" s="106">
        <f>平成5年度!N2+平成5年度!N31</f>
        <v>32799</v>
      </c>
      <c r="O37" s="106">
        <f>平成5年度!O2+平成5年度!O31</f>
        <v>1147837</v>
      </c>
      <c r="P37" s="106">
        <f>平成5年度!P2+平成5年度!P31</f>
        <v>3413010</v>
      </c>
      <c r="Q37" s="106">
        <f>平成5年度!C37/平成5年度!O37</f>
        <v>0.36388006311000604</v>
      </c>
      <c r="R37" s="106">
        <f>平成5年度!H37/平成5年度!P37</f>
        <v>0.25781993020823263</v>
      </c>
      <c r="S37" s="103">
        <f>平成5年度!L37/平成5年度!H37</f>
        <v>0.13420657270592834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138</v>
      </c>
      <c r="C38" s="110">
        <f>IF(平成5年度!C15=0,平成5年度!C37/10,IF(平成5年度!C16=0,平成5年度!C37/11,IF(平成5年度!C16&gt;0,平成5年度!C37/12,"")))</f>
        <v>34806.25</v>
      </c>
      <c r="D38" s="111">
        <f>IF(平成5年度!D15=0,平成5年度!D37/10,IF(平成5年度!D16=0,平成5年度!D37/11,IF(平成5年度!D16&gt;0,平成5年度!D37/12,"")))</f>
        <v>29955.666666666668</v>
      </c>
      <c r="E38" s="112">
        <f>IF(平成5年度!E15=0,平成5年度!E37/10,IF(平成5年度!E16=0,平成5年度!E37/11,IF(平成5年度!E16&gt;0,平成5年度!E37/12,"")))</f>
        <v>28564.583333333332</v>
      </c>
      <c r="F38" s="112">
        <f>IF(平成5年度!F15=0,平成5年度!F37/10,IF(平成5年度!F16=0,平成5年度!F37/11,IF(平成5年度!F16&gt;0,平成5年度!F37/12,"")))</f>
        <v>1391.0833333333333</v>
      </c>
      <c r="G38" s="113" t="e">
        <f>IF(平成5年度!G15=0,平成5年度!G37/10,IF(平成5年度!G16=0,平成5年度!G37/11,IF(平成5年度!G16&gt;0,平成5年度!G37/12,"")))</f>
        <v>#VALUE!</v>
      </c>
      <c r="H38" s="110">
        <f>IF(平成5年度!H15=0,平成5年度!H37/10,IF(平成5年度!H16=0,平成5年度!H37/11,IF(平成5年度!H16&gt;0,平成5年度!H37/12,"")))</f>
        <v>73328.5</v>
      </c>
      <c r="I38" s="111" t="e">
        <f>IF(平成5年度!I15=0,平成5年度!I37/10,IF(平成5年度!I16=0,平成5年度!I37/11,IF(平成5年度!I16&gt;0,平成5年度!I37/12,"")))</f>
        <v>#VALUE!</v>
      </c>
      <c r="J38" s="112" t="e">
        <f>IF(平成5年度!J15=0,平成5年度!J37/10,IF(平成5年度!J16=0,平成5年度!J37/11,IF(平成5年度!J16&gt;0,平成5年度!J37/12,"")))</f>
        <v>#VALUE!</v>
      </c>
      <c r="K38" s="112">
        <f>IF(平成5年度!K15=0,平成5年度!K37/10,IF(平成5年度!K16=0,平成5年度!K37/11,IF(平成5年度!K16&gt;0,平成5年度!K37/12,"")))</f>
        <v>13552.333333333334</v>
      </c>
      <c r="L38" s="112">
        <f>IF(平成5年度!L15=0,平成5年度!L37/10,IF(平成5年度!L16=0,平成5年度!L37/11,IF(平成5年度!L16&gt;0,平成5年度!L37/12,"")))</f>
        <v>9841.1666666666661</v>
      </c>
      <c r="M38" s="112">
        <f>IF(平成5年度!M15=0,平成5年度!M37/10,IF(平成5年度!M16=0,平成5年度!M37/11,IF(平成5年度!M16&gt;0,平成5年度!M37/12,"")))</f>
        <v>7107.916666666667</v>
      </c>
      <c r="N38" s="114">
        <f>IF(平成5年度!N15=0,平成5年度!N37/10,IF(平成5年度!N16=0,平成5年度!N37/11,IF(平成5年度!N16&gt;0,平成5年度!N37/12,"")))</f>
        <v>2733.25</v>
      </c>
      <c r="O38" s="114">
        <f>IF(平成5年度!O15=0,平成5年度!O37/10,IF(平成5年度!O16=0,平成5年度!O37/11,IF(平成5年度!O16&gt;0,平成5年度!O37/12,"")))</f>
        <v>95653.083333333328</v>
      </c>
      <c r="P38" s="114">
        <f>IF(平成5年度!P15=0,平成5年度!P37/10,IF(平成5年度!P16=0,平成5年度!P37/11,IF(平成5年度!P16&gt;0,平成5年度!P37/12,"")))</f>
        <v>284417.5</v>
      </c>
      <c r="Q38" s="114">
        <f>平成5年度!C38/平成5年度!O38</f>
        <v>0.36388006311000604</v>
      </c>
      <c r="R38" s="114">
        <f>平成5年度!H38/平成5年度!P38</f>
        <v>0.25781993020823263</v>
      </c>
      <c r="S38" s="111">
        <f>平成5年度!L38/平成5年度!H38</f>
        <v>0.13420657270592834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/>
      <c r="C43" s="1"/>
      <c r="D43" s="1"/>
      <c r="E43" s="1"/>
      <c r="F43" s="120"/>
      <c r="G43" s="1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/>
      <c r="C44" s="121"/>
      <c r="D44" s="122"/>
      <c r="E44" s="122"/>
      <c r="F44" s="123"/>
      <c r="G44" s="1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24"/>
      <c r="Y44" s="1"/>
      <c r="Z44" s="125"/>
      <c r="AA44" s="117"/>
      <c r="AB44" s="117"/>
      <c r="AC44" s="117"/>
      <c r="AD44" s="117"/>
      <c r="AE44" s="117"/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/>
      <c r="C45" s="1"/>
      <c r="D45" s="1"/>
      <c r="E45" s="1"/>
      <c r="F45" s="126"/>
      <c r="G45" s="126"/>
      <c r="H45" s="126"/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/>
      <c r="W45" s="118"/>
      <c r="X45" s="127"/>
      <c r="Y45" s="128"/>
      <c r="Z45" s="129"/>
      <c r="AA45" s="129"/>
      <c r="AB45" s="129"/>
      <c r="AC45" s="129"/>
      <c r="AD45" s="130"/>
      <c r="AE45" s="130"/>
      <c r="AF45" s="130"/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/>
      <c r="C46" s="122"/>
      <c r="D46" s="122"/>
      <c r="E46" s="122"/>
      <c r="F46" s="122"/>
      <c r="G46" s="122"/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/>
      <c r="Z46" s="136"/>
      <c r="AA46" s="137"/>
      <c r="AB46" s="137"/>
      <c r="AC46" s="138"/>
      <c r="AD46" s="139"/>
      <c r="AE46" s="140"/>
      <c r="AF46" s="140"/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/>
      <c r="C47" s="121"/>
      <c r="D47" s="122"/>
      <c r="E47" s="122"/>
      <c r="F47" s="122"/>
      <c r="G47" s="1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/>
      <c r="U48" s="1"/>
      <c r="V48" s="1"/>
      <c r="W48" s="117"/>
      <c r="X48" s="134"/>
      <c r="Y48" s="150"/>
      <c r="Z48" s="151"/>
      <c r="AA48" s="151"/>
      <c r="AB48" s="151"/>
      <c r="AC48" s="152"/>
      <c r="AD48" s="153"/>
      <c r="AE48" s="151"/>
      <c r="AF48" s="150"/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/>
      <c r="Z49" s="144"/>
      <c r="AA49" s="144"/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/>
      <c r="Y50" s="150"/>
      <c r="Z50" s="151"/>
      <c r="AA50" s="151"/>
      <c r="AB50" s="151"/>
      <c r="AC50" s="152"/>
      <c r="AD50" s="153"/>
      <c r="AE50" s="151"/>
      <c r="AF50" s="150"/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42"/>
      <c r="Y51" s="143"/>
      <c r="Z51" s="144"/>
      <c r="AA51" s="144"/>
      <c r="AB51" s="144"/>
      <c r="AC51" s="145"/>
      <c r="AD51" s="146"/>
      <c r="AE51" s="144"/>
      <c r="AF51" s="144"/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/>
      <c r="V52" s="1"/>
      <c r="W52" s="117"/>
      <c r="X52" s="134"/>
      <c r="Y52" s="150"/>
      <c r="Z52" s="151"/>
      <c r="AA52" s="151"/>
      <c r="AB52" s="151"/>
      <c r="AC52" s="152"/>
      <c r="AD52" s="153"/>
      <c r="AE52" s="151"/>
      <c r="AF52" s="150"/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/>
      <c r="AB53" s="144"/>
      <c r="AC53" s="157"/>
      <c r="AD53" s="146"/>
      <c r="AE53" s="144"/>
      <c r="AF53" s="143"/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/>
      <c r="Y54" s="150"/>
      <c r="Z54" s="151"/>
      <c r="AA54" s="151"/>
      <c r="AB54" s="151"/>
      <c r="AC54" s="152"/>
      <c r="AD54" s="153"/>
      <c r="AE54" s="151"/>
      <c r="AF54" s="150"/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/>
      <c r="AB55" s="144"/>
      <c r="AC55" s="145"/>
      <c r="AD55" s="146"/>
      <c r="AE55" s="144"/>
      <c r="AF55" s="144"/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34"/>
      <c r="Y56" s="150"/>
      <c r="Z56" s="151"/>
      <c r="AA56" s="151"/>
      <c r="AB56" s="151"/>
      <c r="AC56" s="152"/>
      <c r="AD56" s="153"/>
      <c r="AE56" s="151"/>
      <c r="AF56" s="150"/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/>
      <c r="Y57" s="143"/>
      <c r="Z57" s="144"/>
      <c r="AA57" s="144"/>
      <c r="AB57" s="144"/>
      <c r="AC57" s="145"/>
      <c r="AD57" s="146"/>
      <c r="AE57" s="144"/>
      <c r="AF57" s="144"/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/>
      <c r="V58" s="1"/>
      <c r="W58" s="117"/>
      <c r="X58" s="134"/>
      <c r="Y58" s="150"/>
      <c r="Z58" s="151"/>
      <c r="AA58" s="151"/>
      <c r="AB58" s="151"/>
      <c r="AC58" s="152"/>
      <c r="AD58" s="153"/>
      <c r="AE58" s="151"/>
      <c r="AF58" s="150"/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1"/>
      <c r="U59" s="1"/>
      <c r="V59" s="1"/>
      <c r="W59" s="117"/>
      <c r="X59" s="142"/>
      <c r="Y59" s="143"/>
      <c r="Z59" s="144"/>
      <c r="AA59" s="144"/>
      <c r="AB59" s="144"/>
      <c r="AC59" s="145"/>
      <c r="AD59" s="146"/>
      <c r="AE59" s="144"/>
      <c r="AF59" s="144"/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34"/>
      <c r="Y60" s="150"/>
      <c r="Z60" s="151"/>
      <c r="AA60" s="151"/>
      <c r="AB60" s="151"/>
      <c r="AC60" s="152"/>
      <c r="AD60" s="153"/>
      <c r="AE60" s="151"/>
      <c r="AF60" s="150"/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/>
      <c r="Y61" s="143"/>
      <c r="Z61" s="144"/>
      <c r="AA61" s="144"/>
      <c r="AB61" s="144"/>
      <c r="AC61" s="145"/>
      <c r="AD61" s="146"/>
      <c r="AE61" s="144"/>
      <c r="AF61" s="144"/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34"/>
      <c r="Y62" s="150"/>
      <c r="Z62" s="151"/>
      <c r="AA62" s="151"/>
      <c r="AB62" s="151"/>
      <c r="AC62" s="152"/>
      <c r="AD62" s="153"/>
      <c r="AE62" s="151"/>
      <c r="AF62" s="150"/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/>
      <c r="W63" s="117"/>
      <c r="X63" s="142"/>
      <c r="Y63" s="143"/>
      <c r="Z63" s="144"/>
      <c r="AA63" s="144"/>
      <c r="AB63" s="144"/>
      <c r="AC63" s="157"/>
      <c r="AD63" s="146"/>
      <c r="AE63" s="144"/>
      <c r="AF63" s="143"/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/>
      <c r="Y64" s="150"/>
      <c r="Z64" s="151"/>
      <c r="AA64" s="151"/>
      <c r="AB64" s="151"/>
      <c r="AC64" s="152"/>
      <c r="AD64" s="153"/>
      <c r="AE64" s="151"/>
      <c r="AF64" s="150"/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/>
      <c r="Z65" s="144"/>
      <c r="AA65" s="144"/>
      <c r="AB65" s="144"/>
      <c r="AC65" s="157"/>
      <c r="AD65" s="146"/>
      <c r="AE65" s="144"/>
      <c r="AF65" s="143"/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/>
      <c r="Y66" s="150"/>
      <c r="Z66" s="151"/>
      <c r="AA66" s="151"/>
      <c r="AB66" s="151"/>
      <c r="AC66" s="152"/>
      <c r="AD66" s="153"/>
      <c r="AE66" s="151"/>
      <c r="AF66" s="150"/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/>
      <c r="Z67" s="144"/>
      <c r="AA67" s="144"/>
      <c r="AB67" s="144"/>
      <c r="AC67" s="157"/>
      <c r="AD67" s="146"/>
      <c r="AE67" s="144"/>
      <c r="AF67" s="143"/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/>
      <c r="Y68" s="150"/>
      <c r="Z68" s="151"/>
      <c r="AA68" s="151"/>
      <c r="AB68" s="151"/>
      <c r="AC68" s="152"/>
      <c r="AD68" s="153"/>
      <c r="AE68" s="151"/>
      <c r="AF68" s="150"/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/>
      <c r="AB69" s="144"/>
      <c r="AC69" s="157"/>
      <c r="AD69" s="146"/>
      <c r="AE69" s="144"/>
      <c r="AF69" s="143"/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/>
      <c r="Y70" s="150"/>
      <c r="Z70" s="151"/>
      <c r="AA70" s="151"/>
      <c r="AB70" s="151"/>
      <c r="AC70" s="152"/>
      <c r="AD70" s="153"/>
      <c r="AE70" s="151"/>
      <c r="AF70" s="150"/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/>
      <c r="Y71" s="143"/>
      <c r="Z71" s="144"/>
      <c r="AA71" s="144"/>
      <c r="AB71" s="144"/>
      <c r="AC71" s="157"/>
      <c r="AD71" s="146"/>
      <c r="AE71" s="144"/>
      <c r="AF71" s="143"/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/>
      <c r="Y72" s="150"/>
      <c r="Z72" s="151"/>
      <c r="AA72" s="151"/>
      <c r="AB72" s="151"/>
      <c r="AC72" s="152"/>
      <c r="AD72" s="153"/>
      <c r="AE72" s="150"/>
      <c r="AF72" s="151"/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/>
      <c r="Y73" s="143"/>
      <c r="Z73" s="144"/>
      <c r="AA73" s="144"/>
      <c r="AB73" s="144"/>
      <c r="AC73" s="157"/>
      <c r="AD73" s="146"/>
      <c r="AE73" s="144"/>
      <c r="AF73" s="143"/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/>
      <c r="Y74" s="165"/>
      <c r="Z74" s="166"/>
      <c r="AA74" s="166"/>
      <c r="AB74" s="166"/>
      <c r="AC74" s="167"/>
      <c r="AD74" s="168"/>
      <c r="AE74" s="165"/>
      <c r="AF74" s="166"/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/>
      <c r="X75" s="127"/>
      <c r="Y75" s="173"/>
      <c r="Z75" s="174"/>
      <c r="AA75" s="174"/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/>
      <c r="X76" s="134"/>
      <c r="Y76" s="181"/>
      <c r="Z76" s="182"/>
      <c r="AA76" s="182"/>
      <c r="AB76" s="182"/>
      <c r="AC76" s="183"/>
      <c r="AD76" s="184"/>
      <c r="AE76" s="181"/>
      <c r="AF76" s="182"/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/>
      <c r="X77" s="142"/>
      <c r="Y77" s="189"/>
      <c r="Z77" s="190"/>
      <c r="AA77" s="190"/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/>
      <c r="Y78" s="197"/>
      <c r="Z78" s="198"/>
      <c r="AA78" s="198"/>
      <c r="AB78" s="198"/>
      <c r="AC78" s="199"/>
      <c r="AD78" s="200"/>
      <c r="AE78" s="197"/>
      <c r="AF78" s="198"/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R86"/>
  <sheetViews>
    <sheetView zoomScale="75" zoomScaleNormal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/>
    </sheetView>
  </sheetViews>
  <sheetFormatPr defaultColWidth="10" defaultRowHeight="14" x14ac:dyDescent="0.2"/>
  <cols>
    <col min="1" max="1" width="10" style="1"/>
    <col min="2" max="2" width="9.75" style="1" customWidth="1"/>
    <col min="3" max="3" width="9.33203125" style="1" customWidth="1"/>
    <col min="4" max="4" width="9" style="1" customWidth="1"/>
    <col min="5" max="5" width="8.83203125" style="1" customWidth="1"/>
    <col min="6" max="6" width="9" style="1" customWidth="1"/>
    <col min="7" max="7" width="8.75" style="1" customWidth="1"/>
    <col min="8" max="8" width="11.08203125" style="1" customWidth="1"/>
    <col min="9" max="12" width="10" style="1"/>
    <col min="13" max="13" width="9.33203125" style="1" customWidth="1"/>
    <col min="14" max="14" width="9.25" style="1" customWidth="1"/>
    <col min="15" max="15" width="10.75" style="1" customWidth="1"/>
    <col min="16" max="16" width="9" style="1" customWidth="1"/>
    <col min="17" max="17" width="8.58203125" style="1" customWidth="1"/>
    <col min="18" max="18" width="11" style="1" customWidth="1"/>
    <col min="19" max="19" width="10.83203125" style="1" customWidth="1"/>
    <col min="20" max="20" width="10.58203125" style="1" customWidth="1"/>
    <col min="21" max="21" width="11.58203125" style="1" customWidth="1"/>
    <col min="22" max="22" width="10.58203125" style="1" customWidth="1"/>
    <col min="23" max="16384" width="10" style="1"/>
  </cols>
  <sheetData>
    <row r="1" spans="1:44" ht="20.149999999999999" customHeight="1" x14ac:dyDescent="0.2">
      <c r="B1" s="1" t="s">
        <v>2823</v>
      </c>
      <c r="AJ1" s="1" t="s">
        <v>1032</v>
      </c>
    </row>
    <row r="2" spans="1:44" ht="20.149999999999999" customHeight="1" x14ac:dyDescent="0.2">
      <c r="A2" s="2" t="s">
        <v>815</v>
      </c>
      <c r="C2" s="205">
        <f>SUM(平成19年度!C17:C19)</f>
        <v>164763</v>
      </c>
      <c r="D2" s="205">
        <f>SUM(平成19年度!D17:D19)</f>
        <v>130252</v>
      </c>
      <c r="E2" s="205">
        <f>SUM(平成19年度!E17:E19)</f>
        <v>120341</v>
      </c>
      <c r="F2" s="205">
        <f>SUM(平成19年度!F17:F19)</f>
        <v>9911</v>
      </c>
      <c r="G2" s="205">
        <f>SUM(平成19年度!G17:G19)</f>
        <v>34511</v>
      </c>
      <c r="H2" s="205">
        <f>SUM(平成19年度!H17:H19)</f>
        <v>301226</v>
      </c>
      <c r="I2" s="205">
        <f>SUM(平成19年度!I17:I19)</f>
        <v>228080</v>
      </c>
      <c r="J2" s="205">
        <f>SUM(平成19年度!J17:J19)</f>
        <v>160559</v>
      </c>
      <c r="K2" s="205">
        <f>SUM(平成19年度!K17:K19)</f>
        <v>67521</v>
      </c>
      <c r="L2" s="205">
        <f>SUM(平成19年度!L17:L19)</f>
        <v>73146</v>
      </c>
      <c r="M2" s="205">
        <f>SUM(平成19年度!M17:M19)</f>
        <v>49533</v>
      </c>
      <c r="N2" s="205">
        <f>SUM(平成19年度!N17:N19)</f>
        <v>23613</v>
      </c>
      <c r="O2" s="205">
        <f>SUM(平成19年度!O17:O19)</f>
        <v>82704</v>
      </c>
      <c r="P2" s="205">
        <f>SUM(平成19年度!P17:P19)</f>
        <v>61292</v>
      </c>
      <c r="Q2" s="205">
        <f>SUM(平成19年度!Q17:Q19)</f>
        <v>21412</v>
      </c>
      <c r="R2" s="205">
        <f>SUM(平成19年度!R17:R19)</f>
        <v>373305</v>
      </c>
      <c r="S2" s="205">
        <f>SUM(平成19年度!S17:S19)</f>
        <v>941200</v>
      </c>
    </row>
    <row r="3" spans="1:44" ht="20.149999999999999" customHeight="1" x14ac:dyDescent="0.2">
      <c r="A3" s="2" t="s">
        <v>816</v>
      </c>
      <c r="B3" s="3"/>
      <c r="C3" s="3" t="s">
        <v>2824</v>
      </c>
      <c r="D3" s="3"/>
      <c r="E3" s="3" t="s">
        <v>2832</v>
      </c>
      <c r="F3" s="3"/>
      <c r="H3" s="204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374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AJ4" s="17" t="s">
        <v>1055</v>
      </c>
      <c r="AK4" s="327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ROUND(+平成20年度!AK4/平成20年度!AM4,4)</f>
        <v>#VALUE!</v>
      </c>
      <c r="AP4" s="22" t="e">
        <f>ROUND(+平成20年度!AL4/平成20年度!AN4,4)</f>
        <v>#VALUE!</v>
      </c>
    </row>
    <row r="5" spans="1:44" ht="20.149999999999999" customHeight="1" x14ac:dyDescent="0.2">
      <c r="A5" s="2" t="s">
        <v>829</v>
      </c>
      <c r="B5" s="375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329" t="s">
        <v>2817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ROUND(+平成20年度!AK5/平成20年度!AM5,4)</f>
        <v>#VALUE!</v>
      </c>
      <c r="AP5" s="35" t="e">
        <f>ROUND(+平成20年度!AL5/平成20年度!AN5,4)</f>
        <v>#VALUE!</v>
      </c>
      <c r="AQ5" s="36" t="e">
        <f>ROUND((+平成20年度!AO5-平成20年度!AO4),4)</f>
        <v>#VALUE!</v>
      </c>
      <c r="AR5" s="36" t="e">
        <f>ROUND((+平成20年度!AP5-平成20年度!AP4),4)</f>
        <v>#VALUE!</v>
      </c>
    </row>
    <row r="6" spans="1:44" ht="20.149999999999999" customHeight="1" thickTop="1" x14ac:dyDescent="0.2">
      <c r="A6" s="2" t="s">
        <v>847</v>
      </c>
      <c r="B6" s="382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ROUND(+平成20年度!AK6/平成20年度!AM6,4)</f>
        <v>0.28620000000000001</v>
      </c>
      <c r="AP6" s="35">
        <f>ROUND(+平成20年度!AL6/平成20年度!AN6,4)</f>
        <v>0.40529999999999999</v>
      </c>
      <c r="AQ6" s="36" t="e">
        <f>ROUND((+平成20年度!AO6-平成20年度!AO5),4)</f>
        <v>#VALUE!</v>
      </c>
      <c r="AR6" s="36" t="e">
        <f>ROUND((+平成20年度!AP6-平成20年度!AP5),4)</f>
        <v>#VALUE!</v>
      </c>
    </row>
    <row r="7" spans="1:44" ht="20.149999999999999" customHeight="1" x14ac:dyDescent="0.2">
      <c r="A7" s="2"/>
      <c r="B7" s="376" t="s">
        <v>51</v>
      </c>
      <c r="C7" s="319">
        <f>平成19年度!C$19</f>
        <v>54859</v>
      </c>
      <c r="D7" s="45">
        <f>E7+F7</f>
        <v>43366</v>
      </c>
      <c r="E7" s="45">
        <f>C7-G7-F7</f>
        <v>40075</v>
      </c>
      <c r="F7" s="46">
        <f>平成19年度!F$19</f>
        <v>3291</v>
      </c>
      <c r="G7" s="47">
        <f>平成19年度!G$19</f>
        <v>11493</v>
      </c>
      <c r="H7" s="315">
        <f>I7+L7</f>
        <v>100160</v>
      </c>
      <c r="I7" s="45">
        <f>J7+K7</f>
        <v>75810</v>
      </c>
      <c r="J7" s="46">
        <f>平成19年度!J$19</f>
        <v>53409</v>
      </c>
      <c r="K7" s="49">
        <f>平成19年度!K$19</f>
        <v>22401</v>
      </c>
      <c r="L7" s="45">
        <f>M7+N7</f>
        <v>24350</v>
      </c>
      <c r="M7" s="46">
        <f>平成19年度!M$19</f>
        <v>16484</v>
      </c>
      <c r="N7" s="47">
        <f>平成19年度!N$19</f>
        <v>7866</v>
      </c>
      <c r="O7" s="319">
        <f>平成19年度!O$19</f>
        <v>27284</v>
      </c>
      <c r="P7" s="45">
        <f>O7-Q7</f>
        <v>20279</v>
      </c>
      <c r="Q7" s="47">
        <f>平成19年度!Q$19</f>
        <v>7005</v>
      </c>
      <c r="R7" s="44">
        <f>平成19年度!R$19</f>
        <v>124587</v>
      </c>
      <c r="S7" s="46">
        <f>平成19年度!S$19</f>
        <v>313495</v>
      </c>
      <c r="T7" s="50">
        <f>C7/R7</f>
        <v>0.4403268398789601</v>
      </c>
      <c r="U7" s="51">
        <f>H7/S7</f>
        <v>0.31949472878355317</v>
      </c>
      <c r="V7" s="52">
        <f>L7/H7</f>
        <v>0.24311102236421725</v>
      </c>
      <c r="AJ7" s="30" t="s">
        <v>1074</v>
      </c>
      <c r="AK7" s="31">
        <v>81903</v>
      </c>
      <c r="AL7" s="32">
        <v>41659</v>
      </c>
      <c r="AM7" s="33">
        <v>291953</v>
      </c>
      <c r="AN7" s="33">
        <v>104651</v>
      </c>
      <c r="AO7" s="34">
        <v>0.28050000000000003</v>
      </c>
      <c r="AP7" s="35">
        <v>0.39810000000000001</v>
      </c>
      <c r="AQ7" s="36">
        <v>9.9000000000000008E-3</v>
      </c>
      <c r="AR7" s="36">
        <v>1.26E-2</v>
      </c>
    </row>
    <row r="8" spans="1:44" ht="20.149999999999999" customHeight="1" x14ac:dyDescent="0.2">
      <c r="A8" s="2" t="s">
        <v>860</v>
      </c>
      <c r="B8" s="377" t="s">
        <v>40</v>
      </c>
      <c r="C8" s="319">
        <v>43490</v>
      </c>
      <c r="D8" s="45">
        <f>平成20年度!E8+平成20年度!F8</f>
        <v>41113</v>
      </c>
      <c r="E8" s="45">
        <f>平成20年度!C8-平成20年度!G8-平成20年度!F8</f>
        <v>40327</v>
      </c>
      <c r="F8" s="46">
        <v>786</v>
      </c>
      <c r="G8" s="47">
        <v>2377</v>
      </c>
      <c r="H8" s="315">
        <f t="shared" ref="H8:H19" si="0">I8+L8</f>
        <v>77940</v>
      </c>
      <c r="I8" s="45">
        <f>平成20年度!J8+平成20年度!K8</f>
        <v>72983</v>
      </c>
      <c r="J8" s="46">
        <f>77940-L8-K8</f>
        <v>47283</v>
      </c>
      <c r="K8" s="49">
        <v>25700</v>
      </c>
      <c r="L8" s="45">
        <f>平成20年度!M8+平成20年度!N8</f>
        <v>4957</v>
      </c>
      <c r="M8" s="864">
        <v>3261</v>
      </c>
      <c r="N8" s="859">
        <v>1696</v>
      </c>
      <c r="O8" s="319">
        <v>27622</v>
      </c>
      <c r="P8" s="45">
        <f t="shared" ref="P8:P19" si="1">O8-Q8</f>
        <v>22912</v>
      </c>
      <c r="Q8" s="47">
        <v>4710</v>
      </c>
      <c r="R8" s="328">
        <v>125257</v>
      </c>
      <c r="S8" s="331">
        <v>314181</v>
      </c>
      <c r="T8" s="51">
        <f>平成20年度!C8/平成20年度!R8</f>
        <v>0.34720614416759144</v>
      </c>
      <c r="U8" s="51">
        <f>平成20年度!H8/平成20年度!S8</f>
        <v>0.24807356269156952</v>
      </c>
      <c r="V8" s="52">
        <f>平成20年度!L8/平成20年度!H8</f>
        <v>6.3600205286117525E-2</v>
      </c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ROUND(+平成20年度!AK8/平成20年度!AM8,4)</f>
        <v>#VALUE!</v>
      </c>
      <c r="AP8" s="35">
        <f>ROUND(+平成20年度!AL8/平成20年度!AN8,4)</f>
        <v>1.6304000000000001</v>
      </c>
      <c r="AQ8" s="36" t="e">
        <f>ROUND((+平成20年度!AO8-平成20年度!AO6),4)</f>
        <v>#VALUE!</v>
      </c>
      <c r="AR8" s="36">
        <f>ROUND((+平成20年度!AP8-平成20年度!AP6),4)</f>
        <v>1.2251000000000001</v>
      </c>
    </row>
    <row r="9" spans="1:44" ht="20.149999999999999" customHeight="1" x14ac:dyDescent="0.2">
      <c r="A9" s="2" t="s">
        <v>862</v>
      </c>
      <c r="B9" s="377" t="s">
        <v>41</v>
      </c>
      <c r="C9" s="863">
        <v>43473</v>
      </c>
      <c r="D9" s="45">
        <f>平成20年度!E9+平成20年度!F9</f>
        <v>41134</v>
      </c>
      <c r="E9" s="45">
        <f>平成20年度!C9-平成20年度!G9-平成20年度!F9</f>
        <v>40364</v>
      </c>
      <c r="F9" s="46">
        <v>770</v>
      </c>
      <c r="G9" s="47">
        <v>2339</v>
      </c>
      <c r="H9" s="315">
        <f t="shared" si="0"/>
        <v>77751</v>
      </c>
      <c r="I9" s="45">
        <f>平成20年度!J9+平成20年度!K9</f>
        <v>72903</v>
      </c>
      <c r="J9" s="46">
        <f>77751-K9-L9</f>
        <v>47129</v>
      </c>
      <c r="K9" s="49">
        <v>25774</v>
      </c>
      <c r="L9" s="45">
        <f>平成20年度!M9+平成20年度!N9</f>
        <v>4848</v>
      </c>
      <c r="M9" s="864">
        <v>3198</v>
      </c>
      <c r="N9" s="859">
        <v>1650</v>
      </c>
      <c r="O9" s="319">
        <v>27563</v>
      </c>
      <c r="P9" s="45">
        <f t="shared" si="1"/>
        <v>22948</v>
      </c>
      <c r="Q9" s="47">
        <v>4615</v>
      </c>
      <c r="R9" s="54">
        <v>125489</v>
      </c>
      <c r="S9" s="332">
        <v>314391</v>
      </c>
      <c r="T9" s="51">
        <f>平成20年度!C9/平成20年度!R9</f>
        <v>0.34642877064922023</v>
      </c>
      <c r="U9" s="51">
        <f>平成20年度!H9/平成20年度!S9</f>
        <v>0.24730669771081235</v>
      </c>
      <c r="V9" s="52">
        <f>平成20年度!L9/平成20年度!H9</f>
        <v>6.2352895782690897E-2</v>
      </c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ROUND(+平成20年度!AK9/平成20年度!AM9,4)</f>
        <v>#VALUE!</v>
      </c>
      <c r="AP9" s="35">
        <f>ROUND(+平成20年度!AL9/平成20年度!AN9,4)</f>
        <v>1.6746000000000001</v>
      </c>
      <c r="AQ9" s="36" t="e">
        <f>ROUND((+平成20年度!AO9-平成20年度!AO8),4)</f>
        <v>#VALUE!</v>
      </c>
      <c r="AR9" s="36">
        <f>ROUND((+平成20年度!AP9-平成20年度!AP8),4)</f>
        <v>4.4200000000000003E-2</v>
      </c>
    </row>
    <row r="10" spans="1:44" ht="20.149999999999999" customHeight="1" thickBot="1" x14ac:dyDescent="0.25">
      <c r="A10" s="2" t="s">
        <v>864</v>
      </c>
      <c r="B10" s="378" t="s">
        <v>42</v>
      </c>
      <c r="C10" s="319">
        <v>43376</v>
      </c>
      <c r="D10" s="55">
        <f>平成20年度!E10+平成20年度!F10</f>
        <v>41062</v>
      </c>
      <c r="E10" s="55">
        <f>平成20年度!C10-平成20年度!G10-平成20年度!F10</f>
        <v>40293</v>
      </c>
      <c r="F10" s="46">
        <v>769</v>
      </c>
      <c r="G10" s="47">
        <v>2314</v>
      </c>
      <c r="H10" s="315">
        <f t="shared" si="0"/>
        <v>77543</v>
      </c>
      <c r="I10" s="55">
        <f>平成20年度!J10+平成20年度!K10</f>
        <v>72762</v>
      </c>
      <c r="J10" s="46">
        <f>77543-K10-L10</f>
        <v>46911</v>
      </c>
      <c r="K10" s="49">
        <v>25851</v>
      </c>
      <c r="L10" s="55">
        <f>平成20年度!M10+平成20年度!N10</f>
        <v>4781</v>
      </c>
      <c r="M10" s="864">
        <v>3164</v>
      </c>
      <c r="N10" s="859">
        <v>1617</v>
      </c>
      <c r="O10" s="319">
        <v>27467</v>
      </c>
      <c r="P10" s="55">
        <f t="shared" si="1"/>
        <v>22909</v>
      </c>
      <c r="Q10" s="47">
        <v>4558</v>
      </c>
      <c r="R10" s="44">
        <v>125639</v>
      </c>
      <c r="S10" s="46">
        <v>314539</v>
      </c>
      <c r="T10" s="60">
        <f>平成20年度!C10/平成20年度!R10</f>
        <v>0.34524311718495054</v>
      </c>
      <c r="U10" s="61">
        <f>平成20年度!H10/平成20年度!S10</f>
        <v>0.24652904727235733</v>
      </c>
      <c r="V10" s="62">
        <f>平成20年度!L10/平成20年度!H10</f>
        <v>6.165611338225243E-2</v>
      </c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ROUND(+平成20年度!AK10/平成20年度!AM10,4)</f>
        <v>#VALUE!</v>
      </c>
      <c r="AP10" s="68">
        <f>ROUND(+平成20年度!AL10/平成20年度!AN10,4)</f>
        <v>1.7114</v>
      </c>
      <c r="AQ10" s="36" t="e">
        <f>ROUND((+平成20年度!AO10-平成20年度!AO9),4)</f>
        <v>#VALUE!</v>
      </c>
      <c r="AR10" s="36">
        <f>ROUND((+平成20年度!AP10-平成20年度!AP9),4)</f>
        <v>3.6799999999999999E-2</v>
      </c>
    </row>
    <row r="11" spans="1:44" ht="20.149999999999999" customHeight="1" thickTop="1" thickBot="1" x14ac:dyDescent="0.25">
      <c r="A11" s="2" t="s">
        <v>866</v>
      </c>
      <c r="B11" s="378" t="s">
        <v>43</v>
      </c>
      <c r="C11" s="319">
        <v>43316</v>
      </c>
      <c r="D11" s="55">
        <f>平成20年度!E11+平成20年度!F11</f>
        <v>40975</v>
      </c>
      <c r="E11" s="55">
        <f>平成20年度!C11-平成20年度!G11-平成20年度!F11</f>
        <v>40205</v>
      </c>
      <c r="F11" s="46">
        <v>770</v>
      </c>
      <c r="G11" s="47">
        <v>2341</v>
      </c>
      <c r="H11" s="315">
        <f t="shared" si="0"/>
        <v>77339</v>
      </c>
      <c r="I11" s="55">
        <f>平成20年度!J11+平成20年度!K11</f>
        <v>72537</v>
      </c>
      <c r="J11" s="46">
        <f>77339-K11-L11</f>
        <v>46671</v>
      </c>
      <c r="K11" s="49">
        <v>25866</v>
      </c>
      <c r="L11" s="55">
        <f>平成20年度!M11+平成20年度!N11</f>
        <v>4802</v>
      </c>
      <c r="M11" s="864">
        <v>3187</v>
      </c>
      <c r="N11" s="859">
        <v>1615</v>
      </c>
      <c r="O11" s="319">
        <v>27385</v>
      </c>
      <c r="P11" s="55">
        <f t="shared" si="1"/>
        <v>22803</v>
      </c>
      <c r="Q11" s="47">
        <v>4582</v>
      </c>
      <c r="R11" s="44">
        <v>125861</v>
      </c>
      <c r="S11" s="46">
        <v>314740</v>
      </c>
      <c r="T11" s="60">
        <f>平成20年度!C11/平成20年度!R11</f>
        <v>0.34415744352897243</v>
      </c>
      <c r="U11" s="61">
        <f>平成20年度!H11/平成20年度!S11</f>
        <v>0.24572345427972295</v>
      </c>
      <c r="V11" s="62">
        <f>平成20年度!L11/平成20年度!H11</f>
        <v>6.209027786757005E-2</v>
      </c>
      <c r="AJ11" s="69" t="s">
        <v>907</v>
      </c>
      <c r="AK11" s="70" t="e">
        <f>平成20年度!H21</f>
        <v>#VALUE!</v>
      </c>
      <c r="AL11" s="71" t="e">
        <f>平成20年度!C21</f>
        <v>#VALUE!</v>
      </c>
      <c r="AM11" s="72" t="e">
        <f>平成20年度!S21</f>
        <v>#VALUE!</v>
      </c>
      <c r="AN11" s="72" t="e">
        <f>平成20年度!R21</f>
        <v>#VALUE!</v>
      </c>
      <c r="AO11" s="73" t="e">
        <f>ROUND(+平成20年度!AK11/平成20年度!AM11,4)</f>
        <v>#VALUE!</v>
      </c>
      <c r="AP11" s="74" t="e">
        <f>ROUND(+平成20年度!AL11/平成20年度!AN11,4)</f>
        <v>#VALUE!</v>
      </c>
      <c r="AQ11" s="36" t="e">
        <f>ROUND((+平成20年度!AO11-平成20年度!AO10),4)</f>
        <v>#VALUE!</v>
      </c>
      <c r="AR11" s="36" t="e">
        <f>ROUND((+平成20年度!AP11-平成20年度!AP10),4)</f>
        <v>#VALUE!</v>
      </c>
    </row>
    <row r="12" spans="1:44" ht="20.149999999999999" customHeight="1" thickTop="1" thickBot="1" x14ac:dyDescent="0.25">
      <c r="A12" s="2" t="s">
        <v>868</v>
      </c>
      <c r="B12" s="378" t="s">
        <v>44</v>
      </c>
      <c r="C12" s="319">
        <v>43339</v>
      </c>
      <c r="D12" s="55">
        <f>平成20年度!E12+平成20年度!F12</f>
        <v>41021</v>
      </c>
      <c r="E12" s="55">
        <f>平成20年度!C12-平成20年度!G12-平成20年度!F12</f>
        <v>40253</v>
      </c>
      <c r="F12" s="46">
        <v>768</v>
      </c>
      <c r="G12" s="47">
        <v>2318</v>
      </c>
      <c r="H12" s="315">
        <f t="shared" si="0"/>
        <v>77337</v>
      </c>
      <c r="I12" s="55">
        <f>平成20年度!J12+平成20年度!K12</f>
        <v>72604</v>
      </c>
      <c r="J12" s="46">
        <f>77337-K12-L12</f>
        <v>46609</v>
      </c>
      <c r="K12" s="49">
        <v>25995</v>
      </c>
      <c r="L12" s="55">
        <f>平成20年度!M12+平成20年度!N12</f>
        <v>4733</v>
      </c>
      <c r="M12" s="864">
        <v>3146</v>
      </c>
      <c r="N12" s="859">
        <v>1587</v>
      </c>
      <c r="O12" s="319">
        <v>27290</v>
      </c>
      <c r="P12" s="55">
        <f t="shared" si="1"/>
        <v>22771</v>
      </c>
      <c r="Q12" s="47">
        <v>4519</v>
      </c>
      <c r="R12" s="44">
        <v>125963</v>
      </c>
      <c r="S12" s="46">
        <v>314874</v>
      </c>
      <c r="T12" s="60">
        <f>平成20年度!C12/平成20年度!R12</f>
        <v>0.34406135134920574</v>
      </c>
      <c r="U12" s="61">
        <f>平成20年度!H12/平成20年度!S12</f>
        <v>0.24561253072657635</v>
      </c>
      <c r="V12" s="62">
        <f>平成20年度!L12/平成20年度!H12</f>
        <v>6.1199684497717781E-2</v>
      </c>
      <c r="AJ12" s="1" t="s">
        <v>1103</v>
      </c>
    </row>
    <row r="13" spans="1:44" ht="20.149999999999999" customHeight="1" thickTop="1" thickBot="1" x14ac:dyDescent="0.25">
      <c r="A13" s="75" t="s">
        <v>275</v>
      </c>
      <c r="B13" s="377" t="s">
        <v>45</v>
      </c>
      <c r="C13" s="319">
        <v>43235</v>
      </c>
      <c r="D13" s="45">
        <f>平成20年度!E13+平成20年度!F13</f>
        <v>40944</v>
      </c>
      <c r="E13" s="45">
        <f>平成20年度!C13-平成20年度!G13-平成20年度!F13</f>
        <v>40199</v>
      </c>
      <c r="F13" s="46">
        <v>745</v>
      </c>
      <c r="G13" s="47">
        <v>2291</v>
      </c>
      <c r="H13" s="315">
        <f t="shared" si="0"/>
        <v>77023</v>
      </c>
      <c r="I13" s="45">
        <f>平成20年度!J13+平成20年度!K13</f>
        <v>72364</v>
      </c>
      <c r="J13" s="46">
        <f>77023-K13-L13</f>
        <v>46305</v>
      </c>
      <c r="K13" s="49">
        <v>26059</v>
      </c>
      <c r="L13" s="45">
        <f>平成20年度!M13+平成20年度!N13</f>
        <v>4659</v>
      </c>
      <c r="M13" s="864">
        <v>3083</v>
      </c>
      <c r="N13" s="859">
        <v>1576</v>
      </c>
      <c r="O13" s="319">
        <v>27174</v>
      </c>
      <c r="P13" s="45">
        <f t="shared" si="1"/>
        <v>22722</v>
      </c>
      <c r="Q13" s="47">
        <v>4452</v>
      </c>
      <c r="R13" s="44">
        <v>126013</v>
      </c>
      <c r="S13" s="46">
        <v>314805</v>
      </c>
      <c r="T13" s="50">
        <f>平成20年度!C13/平成20年度!R13</f>
        <v>0.34309952147794276</v>
      </c>
      <c r="U13" s="51">
        <f>平成20年度!H13/平成20年度!S13</f>
        <v>0.24466892203109861</v>
      </c>
      <c r="V13" s="52">
        <f>平成20年度!L13/平成20年度!H13</f>
        <v>6.0488425535229734E-2</v>
      </c>
      <c r="AJ13" s="69" t="s">
        <v>1106</v>
      </c>
      <c r="AK13" s="76" t="e">
        <f>平成20年度!AK10/平成20年度!AK4</f>
        <v>#VALUE!</v>
      </c>
      <c r="AL13" s="77" t="e">
        <f>平成20年度!AL10/平成20年度!AL4</f>
        <v>#VALUE!</v>
      </c>
      <c r="AM13" s="77" t="e">
        <f>平成20年度!AM10/平成20年度!AM4</f>
        <v>#VALUE!</v>
      </c>
      <c r="AN13" s="77" t="e">
        <f>平成20年度!AN10/平成20年度!AN4</f>
        <v>#VALUE!</v>
      </c>
      <c r="AO13" s="78" t="e">
        <f>平成20年度!AO10/平成20年度!AO4</f>
        <v>#VALUE!</v>
      </c>
      <c r="AP13" s="74" t="e">
        <f>平成20年度!AP10/平成20年度!AP4</f>
        <v>#VALUE!</v>
      </c>
    </row>
    <row r="14" spans="1:44" ht="20.149999999999999" customHeight="1" thickTop="1" x14ac:dyDescent="0.2">
      <c r="A14" s="75" t="s">
        <v>275</v>
      </c>
      <c r="B14" s="377" t="s">
        <v>46</v>
      </c>
      <c r="C14" s="319">
        <v>43178</v>
      </c>
      <c r="D14" s="45">
        <f>平成20年度!E14+平成20年度!F14</f>
        <v>40914</v>
      </c>
      <c r="E14" s="45">
        <f>平成20年度!C14-平成20年度!G14-平成20年度!F14</f>
        <v>40172</v>
      </c>
      <c r="F14" s="46">
        <v>742</v>
      </c>
      <c r="G14" s="47">
        <v>2264</v>
      </c>
      <c r="H14" s="315">
        <f t="shared" si="0"/>
        <v>76886</v>
      </c>
      <c r="I14" s="45">
        <f>平成20年度!J14+平成20年度!K14</f>
        <v>72290</v>
      </c>
      <c r="J14" s="46">
        <f>76886-K14-L14</f>
        <v>46241</v>
      </c>
      <c r="K14" s="49">
        <v>26049</v>
      </c>
      <c r="L14" s="45">
        <f>平成20年度!M14+平成20年度!N14</f>
        <v>4596</v>
      </c>
      <c r="M14" s="864">
        <v>3041</v>
      </c>
      <c r="N14" s="859">
        <v>1555</v>
      </c>
      <c r="O14" s="319">
        <v>27117</v>
      </c>
      <c r="P14" s="45">
        <f t="shared" si="1"/>
        <v>22725</v>
      </c>
      <c r="Q14" s="859">
        <v>4392</v>
      </c>
      <c r="R14" s="44">
        <v>126147</v>
      </c>
      <c r="S14" s="46">
        <v>314859</v>
      </c>
      <c r="T14" s="50">
        <f>平成20年度!C14/平成20年度!R14</f>
        <v>0.34228320927172268</v>
      </c>
      <c r="U14" s="51">
        <f>平成20年度!H14/平成20年度!S14</f>
        <v>0.24419184460345741</v>
      </c>
      <c r="V14" s="52">
        <f>平成20年度!L14/平成20年度!H14</f>
        <v>5.977681242358817E-2</v>
      </c>
    </row>
    <row r="15" spans="1:44" ht="20.149999999999999" customHeight="1" x14ac:dyDescent="0.2">
      <c r="A15" s="75" t="s">
        <v>2820</v>
      </c>
      <c r="B15" s="378" t="s">
        <v>47</v>
      </c>
      <c r="C15" s="319">
        <v>43110</v>
      </c>
      <c r="D15" s="55">
        <f>平成20年度!E15+平成20年度!F15</f>
        <v>40914</v>
      </c>
      <c r="E15" s="55">
        <f>平成20年度!C15-平成20年度!G15-平成20年度!F15</f>
        <v>40195</v>
      </c>
      <c r="F15" s="46">
        <v>719</v>
      </c>
      <c r="G15" s="47">
        <v>2196</v>
      </c>
      <c r="H15" s="315">
        <f t="shared" si="0"/>
        <v>76696</v>
      </c>
      <c r="I15" s="55">
        <f>平成20年度!J15+平成20年度!K15</f>
        <v>72254</v>
      </c>
      <c r="J15" s="46">
        <f>76696-K15-L15</f>
        <v>46175</v>
      </c>
      <c r="K15" s="49">
        <v>26079</v>
      </c>
      <c r="L15" s="55">
        <f>平成20年度!M15+平成20年度!N15</f>
        <v>4442</v>
      </c>
      <c r="M15" s="864">
        <v>2941</v>
      </c>
      <c r="N15" s="859">
        <v>1501</v>
      </c>
      <c r="O15" s="319">
        <v>27004</v>
      </c>
      <c r="P15" s="55">
        <f t="shared" si="1"/>
        <v>22757</v>
      </c>
      <c r="Q15" s="47">
        <v>4247</v>
      </c>
      <c r="R15" s="328">
        <v>126314</v>
      </c>
      <c r="S15" s="331">
        <v>315014</v>
      </c>
      <c r="T15" s="330">
        <f>平成20年度!C15/平成20年度!R15</f>
        <v>0.34129233497474548</v>
      </c>
      <c r="U15" s="61">
        <f>平成20年度!H15/平成20年度!S15</f>
        <v>0.24346854425517597</v>
      </c>
      <c r="V15" s="62">
        <f>平成20年度!L15/平成20年度!H15</f>
        <v>5.7916970898091162E-2</v>
      </c>
      <c r="AJ15" s="1" t="s">
        <v>1111</v>
      </c>
    </row>
    <row r="16" spans="1:44" ht="20.149999999999999" customHeight="1" thickBot="1" x14ac:dyDescent="0.25">
      <c r="A16" s="1" t="s">
        <v>275</v>
      </c>
      <c r="B16" s="377" t="s">
        <v>48</v>
      </c>
      <c r="C16" s="319">
        <v>43024</v>
      </c>
      <c r="D16" s="45">
        <f>平成20年度!E16+平成20年度!F16</f>
        <v>40845</v>
      </c>
      <c r="E16" s="45">
        <f>平成20年度!C16-平成20年度!G16-平成20年度!F16</f>
        <v>40136</v>
      </c>
      <c r="F16" s="46">
        <v>709</v>
      </c>
      <c r="G16" s="47">
        <v>2179</v>
      </c>
      <c r="H16" s="315">
        <f t="shared" si="0"/>
        <v>76533</v>
      </c>
      <c r="I16" s="45">
        <f>平成20年度!J16+平成20年度!K16</f>
        <v>72152</v>
      </c>
      <c r="J16" s="46">
        <f>76533-K16-L16</f>
        <v>46007</v>
      </c>
      <c r="K16" s="49">
        <v>26145</v>
      </c>
      <c r="L16" s="45">
        <f>平成20年度!M16+平成20年度!N16</f>
        <v>4381</v>
      </c>
      <c r="M16" s="864">
        <v>2904</v>
      </c>
      <c r="N16" s="859">
        <v>1477</v>
      </c>
      <c r="O16" s="319">
        <v>26876</v>
      </c>
      <c r="P16" s="45">
        <f t="shared" si="1"/>
        <v>22688</v>
      </c>
      <c r="Q16" s="47">
        <v>4188</v>
      </c>
      <c r="R16" s="328">
        <v>126378</v>
      </c>
      <c r="S16" s="398">
        <v>315013</v>
      </c>
      <c r="T16" s="372">
        <f>平成20年度!C16/平成20年度!R16</f>
        <v>0.34043900045894065</v>
      </c>
      <c r="U16" s="51">
        <f>平成20年度!H16/平成20年度!S16</f>
        <v>0.24295187817645622</v>
      </c>
      <c r="V16" s="52">
        <f>平成20年度!L16/平成20年度!H16</f>
        <v>5.7243280676309564E-2</v>
      </c>
    </row>
    <row r="17" spans="2:44" ht="20.149999999999999" customHeight="1" thickTop="1" thickBot="1" x14ac:dyDescent="0.25">
      <c r="B17" s="377" t="s">
        <v>49</v>
      </c>
      <c r="C17" s="319">
        <v>42940</v>
      </c>
      <c r="D17" s="45">
        <f>平成20年度!E17+平成20年度!F17</f>
        <v>40739</v>
      </c>
      <c r="E17" s="45">
        <f>平成20年度!C17-平成20年度!G17-平成20年度!F17</f>
        <v>40021</v>
      </c>
      <c r="F17" s="46">
        <v>718</v>
      </c>
      <c r="G17" s="47">
        <v>2201</v>
      </c>
      <c r="H17" s="315">
        <f t="shared" si="0"/>
        <v>76348</v>
      </c>
      <c r="I17" s="45">
        <f>平成20年度!J17+平成20年度!K17</f>
        <v>71935</v>
      </c>
      <c r="J17" s="46">
        <f>76348-K17-L17</f>
        <v>45854</v>
      </c>
      <c r="K17" s="49">
        <v>26081</v>
      </c>
      <c r="L17" s="45">
        <f>平成20年度!M17+平成20年度!N17</f>
        <v>4413</v>
      </c>
      <c r="M17" s="864">
        <v>2928</v>
      </c>
      <c r="N17" s="859">
        <v>1485</v>
      </c>
      <c r="O17" s="319">
        <v>26701</v>
      </c>
      <c r="P17" s="45">
        <f t="shared" si="1"/>
        <v>22492</v>
      </c>
      <c r="Q17" s="47">
        <v>4209</v>
      </c>
      <c r="R17" s="395">
        <v>126371</v>
      </c>
      <c r="S17" s="400">
        <v>314996</v>
      </c>
      <c r="T17" s="50">
        <f>平成20年度!C17/平成20年度!R17</f>
        <v>0.33979314874456956</v>
      </c>
      <c r="U17" s="51">
        <f>平成20年度!H17/平成20年度!S17</f>
        <v>0.24237768098642523</v>
      </c>
      <c r="V17" s="52">
        <f>平成20年度!L17/平成20年度!H17</f>
        <v>5.7801121181956308E-2</v>
      </c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2:44" ht="20.149999999999999" customHeight="1" thickTop="1" x14ac:dyDescent="0.2">
      <c r="B18" s="378" t="s">
        <v>50</v>
      </c>
      <c r="C18" s="319">
        <v>42945</v>
      </c>
      <c r="D18" s="55">
        <f>平成20年度!E18+平成20年度!F18</f>
        <v>40737</v>
      </c>
      <c r="E18" s="55">
        <f>平成20年度!C18-平成20年度!G18-平成20年度!F18</f>
        <v>40033</v>
      </c>
      <c r="F18" s="46">
        <v>704</v>
      </c>
      <c r="G18" s="47">
        <v>2208</v>
      </c>
      <c r="H18" s="315">
        <f t="shared" si="0"/>
        <v>76324</v>
      </c>
      <c r="I18" s="55">
        <f>平成20年度!J18+平成20年度!K18</f>
        <v>71968</v>
      </c>
      <c r="J18" s="46">
        <f>76324-K18-L18</f>
        <v>45780</v>
      </c>
      <c r="K18" s="49">
        <v>26188</v>
      </c>
      <c r="L18" s="55">
        <f>平成20年度!M18+平成20年度!N18</f>
        <v>4356</v>
      </c>
      <c r="M18" s="864">
        <v>2891</v>
      </c>
      <c r="N18" s="859">
        <v>1465</v>
      </c>
      <c r="O18" s="319">
        <v>26592</v>
      </c>
      <c r="P18" s="55">
        <f t="shared" si="1"/>
        <v>22443</v>
      </c>
      <c r="Q18" s="47">
        <v>4149</v>
      </c>
      <c r="R18" s="333">
        <v>126254</v>
      </c>
      <c r="S18" s="401">
        <v>314764</v>
      </c>
      <c r="T18" s="50">
        <f>平成20年度!C18/平成20年度!R18</f>
        <v>0.34014763888668875</v>
      </c>
      <c r="U18" s="61">
        <f>平成20年度!H18/平成20年度!S18</f>
        <v>0.24248008031414012</v>
      </c>
      <c r="V18" s="62">
        <f>平成20年度!L18/平成20年度!H18</f>
        <v>5.7072480477962373E-2</v>
      </c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ROUND(+平成20年度!AK18/平成20年度!AM18,4)</f>
        <v>0.27060000000000001</v>
      </c>
      <c r="AP18" s="22">
        <f>ROUND(+平成20年度!AL18/平成20年度!AN18,4)</f>
        <v>0.38550000000000001</v>
      </c>
    </row>
    <row r="19" spans="2:44" ht="20.149999999999999" customHeight="1" x14ac:dyDescent="0.2">
      <c r="B19" s="378" t="s">
        <v>51</v>
      </c>
      <c r="C19" s="319">
        <v>42927</v>
      </c>
      <c r="D19" s="55">
        <f>平成20年度!E19+平成20年度!F19</f>
        <v>40670</v>
      </c>
      <c r="E19" s="55">
        <f>平成20年度!C19-平成20年度!G19-平成20年度!F19</f>
        <v>39946</v>
      </c>
      <c r="F19" s="46">
        <v>724</v>
      </c>
      <c r="G19" s="47">
        <v>2257</v>
      </c>
      <c r="H19" s="315">
        <f t="shared" si="0"/>
        <v>76230</v>
      </c>
      <c r="I19" s="55">
        <f>平成20年度!J19+平成20年度!K19</f>
        <v>71976</v>
      </c>
      <c r="J19" s="46">
        <f>76230-K19-L19</f>
        <v>45737</v>
      </c>
      <c r="K19" s="49">
        <v>26239</v>
      </c>
      <c r="L19" s="55">
        <f>平成20年度!M19+平成20年度!N19</f>
        <v>4254</v>
      </c>
      <c r="M19" s="864">
        <v>2826</v>
      </c>
      <c r="N19" s="859">
        <v>1428</v>
      </c>
      <c r="O19" s="319">
        <v>26480</v>
      </c>
      <c r="P19" s="55">
        <f t="shared" si="1"/>
        <v>22424</v>
      </c>
      <c r="Q19" s="47">
        <v>4056</v>
      </c>
      <c r="R19" s="386">
        <v>126231</v>
      </c>
      <c r="S19" s="402">
        <v>313963</v>
      </c>
      <c r="T19" s="50">
        <f>平成20年度!C19/平成20年度!R19</f>
        <v>0.34006701998716637</v>
      </c>
      <c r="U19" s="61">
        <f>平成20年度!H19/平成20年度!S19</f>
        <v>0.24279931074680774</v>
      </c>
      <c r="V19" s="62">
        <f>平成20年度!L19/平成20年度!H19</f>
        <v>5.5804801259346712E-2</v>
      </c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ROUND(+平成20年度!AK19/平成20年度!AM19,4)</f>
        <v>0.28050000000000003</v>
      </c>
      <c r="AP19" s="35">
        <f>ROUND(+平成20年度!AL19/平成20年度!AN19,4)</f>
        <v>0.39810000000000001</v>
      </c>
      <c r="AQ19" s="36">
        <f>ROUND((+平成20年度!AO19-平成20年度!AO18),4)</f>
        <v>9.9000000000000008E-3</v>
      </c>
      <c r="AR19" s="36">
        <f>ROUND((+平成20年度!AP19-平成20年度!AP18),4)</f>
        <v>1.26E-2</v>
      </c>
    </row>
    <row r="20" spans="2:44" s="404" customFormat="1" ht="20.149999999999999" customHeight="1" x14ac:dyDescent="0.2">
      <c r="B20" s="405" t="s">
        <v>52</v>
      </c>
      <c r="C20" s="406">
        <f>SUM(平成20年度!C8:C19)</f>
        <v>518353</v>
      </c>
      <c r="D20" s="407">
        <f>SUM(平成20年度!D8:D19)</f>
        <v>491068</v>
      </c>
      <c r="E20" s="408">
        <f>SUM(平成20年度!E8:E19)</f>
        <v>482144</v>
      </c>
      <c r="F20" s="408">
        <f>SUM(F8:F19)</f>
        <v>8924</v>
      </c>
      <c r="G20" s="409">
        <f>SUM(G8:G19)</f>
        <v>27285</v>
      </c>
      <c r="H20" s="406">
        <f>SUM(平成20年度!H8:H19)</f>
        <v>923950</v>
      </c>
      <c r="I20" s="407">
        <f>SUM(平成20年度!I8:I19)</f>
        <v>868728</v>
      </c>
      <c r="J20" s="408">
        <f>SUM(平成20年度!J8:J19)</f>
        <v>556702</v>
      </c>
      <c r="K20" s="408">
        <f>SUM(平成20年度!K8:K19)</f>
        <v>312026</v>
      </c>
      <c r="L20" s="408">
        <f>SUM(平成20年度!L8:L19)</f>
        <v>55222</v>
      </c>
      <c r="M20" s="408">
        <f>SUM(平成20年度!M8:M19)</f>
        <v>36570</v>
      </c>
      <c r="N20" s="409">
        <f>SUM(平成20年度!N8:N19)</f>
        <v>18652</v>
      </c>
      <c r="O20" s="406">
        <f>SUM(平成20年度!O8:O19)</f>
        <v>325271</v>
      </c>
      <c r="P20" s="407">
        <f>SUM(平成20年度!P8:P19)</f>
        <v>272594</v>
      </c>
      <c r="Q20" s="409">
        <f>SUM(平成20年度!Q8:Q19)</f>
        <v>52677</v>
      </c>
      <c r="R20" s="428">
        <f>SUM(R8:R19)</f>
        <v>1511917</v>
      </c>
      <c r="S20" s="411">
        <f>SUM(S8:S19)</f>
        <v>3776139</v>
      </c>
      <c r="T20" s="412">
        <f>平成20年度!C20/平成20年度!R20</f>
        <v>0.34284487838948829</v>
      </c>
      <c r="U20" s="413">
        <f>平成20年度!H20/平成20年度!S20</f>
        <v>0.24468114123976897</v>
      </c>
      <c r="V20" s="414">
        <f>平成20年度!L20/平成20年度!H20</f>
        <v>5.9767303425510038E-2</v>
      </c>
      <c r="AJ20" s="415" t="s">
        <v>1088</v>
      </c>
      <c r="AK20" s="416">
        <f>平成11年度!H19</f>
        <v>85006</v>
      </c>
      <c r="AL20" s="417">
        <f>平成11年度!C19</f>
        <v>43579</v>
      </c>
      <c r="AM20" s="418">
        <f>平成11年度!P19</f>
        <v>292833</v>
      </c>
      <c r="AN20" s="418">
        <f>平成11年度!O19</f>
        <v>106170</v>
      </c>
      <c r="AO20" s="419">
        <f>ROUND(+平成20年度!AK20/平成20年度!AM20,4)</f>
        <v>0.2903</v>
      </c>
      <c r="AP20" s="420">
        <f>ROUND(+平成20年度!AL20/平成20年度!AN20,4)</f>
        <v>0.41049999999999998</v>
      </c>
      <c r="AQ20" s="421">
        <f>ROUND((+平成20年度!AO20-平成20年度!AO19),4)</f>
        <v>9.7999999999999997E-3</v>
      </c>
      <c r="AR20" s="421">
        <f>ROUND((+平成20年度!AP20-平成20年度!AP19),4)</f>
        <v>1.24E-2</v>
      </c>
    </row>
    <row r="21" spans="2:44" s="404" customFormat="1" ht="20.149999999999999" customHeight="1" x14ac:dyDescent="0.2">
      <c r="B21" s="405" t="s">
        <v>53</v>
      </c>
      <c r="C21" s="422" t="e">
        <f>#VALUE!</f>
        <v>#VALUE!</v>
      </c>
      <c r="D21" s="422" t="e">
        <f>#VALUE!</f>
        <v>#VALUE!</v>
      </c>
      <c r="E21" s="423" t="e">
        <f>#VALUE!</f>
        <v>#VALUE!</v>
      </c>
      <c r="F21" s="423" t="e">
        <f>#VALUE!</f>
        <v>#VALUE!</v>
      </c>
      <c r="G21" s="423" t="e">
        <f>#VALUE!</f>
        <v>#VALUE!</v>
      </c>
      <c r="H21" s="406" t="e">
        <f>#VALUE!</f>
        <v>#VALUE!</v>
      </c>
      <c r="I21" s="422" t="e">
        <f>#VALUE!</f>
        <v>#VALUE!</v>
      </c>
      <c r="J21" s="422" t="e">
        <f>#VALUE!</f>
        <v>#VALUE!</v>
      </c>
      <c r="K21" s="422" t="e">
        <f>#VALUE!</f>
        <v>#VALUE!</v>
      </c>
      <c r="L21" s="423" t="e">
        <f>#VALUE!</f>
        <v>#VALUE!</v>
      </c>
      <c r="M21" s="423" t="e">
        <f>#VALUE!</f>
        <v>#VALUE!</v>
      </c>
      <c r="N21" s="424" t="e">
        <f>#VALUE!</f>
        <v>#VALUE!</v>
      </c>
      <c r="O21" s="406" t="e">
        <f>#VALUE!</f>
        <v>#VALUE!</v>
      </c>
      <c r="P21" s="422" t="e">
        <f>#VALUE!</f>
        <v>#VALUE!</v>
      </c>
      <c r="Q21" s="422" t="e">
        <f>#VALUE!</f>
        <v>#VALUE!</v>
      </c>
      <c r="R21" s="406" t="e">
        <f>#VALUE!</f>
        <v>#VALUE!</v>
      </c>
      <c r="S21" s="423" t="e">
        <f>#VALUE!</f>
        <v>#VALUE!</v>
      </c>
      <c r="T21" s="412" t="e">
        <f>平成20年度!C21/平成20年度!R21</f>
        <v>#VALUE!</v>
      </c>
      <c r="U21" s="413" t="e">
        <f>平成20年度!H21/平成20年度!S21</f>
        <v>#VALUE!</v>
      </c>
      <c r="V21" s="414" t="e">
        <f>平成20年度!L21/平成20年度!H21</f>
        <v>#VALUE!</v>
      </c>
      <c r="AJ21" s="415" t="s">
        <v>284</v>
      </c>
      <c r="AK21" s="416">
        <f>平成12年度!H19</f>
        <v>87854</v>
      </c>
      <c r="AL21" s="417">
        <f>平成12年度!C19</f>
        <v>45290</v>
      </c>
      <c r="AM21" s="418">
        <f>平成12年度!P19</f>
        <v>20917</v>
      </c>
      <c r="AN21" s="418">
        <f>平成12年度!O19</f>
        <v>27178</v>
      </c>
      <c r="AO21" s="419">
        <f>ROUND(+平成20年度!AK21/平成20年度!AM21,4)</f>
        <v>4.2000999999999999</v>
      </c>
      <c r="AP21" s="420">
        <f>ROUND(+平成20年度!AL21/平成20年度!AN21,4)</f>
        <v>1.6664000000000001</v>
      </c>
      <c r="AQ21" s="421">
        <f>ROUND((+平成20年度!AO21-平成20年度!AO20),4)</f>
        <v>3.9098000000000002</v>
      </c>
      <c r="AR21" s="421">
        <f>ROUND((+平成20年度!AP21-平成20年度!AP20),4)</f>
        <v>1.2559</v>
      </c>
    </row>
    <row r="22" spans="2:44" s="343" customFormat="1" ht="20.149999999999999" customHeight="1" x14ac:dyDescent="0.2">
      <c r="B22" s="381"/>
      <c r="C22" s="344"/>
      <c r="D22" s="383"/>
      <c r="E22" s="387"/>
      <c r="F22" s="387"/>
      <c r="G22" s="384"/>
      <c r="H22" s="344"/>
      <c r="I22" s="345"/>
      <c r="J22" s="387"/>
      <c r="K22" s="387"/>
      <c r="L22" s="346"/>
      <c r="M22" s="387"/>
      <c r="N22" s="384"/>
      <c r="O22" s="344"/>
      <c r="P22" s="383"/>
      <c r="Q22" s="384"/>
      <c r="R22" s="385"/>
      <c r="S22" s="383"/>
      <c r="T22" s="348"/>
      <c r="U22" s="348"/>
      <c r="V22" s="347"/>
      <c r="AJ22" s="349" t="s">
        <v>607</v>
      </c>
      <c r="AK22" s="350">
        <f>平成13年度!H19</f>
        <v>91363</v>
      </c>
      <c r="AL22" s="351">
        <f>平成13年度!C19</f>
        <v>47502</v>
      </c>
      <c r="AM22" s="352">
        <f>平成13年度!P19</f>
        <v>21019</v>
      </c>
      <c r="AN22" s="352">
        <f>平成13年度!O19</f>
        <v>27824</v>
      </c>
      <c r="AO22" s="353">
        <f>ROUND(+平成20年度!AK22/平成20年度!AM22,4)</f>
        <v>4.3467000000000002</v>
      </c>
      <c r="AP22" s="354">
        <f>ROUND(+平成20年度!AL22/平成20年度!AN22,4)</f>
        <v>1.7072000000000001</v>
      </c>
      <c r="AQ22" s="355">
        <f>ROUND((+平成20年度!AO22-平成20年度!AO21),4)</f>
        <v>0.14660000000000001</v>
      </c>
      <c r="AR22" s="355">
        <f>ROUND((+平成20年度!AP22-平成20年度!AP21),4)</f>
        <v>4.0800000000000003E-2</v>
      </c>
    </row>
    <row r="23" spans="2:44" ht="20.149999999999999" customHeight="1" x14ac:dyDescent="0.2">
      <c r="B23" s="377" t="s">
        <v>54</v>
      </c>
      <c r="C23" s="314">
        <f>平成20年度!C8</f>
        <v>43490</v>
      </c>
      <c r="D23" s="45">
        <f>平成20年度!D8</f>
        <v>41113</v>
      </c>
      <c r="E23" s="79">
        <f>平成20年度!E8</f>
        <v>40327</v>
      </c>
      <c r="F23" s="79">
        <f>平成20年度!F8</f>
        <v>786</v>
      </c>
      <c r="G23" s="80">
        <f>平成20年度!G8</f>
        <v>2377</v>
      </c>
      <c r="H23" s="314">
        <f>平成20年度!H8</f>
        <v>77940</v>
      </c>
      <c r="I23" s="45">
        <f>平成20年度!I8</f>
        <v>72983</v>
      </c>
      <c r="J23" s="79">
        <f>平成20年度!J8</f>
        <v>47283</v>
      </c>
      <c r="K23" s="79">
        <f>平成20年度!K8</f>
        <v>25700</v>
      </c>
      <c r="L23" s="79">
        <f>平成20年度!L8</f>
        <v>4957</v>
      </c>
      <c r="M23" s="79">
        <f>平成20年度!M8</f>
        <v>3261</v>
      </c>
      <c r="N23" s="80">
        <f>平成20年度!N8</f>
        <v>1696</v>
      </c>
      <c r="O23" s="314">
        <f>平成20年度!O8</f>
        <v>27622</v>
      </c>
      <c r="P23" s="45">
        <f>平成20年度!P8</f>
        <v>22912</v>
      </c>
      <c r="Q23" s="80">
        <f>平成20年度!Q8</f>
        <v>4710</v>
      </c>
      <c r="R23" s="48">
        <f>平成20年度!R8</f>
        <v>125257</v>
      </c>
      <c r="S23" s="45">
        <f>平成20年度!S8</f>
        <v>314181</v>
      </c>
      <c r="T23" s="50">
        <f>平成20年度!C23/平成20年度!R23</f>
        <v>0.34720614416759144</v>
      </c>
      <c r="U23" s="51">
        <f>平成20年度!H23/平成20年度!S23</f>
        <v>0.24807356269156952</v>
      </c>
      <c r="V23" s="52">
        <f>平成20年度!L23/平成20年度!H23</f>
        <v>6.3600205286117525E-2</v>
      </c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ROUND(+平成20年度!AK23/平成20年度!AM23,4)</f>
        <v>4.4180999999999999</v>
      </c>
      <c r="AP23" s="68">
        <f>ROUND(+平成20年度!AL23/平成20年度!AN23,4)</f>
        <v>1.7375</v>
      </c>
      <c r="AQ23" s="36">
        <f>ROUND((+平成20年度!AO23-平成20年度!AO22),4)</f>
        <v>7.1400000000000005E-2</v>
      </c>
      <c r="AR23" s="36">
        <f>ROUND((+平成20年度!AP23-平成20年度!AP22),4)</f>
        <v>3.0300000000000001E-2</v>
      </c>
    </row>
    <row r="24" spans="2:44" ht="20.149999999999999" customHeight="1" x14ac:dyDescent="0.2">
      <c r="B24" s="378" t="s">
        <v>55</v>
      </c>
      <c r="C24" s="315">
        <f>SUM(平成20年度!C8:C9)</f>
        <v>86963</v>
      </c>
      <c r="D24" s="55">
        <f>SUM(平成20年度!D8:D9)</f>
        <v>82247</v>
      </c>
      <c r="E24" s="89">
        <f>SUM(平成20年度!E8:E9)</f>
        <v>80691</v>
      </c>
      <c r="F24" s="89">
        <f>SUM(平成20年度!F8:F9)</f>
        <v>1556</v>
      </c>
      <c r="G24" s="90">
        <f>SUM(平成20年度!G8:G9)</f>
        <v>4716</v>
      </c>
      <c r="H24" s="315">
        <f>SUM(平成20年度!H8:H9)</f>
        <v>155691</v>
      </c>
      <c r="I24" s="55">
        <f>SUM(平成20年度!I8:I9)</f>
        <v>145886</v>
      </c>
      <c r="J24" s="89">
        <f>SUM(平成20年度!J8:J9)</f>
        <v>94412</v>
      </c>
      <c r="K24" s="89">
        <f>SUM(平成20年度!K8:K9)</f>
        <v>51474</v>
      </c>
      <c r="L24" s="89">
        <f>SUM(平成20年度!L8:L9)</f>
        <v>9805</v>
      </c>
      <c r="M24" s="89">
        <f>SUM(平成20年度!M8:M9)</f>
        <v>6459</v>
      </c>
      <c r="N24" s="90">
        <f>SUM(平成20年度!N8:N9)</f>
        <v>3346</v>
      </c>
      <c r="O24" s="315">
        <f>SUM(平成20年度!O8:O9)</f>
        <v>55185</v>
      </c>
      <c r="P24" s="55">
        <f>SUM(平成20年度!P8:P9)</f>
        <v>45860</v>
      </c>
      <c r="Q24" s="90">
        <f>SUM(平成20年度!Q8:Q9)</f>
        <v>9325</v>
      </c>
      <c r="R24" s="58">
        <f>SUM(平成20年度!R8:R9)</f>
        <v>250746</v>
      </c>
      <c r="S24" s="55">
        <f>SUM(平成20年度!S8:S9)</f>
        <v>628572</v>
      </c>
      <c r="T24" s="60">
        <f>平成20年度!C24/平成20年度!R24</f>
        <v>0.34681709778022379</v>
      </c>
      <c r="U24" s="61">
        <f>平成20年度!H24/平成20年度!S24</f>
        <v>0.24769000209999809</v>
      </c>
      <c r="V24" s="62">
        <f>平成20年度!L24/平成20年度!H24</f>
        <v>6.2977307615726022E-2</v>
      </c>
      <c r="AJ24" s="69" t="s">
        <v>907</v>
      </c>
      <c r="AK24" s="70">
        <f>平成20年度!H14</f>
        <v>76886</v>
      </c>
      <c r="AL24" s="71">
        <f>平成20年度!C14</f>
        <v>43178</v>
      </c>
      <c r="AM24" s="72">
        <f>平成20年度!S14</f>
        <v>314859</v>
      </c>
      <c r="AN24" s="72">
        <f>平成20年度!R14</f>
        <v>126147</v>
      </c>
      <c r="AO24" s="73">
        <f>ROUND(+平成20年度!AK24/平成20年度!AM24,4)</f>
        <v>0.2442</v>
      </c>
      <c r="AP24" s="74">
        <f>ROUND(+平成20年度!AL24/平成20年度!AN24,4)</f>
        <v>0.34229999999999999</v>
      </c>
      <c r="AQ24" s="36">
        <f>ROUND((+平成20年度!AO24-平成20年度!AO23),4)</f>
        <v>-4.1738999999999997</v>
      </c>
      <c r="AR24" s="36">
        <f>ROUND((+平成20年度!AP24-平成20年度!AP23),4)</f>
        <v>-1.3952</v>
      </c>
    </row>
    <row r="25" spans="2:44" ht="20.149999999999999" customHeight="1" x14ac:dyDescent="0.2">
      <c r="B25" s="378" t="s">
        <v>56</v>
      </c>
      <c r="C25" s="315">
        <f>SUM(平成20年度!C8:C10)</f>
        <v>130339</v>
      </c>
      <c r="D25" s="55">
        <f>SUM(平成20年度!D8:D10)</f>
        <v>123309</v>
      </c>
      <c r="E25" s="89">
        <f>SUM(平成20年度!E8:E10)</f>
        <v>120984</v>
      </c>
      <c r="F25" s="89">
        <f>SUM(平成20年度!F8:F10)</f>
        <v>2325</v>
      </c>
      <c r="G25" s="90">
        <f>SUM(平成20年度!G8:G10)</f>
        <v>7030</v>
      </c>
      <c r="H25" s="315">
        <f>SUM(平成20年度!H8:H10)</f>
        <v>233234</v>
      </c>
      <c r="I25" s="55">
        <f>SUM(平成20年度!I8:I10)</f>
        <v>218648</v>
      </c>
      <c r="J25" s="89">
        <f>SUM(平成20年度!J8:J10)</f>
        <v>141323</v>
      </c>
      <c r="K25" s="89">
        <f>SUM(平成20年度!K8:K10)</f>
        <v>77325</v>
      </c>
      <c r="L25" s="89">
        <f>SUM(平成20年度!L8:L10)</f>
        <v>14586</v>
      </c>
      <c r="M25" s="89">
        <f>SUM(平成20年度!M8:M10)</f>
        <v>9623</v>
      </c>
      <c r="N25" s="90">
        <f>SUM(平成20年度!N8:N10)</f>
        <v>4963</v>
      </c>
      <c r="O25" s="315">
        <f>SUM(平成20年度!O8:O10)</f>
        <v>82652</v>
      </c>
      <c r="P25" s="55">
        <f>SUM(平成20年度!P8:P10)</f>
        <v>68769</v>
      </c>
      <c r="Q25" s="90">
        <f>SUM(平成20年度!Q8:Q10)</f>
        <v>13883</v>
      </c>
      <c r="R25" s="58">
        <f>SUM(平成20年度!R8:R10)</f>
        <v>376385</v>
      </c>
      <c r="S25" s="55">
        <f>SUM(平成20年度!S8:S10)</f>
        <v>943111</v>
      </c>
      <c r="T25" s="60">
        <f>平成20年度!C25/平成20年度!R25</f>
        <v>0.34629169600276311</v>
      </c>
      <c r="U25" s="61">
        <f>平成20年度!H25/平成20年度!S25</f>
        <v>0.24730280953143374</v>
      </c>
      <c r="V25" s="62">
        <f>平成20年度!L25/平成20年度!H25</f>
        <v>6.2538051913528903E-2</v>
      </c>
      <c r="AJ25" s="1" t="s">
        <v>1137</v>
      </c>
    </row>
    <row r="26" spans="2:44" ht="20.149999999999999" customHeight="1" x14ac:dyDescent="0.2">
      <c r="B26" s="378" t="s">
        <v>57</v>
      </c>
      <c r="C26" s="315">
        <f>SUM(平成20年度!C8:C11)</f>
        <v>173655</v>
      </c>
      <c r="D26" s="55">
        <f>SUM(平成20年度!D8:D11)</f>
        <v>164284</v>
      </c>
      <c r="E26" s="89">
        <f>SUM(平成20年度!E8:E11)</f>
        <v>161189</v>
      </c>
      <c r="F26" s="89">
        <f>SUM(平成20年度!F8:F11)</f>
        <v>3095</v>
      </c>
      <c r="G26" s="90">
        <f>SUM(平成20年度!G8:G11)</f>
        <v>9371</v>
      </c>
      <c r="H26" s="315">
        <f>SUM(平成20年度!H8:H11)</f>
        <v>310573</v>
      </c>
      <c r="I26" s="55">
        <f>SUM(平成20年度!I8:I11)</f>
        <v>291185</v>
      </c>
      <c r="J26" s="89">
        <f>SUM(平成20年度!J8:J11)</f>
        <v>187994</v>
      </c>
      <c r="K26" s="89">
        <f>SUM(平成20年度!K8:K11)</f>
        <v>103191</v>
      </c>
      <c r="L26" s="89">
        <f>SUM(平成20年度!L8:L11)</f>
        <v>19388</v>
      </c>
      <c r="M26" s="89">
        <f>SUM(平成20年度!M8:M11)</f>
        <v>12810</v>
      </c>
      <c r="N26" s="90">
        <f>SUM(平成20年度!N8:N11)</f>
        <v>6578</v>
      </c>
      <c r="O26" s="315">
        <f>SUM(平成20年度!O8:O11)</f>
        <v>110037</v>
      </c>
      <c r="P26" s="55">
        <f>SUM(平成20年度!P8:P11)</f>
        <v>91572</v>
      </c>
      <c r="Q26" s="90">
        <f>SUM(平成20年度!Q8:Q11)</f>
        <v>18465</v>
      </c>
      <c r="R26" s="58">
        <f>SUM(平成20年度!R8:R11)</f>
        <v>502246</v>
      </c>
      <c r="S26" s="55">
        <f>SUM(平成20年度!S8:S11)</f>
        <v>1257851</v>
      </c>
      <c r="T26" s="60">
        <f>平成20年度!C26/平成20年度!R26</f>
        <v>0.34575686018405322</v>
      </c>
      <c r="U26" s="61">
        <f>平成20年度!H26/平成20年度!S26</f>
        <v>0.24690762260394911</v>
      </c>
      <c r="V26" s="62">
        <f>平成20年度!L26/平成20年度!H26</f>
        <v>6.2426547059789485E-2</v>
      </c>
      <c r="AJ26" s="69" t="s">
        <v>1106</v>
      </c>
      <c r="AK26" s="76">
        <f>平成20年度!AK23/平成20年度!AK18</f>
        <v>1.2014763517369964</v>
      </c>
      <c r="AL26" s="77">
        <f>平成20年度!AL23/平成20年度!AL18</f>
        <v>1.241609726688103</v>
      </c>
      <c r="AM26" s="77">
        <f>平成20年度!AM23/平成20年度!AM18</f>
        <v>7.3587858569634068E-2</v>
      </c>
      <c r="AN26" s="77">
        <f>平成20年度!AN23/平成20年度!AN18</f>
        <v>0.27549271221732602</v>
      </c>
      <c r="AO26" s="78">
        <f>平成20年度!AO23/平成20年度!AO18</f>
        <v>16.327050997782706</v>
      </c>
      <c r="AP26" s="74">
        <f>平成20年度!AP23/平成20年度!AP18</f>
        <v>4.5071335927367056</v>
      </c>
    </row>
    <row r="27" spans="2:44" ht="20.149999999999999" customHeight="1" x14ac:dyDescent="0.2">
      <c r="B27" s="378" t="s">
        <v>58</v>
      </c>
      <c r="C27" s="315">
        <f>SUM(平成20年度!C8:C12)</f>
        <v>216994</v>
      </c>
      <c r="D27" s="55">
        <f>SUM(平成20年度!D8:D12)</f>
        <v>205305</v>
      </c>
      <c r="E27" s="89">
        <f>SUM(平成20年度!E8:E12)</f>
        <v>201442</v>
      </c>
      <c r="F27" s="89">
        <f>SUM(平成20年度!F8:F12)</f>
        <v>3863</v>
      </c>
      <c r="G27" s="90">
        <f>SUM(平成20年度!G8:G12)</f>
        <v>11689</v>
      </c>
      <c r="H27" s="315">
        <f>SUM(平成20年度!H8:H12)</f>
        <v>387910</v>
      </c>
      <c r="I27" s="55">
        <f>SUM(平成20年度!I8:I12)</f>
        <v>363789</v>
      </c>
      <c r="J27" s="89">
        <f>SUM(平成20年度!J8:J12)</f>
        <v>234603</v>
      </c>
      <c r="K27" s="89">
        <f>SUM(平成20年度!K8:K12)</f>
        <v>129186</v>
      </c>
      <c r="L27" s="89">
        <f>SUM(平成20年度!L8:L12)</f>
        <v>24121</v>
      </c>
      <c r="M27" s="89">
        <f>SUM(平成20年度!M8:M12)</f>
        <v>15956</v>
      </c>
      <c r="N27" s="90">
        <f>SUM(平成20年度!N8:N12)</f>
        <v>8165</v>
      </c>
      <c r="O27" s="315">
        <f>SUM(平成20年度!O8:O12)</f>
        <v>137327</v>
      </c>
      <c r="P27" s="55">
        <f>SUM(平成20年度!P8:P12)</f>
        <v>114343</v>
      </c>
      <c r="Q27" s="90">
        <f>SUM(平成20年度!Q8:Q12)</f>
        <v>22984</v>
      </c>
      <c r="R27" s="58">
        <f>SUM(平成20年度!R8:R12)</f>
        <v>628209</v>
      </c>
      <c r="S27" s="55">
        <f>SUM(平成20年度!S8:S12)</f>
        <v>1572725</v>
      </c>
      <c r="T27" s="60">
        <f>平成20年度!C27/平成20年度!R27</f>
        <v>0.34541689151221966</v>
      </c>
      <c r="U27" s="61">
        <f>平成20年度!H27/平成20年度!S27</f>
        <v>0.24664833330684005</v>
      </c>
      <c r="V27" s="62">
        <f>平成20年度!L27/平成20年度!H27</f>
        <v>6.2181949421257508E-2</v>
      </c>
    </row>
    <row r="28" spans="2:44" ht="20.149999999999999" customHeight="1" x14ac:dyDescent="0.2">
      <c r="B28" s="378" t="s">
        <v>59</v>
      </c>
      <c r="C28" s="315">
        <f>SUM(平成20年度!C8:C13)</f>
        <v>260229</v>
      </c>
      <c r="D28" s="55">
        <f>SUM(平成20年度!D8:D13)</f>
        <v>246249</v>
      </c>
      <c r="E28" s="89">
        <f>SUM(平成20年度!E8:E13)</f>
        <v>241641</v>
      </c>
      <c r="F28" s="89">
        <f>SUM(平成20年度!F8:F13)</f>
        <v>4608</v>
      </c>
      <c r="G28" s="90">
        <f>SUM(平成20年度!G8:G13)</f>
        <v>13980</v>
      </c>
      <c r="H28" s="315">
        <f>SUM(平成20年度!H8:H13)</f>
        <v>464933</v>
      </c>
      <c r="I28" s="55">
        <f>SUM(平成20年度!I8:I13)</f>
        <v>436153</v>
      </c>
      <c r="J28" s="89">
        <f>SUM(平成20年度!J8:J13)</f>
        <v>280908</v>
      </c>
      <c r="K28" s="89">
        <f>SUM(平成20年度!K8:K13)</f>
        <v>155245</v>
      </c>
      <c r="L28" s="89">
        <f>SUM(平成20年度!L8:L13)</f>
        <v>28780</v>
      </c>
      <c r="M28" s="89">
        <f>SUM(平成20年度!M8:M13)</f>
        <v>19039</v>
      </c>
      <c r="N28" s="90">
        <f>SUM(平成20年度!N8:N13)</f>
        <v>9741</v>
      </c>
      <c r="O28" s="315">
        <f>SUM(平成20年度!O8:O13)</f>
        <v>164501</v>
      </c>
      <c r="P28" s="55">
        <f>SUM(平成20年度!P8:P13)</f>
        <v>137065</v>
      </c>
      <c r="Q28" s="90">
        <f>SUM(平成20年度!Q8:Q13)</f>
        <v>27436</v>
      </c>
      <c r="R28" s="58">
        <f>SUM(平成20年度!R8:R13)</f>
        <v>754222</v>
      </c>
      <c r="S28" s="55">
        <f>SUM(平成20年度!S8:S13)</f>
        <v>1887530</v>
      </c>
      <c r="T28" s="60">
        <f>平成20年度!C28/平成20年度!R28</f>
        <v>0.34502971273709865</v>
      </c>
      <c r="U28" s="61">
        <f>平成20年度!H28/平成20年度!S28</f>
        <v>0.24631820421397277</v>
      </c>
      <c r="V28" s="62">
        <f>平成20年度!L28/平成20年度!H28</f>
        <v>6.1901392243613594E-2</v>
      </c>
    </row>
    <row r="29" spans="2:44" ht="20.149999999999999" customHeight="1" x14ac:dyDescent="0.2">
      <c r="B29" s="378" t="s">
        <v>60</v>
      </c>
      <c r="C29" s="315">
        <f>SUM(平成20年度!C8:C14)</f>
        <v>303407</v>
      </c>
      <c r="D29" s="55">
        <f>SUM(平成20年度!D8:D14)</f>
        <v>287163</v>
      </c>
      <c r="E29" s="89">
        <f>SUM(平成20年度!E8:E14)</f>
        <v>281813</v>
      </c>
      <c r="F29" s="89">
        <f>SUM(平成20年度!F8:F14)</f>
        <v>5350</v>
      </c>
      <c r="G29" s="90">
        <f>SUM(平成20年度!G8:G14)</f>
        <v>16244</v>
      </c>
      <c r="H29" s="315">
        <f>SUM(平成20年度!H8:H14)</f>
        <v>541819</v>
      </c>
      <c r="I29" s="55">
        <f>SUM(平成20年度!I8:I14)</f>
        <v>508443</v>
      </c>
      <c r="J29" s="89">
        <f>SUM(平成20年度!J8:J14)</f>
        <v>327149</v>
      </c>
      <c r="K29" s="89">
        <f>SUM(平成20年度!K8:K14)</f>
        <v>181294</v>
      </c>
      <c r="L29" s="89">
        <f>SUM(平成20年度!L8:L14)</f>
        <v>33376</v>
      </c>
      <c r="M29" s="89">
        <f>SUM(平成20年度!M8:M14)</f>
        <v>22080</v>
      </c>
      <c r="N29" s="90">
        <f>SUM(平成20年度!N8:N14)</f>
        <v>11296</v>
      </c>
      <c r="O29" s="315">
        <f>SUM(平成20年度!O8:O14)</f>
        <v>191618</v>
      </c>
      <c r="P29" s="55">
        <f>SUM(平成20年度!P8:P14)</f>
        <v>159790</v>
      </c>
      <c r="Q29" s="90">
        <f>SUM(平成20年度!Q8:Q14)</f>
        <v>31828</v>
      </c>
      <c r="R29" s="58">
        <f>SUM(平成20年度!R8:R14)</f>
        <v>880369</v>
      </c>
      <c r="S29" s="55">
        <f>SUM(平成20年度!S8:S14)</f>
        <v>2202389</v>
      </c>
      <c r="T29" s="60">
        <f>平成20年度!C29/平成20年度!R29</f>
        <v>0.34463616960615379</v>
      </c>
      <c r="U29" s="61">
        <f>平成20年度!H29/平成20年度!S29</f>
        <v>0.24601421456427544</v>
      </c>
      <c r="V29" s="62">
        <f>平成20年度!L29/平成20年度!H29</f>
        <v>6.1599906980006239E-2</v>
      </c>
    </row>
    <row r="30" spans="2:44" ht="20.149999999999999" customHeight="1" x14ac:dyDescent="0.2">
      <c r="B30" s="378" t="s">
        <v>61</v>
      </c>
      <c r="C30" s="315">
        <f>SUM(平成20年度!C8:C15)</f>
        <v>346517</v>
      </c>
      <c r="D30" s="55">
        <f>SUM(平成20年度!D8:D15)</f>
        <v>328077</v>
      </c>
      <c r="E30" s="89">
        <f>SUM(平成20年度!E8:E15)</f>
        <v>322008</v>
      </c>
      <c r="F30" s="89">
        <f>SUM(平成20年度!F8:F15)</f>
        <v>6069</v>
      </c>
      <c r="G30" s="90">
        <f>SUM(平成20年度!G8:G15)</f>
        <v>18440</v>
      </c>
      <c r="H30" s="315">
        <f>SUM(平成20年度!H8:H15)</f>
        <v>618515</v>
      </c>
      <c r="I30" s="55">
        <f>SUM(平成20年度!I8:I15)</f>
        <v>580697</v>
      </c>
      <c r="J30" s="89">
        <f>SUM(平成20年度!J8:J15)</f>
        <v>373324</v>
      </c>
      <c r="K30" s="89">
        <f>SUM(平成20年度!K8:K15)</f>
        <v>207373</v>
      </c>
      <c r="L30" s="89">
        <f>SUM(平成20年度!L8:L15)</f>
        <v>37818</v>
      </c>
      <c r="M30" s="89">
        <f>SUM(平成20年度!M8:M15)</f>
        <v>25021</v>
      </c>
      <c r="N30" s="90">
        <f>SUM(平成20年度!N8:N15)</f>
        <v>12797</v>
      </c>
      <c r="O30" s="315">
        <f>SUM(平成20年度!O8:O15)</f>
        <v>218622</v>
      </c>
      <c r="P30" s="55">
        <f>SUM(平成20年度!P8:P15)</f>
        <v>182547</v>
      </c>
      <c r="Q30" s="90">
        <f>SUM(平成20年度!Q8:Q15)</f>
        <v>36075</v>
      </c>
      <c r="R30" s="58">
        <f>SUM(平成20年度!R8:R15)</f>
        <v>1006683</v>
      </c>
      <c r="S30" s="55">
        <f>SUM(平成20年度!S8:S15)</f>
        <v>2517403</v>
      </c>
      <c r="T30" s="60">
        <f>平成20年度!C30/平成20年度!R30</f>
        <v>0.34421660045913161</v>
      </c>
      <c r="U30" s="61">
        <f>平成20年度!H30/平成20年度!S30</f>
        <v>0.24569566334829981</v>
      </c>
      <c r="V30" s="62">
        <f>平成20年度!L30/平成20年度!H30</f>
        <v>6.1143222072221372E-2</v>
      </c>
    </row>
    <row r="31" spans="2:44" ht="20.149999999999999" customHeight="1" x14ac:dyDescent="0.2">
      <c r="B31" s="378" t="s">
        <v>62</v>
      </c>
      <c r="C31" s="315">
        <f>SUM(平成20年度!C8:C16)</f>
        <v>389541</v>
      </c>
      <c r="D31" s="55">
        <f>SUM(平成20年度!D8:D16)</f>
        <v>368922</v>
      </c>
      <c r="E31" s="89">
        <f>SUM(平成20年度!E8:E16)</f>
        <v>362144</v>
      </c>
      <c r="F31" s="89">
        <f>SUM(平成20年度!F8:F16)</f>
        <v>6778</v>
      </c>
      <c r="G31" s="90">
        <f>SUM(平成20年度!G8:G16)</f>
        <v>20619</v>
      </c>
      <c r="H31" s="315">
        <f>SUM(平成20年度!H8:H16)</f>
        <v>695048</v>
      </c>
      <c r="I31" s="55">
        <f>SUM(平成20年度!I8:I16)</f>
        <v>652849</v>
      </c>
      <c r="J31" s="89">
        <f>SUM(平成20年度!J8:J16)</f>
        <v>419331</v>
      </c>
      <c r="K31" s="89">
        <f>SUM(平成20年度!K8:K16)</f>
        <v>233518</v>
      </c>
      <c r="L31" s="89">
        <f>SUM(平成20年度!L8:L16)</f>
        <v>42199</v>
      </c>
      <c r="M31" s="89">
        <f>SUM(平成20年度!M8:M16)</f>
        <v>27925</v>
      </c>
      <c r="N31" s="90">
        <f>SUM(平成20年度!N8:N16)</f>
        <v>14274</v>
      </c>
      <c r="O31" s="315">
        <f>SUM(平成20年度!O8:O16)</f>
        <v>245498</v>
      </c>
      <c r="P31" s="55">
        <f>SUM(平成20年度!P8:P16)</f>
        <v>205235</v>
      </c>
      <c r="Q31" s="90">
        <f>SUM(平成20年度!Q8:Q16)</f>
        <v>40263</v>
      </c>
      <c r="R31" s="58">
        <f>SUM(平成20年度!R8:R16)</f>
        <v>1133061</v>
      </c>
      <c r="S31" s="55">
        <f>SUM(平成20年度!S8:S16)</f>
        <v>2832416</v>
      </c>
      <c r="T31" s="60">
        <f>平成20年度!C31/平成20年度!R31</f>
        <v>0.34379525903724512</v>
      </c>
      <c r="U31" s="61">
        <f>平成20年度!H31/平成20年度!S31</f>
        <v>0.24539050760905179</v>
      </c>
      <c r="V31" s="62">
        <f>平成20年度!L31/平成20年度!H31</f>
        <v>6.071379242872435E-2</v>
      </c>
    </row>
    <row r="32" spans="2:44" ht="20.149999999999999" customHeight="1" x14ac:dyDescent="0.2">
      <c r="B32" s="378" t="s">
        <v>63</v>
      </c>
      <c r="C32" s="315">
        <f>SUM(平成20年度!C8:C17)</f>
        <v>432481</v>
      </c>
      <c r="D32" s="55">
        <f>SUM(平成20年度!D8:D17)</f>
        <v>409661</v>
      </c>
      <c r="E32" s="89">
        <f>SUM(平成20年度!E8:E17)</f>
        <v>402165</v>
      </c>
      <c r="F32" s="89">
        <f>SUM(平成20年度!F8:F17)</f>
        <v>7496</v>
      </c>
      <c r="G32" s="90">
        <f>SUM(平成20年度!G8:G17)</f>
        <v>22820</v>
      </c>
      <c r="H32" s="315">
        <f>SUM(平成20年度!H8:H17)</f>
        <v>771396</v>
      </c>
      <c r="I32" s="55">
        <f>SUM(平成20年度!I8:I17)</f>
        <v>724784</v>
      </c>
      <c r="J32" s="89">
        <f>SUM(平成20年度!J8:J17)</f>
        <v>465185</v>
      </c>
      <c r="K32" s="89">
        <f>SUM(平成20年度!K8:K17)</f>
        <v>259599</v>
      </c>
      <c r="L32" s="89">
        <f>SUM(平成20年度!L8:L17)</f>
        <v>46612</v>
      </c>
      <c r="M32" s="89">
        <f>SUM(平成20年度!M8:M17)</f>
        <v>30853</v>
      </c>
      <c r="N32" s="90">
        <f>SUM(平成20年度!N8:N17)</f>
        <v>15759</v>
      </c>
      <c r="O32" s="315">
        <f>SUM(平成20年度!O8:O17)</f>
        <v>272199</v>
      </c>
      <c r="P32" s="55">
        <f>SUM(平成20年度!P8:P17)</f>
        <v>227727</v>
      </c>
      <c r="Q32" s="90">
        <f>SUM(平成20年度!Q8:Q17)</f>
        <v>44472</v>
      </c>
      <c r="R32" s="58">
        <f>SUM(平成20年度!R8:R17)</f>
        <v>1259432</v>
      </c>
      <c r="S32" s="55">
        <f>SUM(平成20年度!S8:S17)</f>
        <v>3147412</v>
      </c>
      <c r="T32" s="60">
        <f>平成20年度!C32/平成20年度!R32</f>
        <v>0.34339368858342489</v>
      </c>
      <c r="U32" s="61">
        <f>平成20年度!H32/平成20年度!S32</f>
        <v>0.24508898104220228</v>
      </c>
      <c r="V32" s="62">
        <f>平成20年度!L32/平成20年度!H32</f>
        <v>6.0425514262454044E-2</v>
      </c>
    </row>
    <row r="33" spans="2:35" ht="20.149999999999999" customHeight="1" x14ac:dyDescent="0.2">
      <c r="B33" s="378" t="s">
        <v>64</v>
      </c>
      <c r="C33" s="315">
        <f>SUM(平成20年度!C8:C18)</f>
        <v>475426</v>
      </c>
      <c r="D33" s="55">
        <f>SUM(平成20年度!D8:D18)</f>
        <v>450398</v>
      </c>
      <c r="E33" s="89">
        <f>SUM(平成20年度!E8:E18)</f>
        <v>442198</v>
      </c>
      <c r="F33" s="89">
        <f>SUM(平成20年度!F8:F18)</f>
        <v>8200</v>
      </c>
      <c r="G33" s="90">
        <f>SUM(平成20年度!G8:G18)</f>
        <v>25028</v>
      </c>
      <c r="H33" s="315">
        <f>SUM(平成20年度!H8:H18)</f>
        <v>847720</v>
      </c>
      <c r="I33" s="55">
        <f>SUM(平成20年度!I8:I18)</f>
        <v>796752</v>
      </c>
      <c r="J33" s="89">
        <f>SUM(平成20年度!J8:J18)</f>
        <v>510965</v>
      </c>
      <c r="K33" s="89">
        <f>SUM(平成20年度!K8:K18)</f>
        <v>285787</v>
      </c>
      <c r="L33" s="89">
        <f>SUM(平成20年度!L8:L18)</f>
        <v>50968</v>
      </c>
      <c r="M33" s="89">
        <f>SUM(平成20年度!M8:M18)</f>
        <v>33744</v>
      </c>
      <c r="N33" s="90">
        <f>SUM(平成20年度!N8:N18)</f>
        <v>17224</v>
      </c>
      <c r="O33" s="315">
        <f>SUM(平成20年度!O8:O18)</f>
        <v>298791</v>
      </c>
      <c r="P33" s="55">
        <f>SUM(平成20年度!P8:P18)</f>
        <v>250170</v>
      </c>
      <c r="Q33" s="90">
        <f>SUM(平成20年度!Q8:Q18)</f>
        <v>48621</v>
      </c>
      <c r="R33" s="58">
        <f>SUM(平成20年度!R8:R18)</f>
        <v>1385686</v>
      </c>
      <c r="S33" s="55">
        <f>SUM(平成20年度!S8:S18)</f>
        <v>3462176</v>
      </c>
      <c r="T33" s="60">
        <f>平成20年度!C33/平成20年度!R33</f>
        <v>0.3430979312773601</v>
      </c>
      <c r="U33" s="61">
        <f>平成20年度!H33/平成20年度!S33</f>
        <v>0.24485179262983742</v>
      </c>
      <c r="V33" s="62">
        <f>平成20年度!L33/平成20年度!H33</f>
        <v>6.0123625725475395E-2</v>
      </c>
    </row>
    <row r="34" spans="2:35" ht="20.149999999999999" customHeight="1" thickBot="1" x14ac:dyDescent="0.25">
      <c r="B34" s="379" t="s">
        <v>65</v>
      </c>
      <c r="C34" s="366">
        <f>SUM(平成20年度!C8:C19)</f>
        <v>518353</v>
      </c>
      <c r="D34" s="367">
        <f>SUM(平成20年度!D8:D19)</f>
        <v>491068</v>
      </c>
      <c r="E34" s="368">
        <f>SUM(平成20年度!E8:E19)</f>
        <v>482144</v>
      </c>
      <c r="F34" s="368">
        <f>SUM(平成20年度!F8:F19)</f>
        <v>8924</v>
      </c>
      <c r="G34" s="369">
        <f>SUM(平成20年度!G8:G19)</f>
        <v>27285</v>
      </c>
      <c r="H34" s="366">
        <f>SUM(平成20年度!H8:H19)</f>
        <v>923950</v>
      </c>
      <c r="I34" s="367">
        <f>SUM(平成20年度!I8:I19)</f>
        <v>868728</v>
      </c>
      <c r="J34" s="368">
        <f>SUM(平成20年度!J8:J19)</f>
        <v>556702</v>
      </c>
      <c r="K34" s="368">
        <f>SUM(平成20年度!K8:K19)</f>
        <v>312026</v>
      </c>
      <c r="L34" s="368">
        <f>SUM(平成20年度!L8:L19)</f>
        <v>55222</v>
      </c>
      <c r="M34" s="368">
        <f>SUM(平成20年度!M8:M19)</f>
        <v>36570</v>
      </c>
      <c r="N34" s="369">
        <f>SUM(平成20年度!N8:N19)</f>
        <v>18652</v>
      </c>
      <c r="O34" s="366">
        <f>SUM(平成20年度!O8:O19)</f>
        <v>325271</v>
      </c>
      <c r="P34" s="367">
        <f>SUM(平成20年度!P8:P19)</f>
        <v>272594</v>
      </c>
      <c r="Q34" s="369">
        <f>SUM(平成20年度!Q8:Q19)</f>
        <v>52677</v>
      </c>
      <c r="R34" s="370">
        <f>SUM(平成20年度!R8:R19)</f>
        <v>1511917</v>
      </c>
      <c r="S34" s="367">
        <f>SUM(平成20年度!S8:S19)</f>
        <v>3776139</v>
      </c>
      <c r="T34" s="371">
        <f>平成20年度!C34/平成20年度!R34</f>
        <v>0.34284487838948829</v>
      </c>
      <c r="U34" s="372">
        <f>平成20年度!H34/平成20年度!S34</f>
        <v>0.24468114123976897</v>
      </c>
      <c r="V34" s="373">
        <f>平成20年度!L34/平成20年度!H34</f>
        <v>5.9767303425510038E-2</v>
      </c>
    </row>
    <row r="35" spans="2:35" s="404" customFormat="1" ht="20.149999999999999" customHeight="1" thickTop="1" x14ac:dyDescent="0.2">
      <c r="B35" s="438" t="s">
        <v>66</v>
      </c>
      <c r="C35" s="440">
        <f>SUM(C7:C18)</f>
        <v>530285</v>
      </c>
      <c r="D35" s="440">
        <f t="shared" ref="D35:S35" si="2">SUM(D7:D18)</f>
        <v>493764</v>
      </c>
      <c r="E35" s="440">
        <f t="shared" si="2"/>
        <v>482273</v>
      </c>
      <c r="F35" s="440">
        <f t="shared" si="2"/>
        <v>11491</v>
      </c>
      <c r="G35" s="441">
        <f t="shared" si="2"/>
        <v>36521</v>
      </c>
      <c r="H35" s="439">
        <f t="shared" si="2"/>
        <v>947880</v>
      </c>
      <c r="I35" s="440">
        <f t="shared" si="2"/>
        <v>872562</v>
      </c>
      <c r="J35" s="440">
        <f t="shared" si="2"/>
        <v>564374</v>
      </c>
      <c r="K35" s="440">
        <f t="shared" si="2"/>
        <v>308188</v>
      </c>
      <c r="L35" s="440">
        <f t="shared" si="2"/>
        <v>75318</v>
      </c>
      <c r="M35" s="440">
        <f t="shared" si="2"/>
        <v>50228</v>
      </c>
      <c r="N35" s="442">
        <f t="shared" si="2"/>
        <v>25090</v>
      </c>
      <c r="O35" s="439">
        <f t="shared" si="2"/>
        <v>326075</v>
      </c>
      <c r="P35" s="440">
        <f t="shared" si="2"/>
        <v>270449</v>
      </c>
      <c r="Q35" s="442">
        <f t="shared" si="2"/>
        <v>55626</v>
      </c>
      <c r="R35" s="439">
        <f t="shared" si="2"/>
        <v>1510273</v>
      </c>
      <c r="S35" s="440">
        <f t="shared" si="2"/>
        <v>3775671</v>
      </c>
      <c r="T35" s="443">
        <f>平成20年度!C35/平成20年度!R35</f>
        <v>0.35111863881563132</v>
      </c>
      <c r="U35" s="443">
        <f>平成20年度!H35/平成20年度!S35</f>
        <v>0.25104941611702924</v>
      </c>
      <c r="V35" s="444">
        <f>平成20年度!L35/平成20年度!H35</f>
        <v>7.945942524370174E-2</v>
      </c>
      <c r="AA35" s="445"/>
    </row>
    <row r="36" spans="2:35" s="446" customFormat="1" ht="20.149999999999999" customHeight="1" thickBot="1" x14ac:dyDescent="0.25">
      <c r="B36" s="447" t="s">
        <v>53</v>
      </c>
      <c r="C36" s="448">
        <f>C35/12</f>
        <v>44190.416666666664</v>
      </c>
      <c r="D36" s="449">
        <f t="shared" ref="D36:S36" si="3">D35/12</f>
        <v>41147</v>
      </c>
      <c r="E36" s="449">
        <f t="shared" si="3"/>
        <v>40189.416666666664</v>
      </c>
      <c r="F36" s="449">
        <f t="shared" si="3"/>
        <v>957.58333333333337</v>
      </c>
      <c r="G36" s="450">
        <f t="shared" si="3"/>
        <v>3043.4166666666665</v>
      </c>
      <c r="H36" s="448">
        <f t="shared" si="3"/>
        <v>78990</v>
      </c>
      <c r="I36" s="449">
        <f t="shared" si="3"/>
        <v>72713.5</v>
      </c>
      <c r="J36" s="449">
        <f t="shared" si="3"/>
        <v>47031.166666666664</v>
      </c>
      <c r="K36" s="449">
        <f t="shared" si="3"/>
        <v>25682.333333333332</v>
      </c>
      <c r="L36" s="449">
        <f t="shared" si="3"/>
        <v>6276.5</v>
      </c>
      <c r="M36" s="449">
        <f t="shared" si="3"/>
        <v>4185.666666666667</v>
      </c>
      <c r="N36" s="451">
        <f t="shared" si="3"/>
        <v>2090.8333333333335</v>
      </c>
      <c r="O36" s="448">
        <f t="shared" si="3"/>
        <v>27172.916666666668</v>
      </c>
      <c r="P36" s="449">
        <f t="shared" si="3"/>
        <v>22537.416666666668</v>
      </c>
      <c r="Q36" s="451">
        <f t="shared" si="3"/>
        <v>4635.5</v>
      </c>
      <c r="R36" s="448">
        <f t="shared" si="3"/>
        <v>125856.08333333333</v>
      </c>
      <c r="S36" s="449">
        <f t="shared" si="3"/>
        <v>314639.25</v>
      </c>
      <c r="T36" s="452">
        <f>平成20年度!C36/平成20年度!R36</f>
        <v>0.35111863881563132</v>
      </c>
      <c r="U36" s="453">
        <f>平成20年度!H36/平成20年度!S36</f>
        <v>0.25104941611702924</v>
      </c>
      <c r="V36" s="454">
        <f>平成20年度!L36/平成20年度!H36</f>
        <v>7.945942524370174E-2</v>
      </c>
      <c r="X36" s="455"/>
      <c r="Y36" s="455"/>
      <c r="Z36" s="455"/>
      <c r="AA36" s="455"/>
    </row>
    <row r="37" spans="2:35" s="404" customFormat="1" ht="20.149999999999999" customHeight="1" thickTop="1" x14ac:dyDescent="0.2">
      <c r="B37" s="456" t="s">
        <v>67</v>
      </c>
      <c r="C37" s="457">
        <f>平成20年度!C2+平成20年度!C31</f>
        <v>554304</v>
      </c>
      <c r="D37" s="458">
        <f>平成20年度!D2+平成20年度!D31</f>
        <v>499174</v>
      </c>
      <c r="E37" s="459">
        <f>平成20年度!E2+平成20年度!E31</f>
        <v>482485</v>
      </c>
      <c r="F37" s="459">
        <f>平成20年度!F2+平成20年度!F31</f>
        <v>16689</v>
      </c>
      <c r="G37" s="460">
        <f>平成20年度!G2+平成20年度!G31</f>
        <v>55130</v>
      </c>
      <c r="H37" s="457">
        <f>平成20年度!H2+平成20年度!H31</f>
        <v>996274</v>
      </c>
      <c r="I37" s="458">
        <f>平成20年度!I2+平成20年度!I31</f>
        <v>880929</v>
      </c>
      <c r="J37" s="459">
        <f>平成20年度!J2+平成20年度!J31</f>
        <v>579890</v>
      </c>
      <c r="K37" s="459">
        <f>平成20年度!K2+平成20年度!K31</f>
        <v>301039</v>
      </c>
      <c r="L37" s="459">
        <f>平成20年度!L2+平成20年度!L31</f>
        <v>115345</v>
      </c>
      <c r="M37" s="459">
        <f>平成20年度!M2+平成20年度!M31</f>
        <v>77458</v>
      </c>
      <c r="N37" s="461">
        <f>平成20年度!N2+平成20年度!N31</f>
        <v>37887</v>
      </c>
      <c r="O37" s="462">
        <f>平成20年度!O2+平成20年度!O31</f>
        <v>328202</v>
      </c>
      <c r="P37" s="461">
        <f>平成20年度!P2+平成20年度!P31</f>
        <v>266527</v>
      </c>
      <c r="Q37" s="460">
        <f>平成20年度!Q2+平成20年度!Q31</f>
        <v>61675</v>
      </c>
      <c r="R37" s="463">
        <f>平成20年度!R2+平成20年度!R31</f>
        <v>1506366</v>
      </c>
      <c r="S37" s="458">
        <f>平成20年度!S2+平成20年度!S31</f>
        <v>3773616</v>
      </c>
      <c r="T37" s="464">
        <f>平成20年度!C37/平成20年度!R37</f>
        <v>0.36797431699865768</v>
      </c>
      <c r="U37" s="464">
        <f>平成20年度!H37/平成20年度!S37</f>
        <v>0.26401043455401929</v>
      </c>
      <c r="V37" s="465">
        <f>平成20年度!L37/平成20年度!H37</f>
        <v>0.11577638280232146</v>
      </c>
      <c r="AA37" s="445"/>
    </row>
    <row r="38" spans="2:35" s="404" customFormat="1" ht="20.149999999999999" customHeight="1" thickBot="1" x14ac:dyDescent="0.25">
      <c r="B38" s="466" t="s">
        <v>53</v>
      </c>
      <c r="C38" s="467" t="e">
        <f>#VALUE!</f>
        <v>#VALUE!</v>
      </c>
      <c r="D38" s="468" t="e">
        <f>#VALUE!</f>
        <v>#VALUE!</v>
      </c>
      <c r="E38" s="469" t="e">
        <f>#VALUE!</f>
        <v>#VALUE!</v>
      </c>
      <c r="F38" s="469" t="e">
        <f>#VALUE!</f>
        <v>#VALUE!</v>
      </c>
      <c r="G38" s="470" t="e">
        <f>#VALUE!</f>
        <v>#VALUE!</v>
      </c>
      <c r="H38" s="467" t="e">
        <f>#VALUE!</f>
        <v>#VALUE!</v>
      </c>
      <c r="I38" s="468" t="e">
        <f>#VALUE!</f>
        <v>#VALUE!</v>
      </c>
      <c r="J38" s="469" t="e">
        <f>#VALUE!</f>
        <v>#VALUE!</v>
      </c>
      <c r="K38" s="469" t="e">
        <f>#VALUE!</f>
        <v>#VALUE!</v>
      </c>
      <c r="L38" s="469" t="e">
        <f>#VALUE!</f>
        <v>#VALUE!</v>
      </c>
      <c r="M38" s="469" t="e">
        <f>#VALUE!</f>
        <v>#VALUE!</v>
      </c>
      <c r="N38" s="471" t="e">
        <f>#VALUE!</f>
        <v>#VALUE!</v>
      </c>
      <c r="O38" s="472" t="e">
        <f>#VALUE!</f>
        <v>#VALUE!</v>
      </c>
      <c r="P38" s="471" t="e">
        <f>#VALUE!</f>
        <v>#VALUE!</v>
      </c>
      <c r="Q38" s="470" t="e">
        <f>#VALUE!</f>
        <v>#VALUE!</v>
      </c>
      <c r="R38" s="473" t="e">
        <f>#VALUE!</f>
        <v>#VALUE!</v>
      </c>
      <c r="S38" s="468" t="e">
        <f>#VALUE!</f>
        <v>#VALUE!</v>
      </c>
      <c r="T38" s="474" t="e">
        <f>平成20年度!C38/平成20年度!R38</f>
        <v>#VALUE!</v>
      </c>
      <c r="U38" s="474" t="e">
        <f>平成20年度!H38/平成20年度!S38</f>
        <v>#VALUE!</v>
      </c>
      <c r="V38" s="475" t="e">
        <f>平成20年度!L38/平成20年度!H38</f>
        <v>#VALUE!</v>
      </c>
      <c r="X38" s="476"/>
      <c r="Y38" s="476"/>
    </row>
    <row r="39" spans="2:35" ht="20.149999999999999" customHeight="1" thickTop="1" x14ac:dyDescent="0.2"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2:35" ht="20.149999999999999" customHeight="1" x14ac:dyDescent="0.2">
      <c r="B40" s="1" t="s">
        <v>475</v>
      </c>
      <c r="J40" s="1" t="s">
        <v>1152</v>
      </c>
      <c r="R40" s="1">
        <v>29298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2:35" ht="20.149999999999999" customHeight="1" x14ac:dyDescent="0.2">
      <c r="C41" s="1" t="s">
        <v>682</v>
      </c>
      <c r="D41" s="1" t="s">
        <v>1483</v>
      </c>
      <c r="E41" s="1" t="s">
        <v>1484</v>
      </c>
      <c r="F41" s="1" t="s">
        <v>1485</v>
      </c>
      <c r="K41" s="1" t="s">
        <v>405</v>
      </c>
      <c r="L41" s="1" t="s">
        <v>1160</v>
      </c>
      <c r="M41" s="1" t="s">
        <v>817</v>
      </c>
      <c r="N41" s="1" t="s">
        <v>907</v>
      </c>
      <c r="R41" s="1" t="s">
        <v>1158</v>
      </c>
    </row>
    <row r="42" spans="2:35" ht="20.149999999999999" customHeight="1" x14ac:dyDescent="0.2"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ROUND(+平成20年度!R43*平成20年度!N42,0)</f>
        <v>27605</v>
      </c>
      <c r="S42" s="1" t="s">
        <v>1165</v>
      </c>
      <c r="W42" s="117"/>
      <c r="X42" s="117"/>
      <c r="AD42" s="119"/>
    </row>
    <row r="43" spans="2:35" ht="20.149999999999999" customHeight="1" x14ac:dyDescent="0.2"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ROUND((+平成14年度!K19+平成20年度!K27)/6,0)</f>
        <v>25704</v>
      </c>
      <c r="L43" s="1">
        <f>ROUND(+平成20年度!L42/平成20年度!K42,4)</f>
        <v>0.99850000000000005</v>
      </c>
      <c r="M43" s="1">
        <f>ROUND(+平成20年度!M42/平成20年度!L42,4)</f>
        <v>1.0199</v>
      </c>
      <c r="N43" s="1">
        <f>平成20年度!M43</f>
        <v>1.0199</v>
      </c>
      <c r="R43" s="1">
        <f>ROUND((平成20年度!M43+平成20年度!N43)/2,4)</f>
        <v>1.0199</v>
      </c>
      <c r="Y43" s="117"/>
    </row>
    <row r="44" spans="2:35" ht="20.149999999999999" customHeight="1" x14ac:dyDescent="0.2">
      <c r="B44" s="121" t="s">
        <v>482</v>
      </c>
      <c r="C44" s="121"/>
      <c r="D44" s="122">
        <f>平成20年度!D43/平成20年度!C43</f>
        <v>1.0781186534811042</v>
      </c>
      <c r="E44" s="122">
        <f>平成20年度!E43/平成20年度!D43</f>
        <v>1.0713588239364606</v>
      </c>
      <c r="F44" s="123">
        <f>ROUND(+平成20年度!F43/平成20年度!E43,4)</f>
        <v>1.0658000000000001</v>
      </c>
      <c r="G44" s="123">
        <f>ROUND(+平成20年度!G43/平成20年度!F43,4)</f>
        <v>1.0385</v>
      </c>
      <c r="J44" s="1" t="s">
        <v>1168</v>
      </c>
      <c r="K44" s="1">
        <f>ROUND(+平成20年度!K46/平成20年度!K42,4)</f>
        <v>0.99309999999999998</v>
      </c>
      <c r="L44" s="1">
        <f>ROUND(+平成20年度!L46/平成20年度!L42,4)</f>
        <v>0.99739999999999995</v>
      </c>
      <c r="M44" s="1">
        <f>ROUND(+平成20年度!M46/平成20年度!M42,4)</f>
        <v>1.0001</v>
      </c>
      <c r="N44" s="1">
        <f>平成20年度!M44</f>
        <v>1.0001</v>
      </c>
      <c r="R44" s="1">
        <f>ROUND((+平成20年度!N44+平成20年度!M44)/2,4)</f>
        <v>1.0001</v>
      </c>
      <c r="W44" s="117"/>
      <c r="X44" s="124" t="s">
        <v>275</v>
      </c>
      <c r="Z44" s="125" t="str">
        <f>平成20年度!C3</f>
        <v>平成20年度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</row>
    <row r="45" spans="2:35" ht="20.149999999999999" customHeight="1" x14ac:dyDescent="0.25"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ROUND(+平成20年度!F46*平成20年度!G43,0)</f>
        <v>25966</v>
      </c>
      <c r="H45" s="126">
        <f>平成20年度!G45*平成20年度!G47</f>
        <v>26965.690999999999</v>
      </c>
      <c r="N45" s="3">
        <f>ROUND(+平成20年度!N44*平成20年度!N42,0)</f>
        <v>27069</v>
      </c>
      <c r="O45" s="3"/>
      <c r="P45" s="3"/>
      <c r="Q45" s="3"/>
      <c r="R45" s="3">
        <f>ROUND(+平成20年度!R42*平成20年度!R44,0)</f>
        <v>27608</v>
      </c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</row>
    <row r="46" spans="2:35" ht="20.149999999999999" customHeight="1" x14ac:dyDescent="0.2">
      <c r="B46" s="121" t="s">
        <v>498</v>
      </c>
      <c r="C46" s="122">
        <f>平成20年度!C45/平成20年度!C43</f>
        <v>1.0183691570579507</v>
      </c>
      <c r="D46" s="122">
        <f>平成20年度!D45/平成20年度!D43</f>
        <v>1.0172149991157995</v>
      </c>
      <c r="E46" s="122">
        <f>平成20年度!E45/平成20年度!E43</f>
        <v>1.0149703606952676</v>
      </c>
      <c r="F46" s="122">
        <f>ROUND(+平成20年度!F45/平成20年度!F43,4)</f>
        <v>1.0102</v>
      </c>
      <c r="G46" s="122">
        <f>ROUND((+平成20年度!E46+平成20年度!F46)/2,4)</f>
        <v>1.0125999999999999</v>
      </c>
      <c r="J46" s="1" t="s">
        <v>1185</v>
      </c>
      <c r="K46" s="118">
        <v>25949</v>
      </c>
      <c r="L46" s="118">
        <v>26021</v>
      </c>
      <c r="M46" s="118">
        <v>26608</v>
      </c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</row>
    <row r="47" spans="2:35" ht="20.149999999999999" customHeight="1" x14ac:dyDescent="0.2">
      <c r="B47" s="121" t="s">
        <v>509</v>
      </c>
      <c r="C47" s="121"/>
      <c r="D47" s="122">
        <f>平成20年度!D45/平成20年度!C45</f>
        <v>1.076896779077434</v>
      </c>
      <c r="E47" s="122">
        <f>平成20年度!E45/平成20年度!D45</f>
        <v>1.0689947089947089</v>
      </c>
      <c r="F47" s="122">
        <f>ROUND(+平成20年度!F45/平成20年度!E45,4)</f>
        <v>1.0608</v>
      </c>
      <c r="G47" s="122">
        <f>ROUND(+平成20年度!G45/平成20年度!F45,4)</f>
        <v>1.0385</v>
      </c>
      <c r="L47" s="1">
        <f>ROUND(+平成20年度!L46/平成20年度!K46,4)</f>
        <v>1.0027999999999999</v>
      </c>
      <c r="M47" s="1">
        <f>ROUND(+平成20年度!M46/平成20年度!L46,4)</f>
        <v>1.0226</v>
      </c>
      <c r="N47" s="1">
        <f>平成20年度!M47</f>
        <v>1.0226</v>
      </c>
      <c r="R47" s="1">
        <f>平成20年度!N47</f>
        <v>1.0226</v>
      </c>
      <c r="W47" s="117"/>
      <c r="X47" s="142"/>
      <c r="Y47" s="143"/>
      <c r="Z47" s="144"/>
      <c r="AA47" s="144"/>
      <c r="AB47" s="144"/>
      <c r="AC47" s="145"/>
      <c r="AD47" s="146">
        <f>平成20年度!M8</f>
        <v>3261</v>
      </c>
      <c r="AE47" s="144" t="s">
        <v>275</v>
      </c>
      <c r="AF47" s="144"/>
      <c r="AG47" s="147"/>
      <c r="AH47" s="147"/>
      <c r="AI47" s="148"/>
    </row>
    <row r="48" spans="2:35" ht="20.149999999999999" customHeight="1" x14ac:dyDescent="0.2">
      <c r="J48" s="1" t="s">
        <v>1198</v>
      </c>
      <c r="N48" s="3">
        <f>ROUND(+平成20年度!M46*平成20年度!N47,0)</f>
        <v>27209</v>
      </c>
      <c r="O48" s="3"/>
      <c r="P48" s="3"/>
      <c r="Q48" s="3"/>
      <c r="R48" s="149">
        <f>ROUND(+平成20年度!N48*平成20年度!R47,0)</f>
        <v>27824</v>
      </c>
      <c r="W48" s="117" t="s">
        <v>308</v>
      </c>
      <c r="X48" s="134" t="s">
        <v>40</v>
      </c>
      <c r="Y48" s="150">
        <f>平成20年度!C8</f>
        <v>43490</v>
      </c>
      <c r="Z48" s="151">
        <f>平成20年度!H8</f>
        <v>77940</v>
      </c>
      <c r="AA48" s="151">
        <f>平成20年度!Z48-平成20年度!AB48-平成20年度!AC48</f>
        <v>47283</v>
      </c>
      <c r="AB48" s="151">
        <f>平成20年度!K8</f>
        <v>25700</v>
      </c>
      <c r="AC48" s="152">
        <f>平成20年度!AD47+平成20年度!AD48</f>
        <v>4957</v>
      </c>
      <c r="AD48" s="153">
        <f>平成20年度!N8</f>
        <v>1696</v>
      </c>
      <c r="AE48" s="151">
        <f>平成20年度!R8</f>
        <v>125257</v>
      </c>
      <c r="AF48" s="150">
        <f>平成20年度!S8</f>
        <v>314181</v>
      </c>
      <c r="AG48" s="154">
        <f>平成20年度!Y48/+平成20年度!AE48</f>
        <v>0.34720614416759144</v>
      </c>
      <c r="AH48" s="155">
        <f>平成20年度!Z48/+平成20年度!AF48</f>
        <v>0.24807356269156952</v>
      </c>
      <c r="AI48" s="156">
        <f>平成20年度!AC48/+平成20年度!Z48</f>
        <v>6.3600205286117525E-2</v>
      </c>
    </row>
    <row r="49" spans="1:35" ht="20.149999999999999" customHeight="1" x14ac:dyDescent="0.2">
      <c r="G49" s="99" t="s">
        <v>940</v>
      </c>
      <c r="H49" s="99" t="s">
        <v>940</v>
      </c>
      <c r="W49" s="117"/>
      <c r="X49" s="142"/>
      <c r="Y49" s="143" t="s">
        <v>275</v>
      </c>
      <c r="Z49" s="144"/>
      <c r="AA49" s="144"/>
      <c r="AB49" s="144"/>
      <c r="AC49" s="157"/>
      <c r="AD49" s="146">
        <f>平成20年度!M9</f>
        <v>3198</v>
      </c>
      <c r="AE49" s="144"/>
      <c r="AF49" s="143"/>
      <c r="AG49" s="158"/>
      <c r="AH49" s="147"/>
      <c r="AI49" s="159"/>
    </row>
    <row r="50" spans="1:35" ht="20.149999999999999" customHeight="1" x14ac:dyDescent="0.2">
      <c r="G50" s="160">
        <f>IF(+平成20年度!G45&gt;0,ROUNDUP(+平成20年度!G45,-2),ROUNDDOWN(+平成20年度!G45,-2))</f>
        <v>26000</v>
      </c>
      <c r="H50" s="160">
        <f>IF(+平成20年度!H45&gt;0,ROUNDUP(+平成20年度!H45,-2),ROUNDDOWN(+平成20年度!H45,-2))</f>
        <v>27000</v>
      </c>
      <c r="W50" s="117"/>
      <c r="X50" s="134" t="s">
        <v>41</v>
      </c>
      <c r="Y50" s="150">
        <f>平成20年度!C9</f>
        <v>43473</v>
      </c>
      <c r="Z50" s="151">
        <f>平成20年度!H9</f>
        <v>77751</v>
      </c>
      <c r="AA50" s="151">
        <f>平成20年度!Z50-平成20年度!AB50-平成20年度!AC50</f>
        <v>47129</v>
      </c>
      <c r="AB50" s="151">
        <f>平成20年度!K9</f>
        <v>25774</v>
      </c>
      <c r="AC50" s="152">
        <f>平成20年度!AD49+平成20年度!AD50</f>
        <v>4848</v>
      </c>
      <c r="AD50" s="153">
        <f>平成20年度!N9</f>
        <v>1650</v>
      </c>
      <c r="AE50" s="151">
        <f>平成20年度!R9</f>
        <v>125489</v>
      </c>
      <c r="AF50" s="150">
        <f>平成20年度!S9</f>
        <v>314391</v>
      </c>
      <c r="AG50" s="154">
        <f>平成20年度!Y50/+平成20年度!AE50</f>
        <v>0.34642877064922023</v>
      </c>
      <c r="AH50" s="155">
        <f>平成20年度!Z50/+平成20年度!AF50</f>
        <v>0.24730669771081235</v>
      </c>
      <c r="AI50" s="156">
        <f>平成20年度!AC50/+平成20年度!Z50</f>
        <v>6.2352895782690897E-2</v>
      </c>
    </row>
    <row r="51" spans="1:35" ht="20.149999999999999" customHeight="1" x14ac:dyDescent="0.2">
      <c r="A51" s="161" t="s">
        <v>1205</v>
      </c>
      <c r="K51" s="1" t="s">
        <v>405</v>
      </c>
      <c r="L51" s="1" t="s">
        <v>1160</v>
      </c>
      <c r="M51" s="1" t="s">
        <v>817</v>
      </c>
      <c r="N51" s="1" t="s">
        <v>907</v>
      </c>
      <c r="R51" s="1" t="s">
        <v>1158</v>
      </c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平成20年度!M10</f>
        <v>3164</v>
      </c>
      <c r="AE51" s="144"/>
      <c r="AF51" s="144"/>
      <c r="AG51" s="147" t="s">
        <v>275</v>
      </c>
      <c r="AH51" s="147" t="s">
        <v>275</v>
      </c>
      <c r="AI51" s="148" t="s">
        <v>275</v>
      </c>
    </row>
    <row r="52" spans="1:35" ht="20.149999999999999" customHeight="1" x14ac:dyDescent="0.2">
      <c r="A52" s="1" t="s">
        <v>1217</v>
      </c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W52" s="117"/>
      <c r="X52" s="134" t="s">
        <v>42</v>
      </c>
      <c r="Y52" s="150">
        <f>平成20年度!C10</f>
        <v>43376</v>
      </c>
      <c r="Z52" s="151">
        <f>平成20年度!H10</f>
        <v>77543</v>
      </c>
      <c r="AA52" s="151">
        <f>平成20年度!Z52-平成20年度!AB52-平成20年度!AC52</f>
        <v>46911</v>
      </c>
      <c r="AB52" s="151">
        <f>平成20年度!K10</f>
        <v>25851</v>
      </c>
      <c r="AC52" s="152">
        <f>平成20年度!AD51+平成20年度!AD52</f>
        <v>4781</v>
      </c>
      <c r="AD52" s="153">
        <f>平成20年度!N10</f>
        <v>1617</v>
      </c>
      <c r="AE52" s="151">
        <f>平成20年度!R10</f>
        <v>125639</v>
      </c>
      <c r="AF52" s="150">
        <f>平成20年度!S10</f>
        <v>314539</v>
      </c>
      <c r="AG52" s="154">
        <f>平成20年度!Y52/+平成20年度!AE52</f>
        <v>0.34524311718495054</v>
      </c>
      <c r="AH52" s="155">
        <f>平成20年度!Z52/+平成20年度!AF52</f>
        <v>0.24652904727235733</v>
      </c>
      <c r="AI52" s="156">
        <f>平成20年度!AC52/+平成20年度!Z52</f>
        <v>6.165611338225243E-2</v>
      </c>
    </row>
    <row r="53" spans="1:35" ht="20.149999999999999" customHeight="1" x14ac:dyDescent="0.2">
      <c r="K53" s="1">
        <v>48779</v>
      </c>
      <c r="L53" s="1">
        <v>48738</v>
      </c>
      <c r="M53" s="1">
        <v>49951</v>
      </c>
      <c r="N53" s="1">
        <v>50707</v>
      </c>
      <c r="W53" s="117"/>
      <c r="X53" s="142"/>
      <c r="Y53" s="143"/>
      <c r="Z53" s="144"/>
      <c r="AA53" s="144" t="s">
        <v>275</v>
      </c>
      <c r="AB53" s="144"/>
      <c r="AC53" s="157"/>
      <c r="AD53" s="146">
        <f>平成20年度!M11</f>
        <v>3187</v>
      </c>
      <c r="AE53" s="144"/>
      <c r="AF53" s="143"/>
      <c r="AG53" s="158" t="s">
        <v>275</v>
      </c>
      <c r="AH53" s="147" t="s">
        <v>275</v>
      </c>
      <c r="AI53" s="159" t="s">
        <v>275</v>
      </c>
    </row>
    <row r="54" spans="1:35" ht="20.149999999999999" customHeight="1" x14ac:dyDescent="0.2"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ROUND(SUM(+平成20年度!S8:S12)/5,0)</f>
        <v>#VALUE!</v>
      </c>
      <c r="W54" s="117"/>
      <c r="X54" s="134" t="s">
        <v>43</v>
      </c>
      <c r="Y54" s="150">
        <f>平成20年度!C11</f>
        <v>43316</v>
      </c>
      <c r="Z54" s="151">
        <f>平成20年度!H11</f>
        <v>77339</v>
      </c>
      <c r="AA54" s="151">
        <f>平成20年度!Z54-平成20年度!AB54-平成20年度!AC54</f>
        <v>46671</v>
      </c>
      <c r="AB54" s="151">
        <f>平成20年度!K11</f>
        <v>25866</v>
      </c>
      <c r="AC54" s="152">
        <f>平成20年度!AD53+平成20年度!AD54</f>
        <v>4802</v>
      </c>
      <c r="AD54" s="153">
        <f>平成20年度!N11</f>
        <v>1615</v>
      </c>
      <c r="AE54" s="151">
        <f>平成20年度!R11</f>
        <v>125861</v>
      </c>
      <c r="AF54" s="150">
        <f>平成20年度!S11</f>
        <v>314740</v>
      </c>
      <c r="AG54" s="154">
        <f>平成20年度!Y54/+平成20年度!AE54</f>
        <v>0.34415744352897243</v>
      </c>
      <c r="AH54" s="155">
        <f>平成20年度!Z54/+平成20年度!AF54</f>
        <v>0.24572345427972295</v>
      </c>
      <c r="AI54" s="156">
        <f>平成20年度!AC54/+平成20年度!Z54</f>
        <v>6.209027786757005E-2</v>
      </c>
    </row>
    <row r="55" spans="1:35" ht="20.149999999999999" customHeight="1" x14ac:dyDescent="0.2">
      <c r="B55" s="121" t="s">
        <v>1232</v>
      </c>
      <c r="C55" s="121"/>
      <c r="D55" s="122" t="e">
        <f>平成20年度!D54/平成20年度!C54</f>
        <v>#VALUE!</v>
      </c>
      <c r="E55" s="122" t="e">
        <f>平成20年度!E54/平成20年度!D54</f>
        <v>#VALUE!</v>
      </c>
      <c r="F55" s="123" t="e">
        <f>ROUND(+平成20年度!F54/平成20年度!E54,4)</f>
        <v>#VALUE!</v>
      </c>
      <c r="G55" s="123" t="e">
        <f>ROUND(+平成20年度!G54/平成20年度!F54,4)</f>
        <v>#VALUE!</v>
      </c>
      <c r="H55" s="123" t="e">
        <f>ROUND(+平成20年度!H54/平成20年度!G54,4)</f>
        <v>#VALUE!</v>
      </c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ROUND(ROUND(+平成20年度!M55/平成20年度!L55,4)*平成20年度!M55,0)</f>
        <v>27209</v>
      </c>
      <c r="W55" s="117"/>
      <c r="X55" s="142"/>
      <c r="Y55" s="143"/>
      <c r="Z55" s="144"/>
      <c r="AA55" s="144" t="s">
        <v>275</v>
      </c>
      <c r="AB55" s="144"/>
      <c r="AC55" s="145"/>
      <c r="AD55" s="146">
        <f>平成20年度!M12</f>
        <v>3146</v>
      </c>
      <c r="AE55" s="144"/>
      <c r="AF55" s="144"/>
      <c r="AG55" s="147" t="s">
        <v>275</v>
      </c>
      <c r="AH55" s="147" t="s">
        <v>275</v>
      </c>
      <c r="AI55" s="148" t="s">
        <v>275</v>
      </c>
    </row>
    <row r="56" spans="1:35" ht="20.149999999999999" customHeight="1" x14ac:dyDescent="0.25"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K56" s="1">
        <v>48708</v>
      </c>
      <c r="L56" s="1">
        <v>49113</v>
      </c>
      <c r="M56" s="1">
        <v>50246</v>
      </c>
      <c r="N56" s="1">
        <f>ROUND(ROUND(+平成20年度!M56/平成20年度!L56,4)*平成20年度!M56,0)</f>
        <v>51407</v>
      </c>
      <c r="W56" s="117"/>
      <c r="X56" s="134" t="s">
        <v>44</v>
      </c>
      <c r="Y56" s="150">
        <f>平成20年度!C12</f>
        <v>43339</v>
      </c>
      <c r="Z56" s="151">
        <f>平成20年度!H12</f>
        <v>77337</v>
      </c>
      <c r="AA56" s="151">
        <f>平成20年度!Z56-平成20年度!AB56-平成20年度!AC56</f>
        <v>46609</v>
      </c>
      <c r="AB56" s="151">
        <f>平成20年度!K12</f>
        <v>25995</v>
      </c>
      <c r="AC56" s="152">
        <f>平成20年度!AD55+平成20年度!AD56</f>
        <v>4733</v>
      </c>
      <c r="AD56" s="153">
        <f>平成20年度!N12</f>
        <v>1587</v>
      </c>
      <c r="AE56" s="151">
        <f>平成20年度!R12</f>
        <v>125963</v>
      </c>
      <c r="AF56" s="150">
        <f>平成20年度!S12</f>
        <v>314874</v>
      </c>
      <c r="AG56" s="154">
        <f>平成20年度!Y56/+平成20年度!AE56</f>
        <v>0.34406135134920574</v>
      </c>
      <c r="AH56" s="155">
        <f>平成20年度!Z56/+平成20年度!AF56</f>
        <v>0.24561253072657635</v>
      </c>
      <c r="AI56" s="156">
        <f>平成20年度!AC56/+平成20年度!Z56</f>
        <v>6.1199684497717781E-2</v>
      </c>
    </row>
    <row r="57" spans="1:35" ht="20.149999999999999" customHeight="1" x14ac:dyDescent="0.2">
      <c r="B57" s="121" t="s">
        <v>1241</v>
      </c>
      <c r="C57" s="122" t="e">
        <f>平成20年度!C56/平成20年度!C54</f>
        <v>#VALUE!</v>
      </c>
      <c r="D57" s="122" t="e">
        <f>平成20年度!D56/平成20年度!D54</f>
        <v>#VALUE!</v>
      </c>
      <c r="E57" s="122" t="e">
        <f>平成20年度!E56/平成20年度!E54</f>
        <v>#VALUE!</v>
      </c>
      <c r="F57" s="122" t="e">
        <f>ROUND(+平成20年度!F56/平成20年度!F54,4)</f>
        <v>#VALUE!</v>
      </c>
      <c r="G57" s="122" t="e">
        <f>ROUND((+平成20年度!E57+平成20年度!F57)/2,4)</f>
        <v>#VALUE!</v>
      </c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R57" s="1" t="s">
        <v>1247</v>
      </c>
      <c r="S57" s="1" t="s">
        <v>1248</v>
      </c>
      <c r="W57" s="117"/>
      <c r="X57" s="142"/>
      <c r="Y57" s="143"/>
      <c r="Z57" s="144"/>
      <c r="AA57" s="144" t="s">
        <v>275</v>
      </c>
      <c r="AB57" s="144"/>
      <c r="AC57" s="145"/>
      <c r="AD57" s="146">
        <f>平成20年度!M13</f>
        <v>3083</v>
      </c>
      <c r="AE57" s="144"/>
      <c r="AF57" s="144"/>
      <c r="AG57" s="147" t="s">
        <v>275</v>
      </c>
      <c r="AH57" s="147" t="s">
        <v>275</v>
      </c>
      <c r="AI57" s="148" t="s">
        <v>275</v>
      </c>
    </row>
    <row r="58" spans="1:35" ht="20.149999999999999" customHeight="1" x14ac:dyDescent="0.2">
      <c r="B58" s="121" t="s">
        <v>509</v>
      </c>
      <c r="C58" s="121"/>
      <c r="D58" s="122" t="e">
        <f>平成20年度!D56/平成20年度!C56</f>
        <v>#VALUE!</v>
      </c>
      <c r="E58" s="122" t="e">
        <f>平成20年度!E56/平成20年度!D56</f>
        <v>#VALUE!</v>
      </c>
      <c r="F58" s="122" t="e">
        <f>ROUND(+平成20年度!F56/平成20年度!E56,4)</f>
        <v>#VALUE!</v>
      </c>
      <c r="G58" s="122" t="e">
        <f>ROUND(+平成20年度!G56/平成20年度!F56,4)</f>
        <v>#VALUE!</v>
      </c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W58" s="117"/>
      <c r="X58" s="134" t="s">
        <v>45</v>
      </c>
      <c r="Y58" s="150">
        <f>平成20年度!C13</f>
        <v>43235</v>
      </c>
      <c r="Z58" s="151">
        <f>平成20年度!H13</f>
        <v>77023</v>
      </c>
      <c r="AA58" s="151">
        <f>平成20年度!Z58-平成20年度!AB58-平成20年度!AC58</f>
        <v>46305</v>
      </c>
      <c r="AB58" s="151">
        <f>平成20年度!K13</f>
        <v>26059</v>
      </c>
      <c r="AC58" s="152">
        <f>平成20年度!AD57+平成20年度!AD58</f>
        <v>4659</v>
      </c>
      <c r="AD58" s="153">
        <f>平成20年度!N13</f>
        <v>1576</v>
      </c>
      <c r="AE58" s="151">
        <f>平成20年度!R13</f>
        <v>126013</v>
      </c>
      <c r="AF58" s="150">
        <f>平成20年度!S13</f>
        <v>314805</v>
      </c>
      <c r="AG58" s="154">
        <f>平成20年度!Y58/+平成20年度!AE58</f>
        <v>0.34309952147794276</v>
      </c>
      <c r="AH58" s="155">
        <f>平成20年度!Z58/+平成20年度!AF58</f>
        <v>0.24466892203109861</v>
      </c>
      <c r="AI58" s="156">
        <f>平成20年度!AC58/+平成20年度!Z58</f>
        <v>6.0488425535229734E-2</v>
      </c>
    </row>
    <row r="59" spans="1:35" ht="20.149999999999999" customHeight="1" x14ac:dyDescent="0.2">
      <c r="J59" s="36">
        <v>1</v>
      </c>
      <c r="K59" s="36">
        <f>ROUND(+平成20年度!K58/平成20年度!J58,4)</f>
        <v>0.99309999999999998</v>
      </c>
      <c r="L59" s="36">
        <f>ROUND(+平成20年度!L58/平成20年度!K58,4)</f>
        <v>1.0054000000000001</v>
      </c>
      <c r="M59" s="36">
        <f>ROUND(+平成20年度!M58/平成20年度!L58,4)</f>
        <v>0.99739999999999995</v>
      </c>
      <c r="N59" s="36">
        <f>ROUND(+平成20年度!N58/平成20年度!M58,4)</f>
        <v>1.0225</v>
      </c>
      <c r="O59" s="36"/>
      <c r="P59" s="36"/>
      <c r="Q59" s="36"/>
      <c r="R59" s="36">
        <f>ROUND(+平成20年度!R58/平成20年度!N58,4)</f>
        <v>1.0001</v>
      </c>
      <c r="S59" s="36">
        <f>ROUND(+平成20年度!S58/平成20年度!R58,4)</f>
        <v>1.0172000000000001</v>
      </c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平成20年度!M14</f>
        <v>3041</v>
      </c>
      <c r="AE59" s="144"/>
      <c r="AF59" s="144"/>
      <c r="AG59" s="147" t="s">
        <v>275</v>
      </c>
      <c r="AH59" s="147" t="s">
        <v>275</v>
      </c>
      <c r="AI59" s="148" t="s">
        <v>275</v>
      </c>
    </row>
    <row r="60" spans="1:35" ht="20.149999999999999" customHeight="1" x14ac:dyDescent="0.2">
      <c r="D60" s="1" t="e">
        <f>平成20年度!C57*平成20年度!D54</f>
        <v>#VALUE!</v>
      </c>
      <c r="E60" s="1" t="e">
        <f>平成20年度!D57*平成20年度!E54</f>
        <v>#VALUE!</v>
      </c>
      <c r="F60" s="1" t="e">
        <f>平成20年度!E57*平成20年度!F54</f>
        <v>#VALUE!</v>
      </c>
      <c r="G60" s="1" t="e">
        <f>平成20年度!F57*平成20年度!G54</f>
        <v>#VALUE!</v>
      </c>
      <c r="H60" s="162" t="e">
        <f>IF(+平成20年度!G57*平成20年度!H54&gt;0,ROUNDDOWN(+平成20年度!G57*平成20年度!H54,-2),ROUNDUP(+平成20年度!G57*平成20年度!H54,-2))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R60" s="1">
        <v>50246</v>
      </c>
      <c r="S60" s="1">
        <v>50707</v>
      </c>
      <c r="W60" s="117"/>
      <c r="X60" s="134" t="s">
        <v>46</v>
      </c>
      <c r="Y60" s="150">
        <f>平成20年度!C14</f>
        <v>43178</v>
      </c>
      <c r="Z60" s="151">
        <f>平成20年度!H14</f>
        <v>76886</v>
      </c>
      <c r="AA60" s="151">
        <f>平成20年度!Z60-平成20年度!AB60-平成20年度!AC60</f>
        <v>46241</v>
      </c>
      <c r="AB60" s="151">
        <f>平成20年度!K14</f>
        <v>26049</v>
      </c>
      <c r="AC60" s="152">
        <f>平成20年度!AD59+平成20年度!AD60</f>
        <v>4596</v>
      </c>
      <c r="AD60" s="153">
        <f>平成20年度!N14</f>
        <v>1555</v>
      </c>
      <c r="AE60" s="151">
        <f>平成20年度!R14</f>
        <v>126147</v>
      </c>
      <c r="AF60" s="150">
        <f>平成20年度!S14</f>
        <v>314859</v>
      </c>
      <c r="AG60" s="154">
        <f>平成20年度!Y60/+平成20年度!AE60</f>
        <v>0.34228320927172268</v>
      </c>
      <c r="AH60" s="155">
        <f>平成20年度!Z60/+平成20年度!AF60</f>
        <v>0.24419184460345741</v>
      </c>
      <c r="AI60" s="156">
        <f>平成20年度!AC60/+平成20年度!Z60</f>
        <v>5.977681242358817E-2</v>
      </c>
    </row>
    <row r="61" spans="1:35" ht="20.149999999999999" customHeight="1" x14ac:dyDescent="0.2">
      <c r="J61" s="36">
        <v>1</v>
      </c>
      <c r="K61" s="36">
        <f>ROUND(+平成20年度!K60/平成20年度!J60,4)</f>
        <v>0.99850000000000005</v>
      </c>
      <c r="L61" s="36">
        <f>ROUND(+平成20年度!L60/平成20年度!K60,4)</f>
        <v>1.0005999999999999</v>
      </c>
      <c r="M61" s="36">
        <f>ROUND(+平成20年度!M60/平成20年度!L60,4)</f>
        <v>1.0077</v>
      </c>
      <c r="N61" s="36">
        <f>ROUND(+平成20年度!N60/平成20年度!M60,4)</f>
        <v>1.0170999999999999</v>
      </c>
      <c r="O61" s="36"/>
      <c r="P61" s="36"/>
      <c r="Q61" s="36"/>
      <c r="R61" s="36">
        <f>ROUND(+平成20年度!R60/平成20年度!N60,4)</f>
        <v>1.0059</v>
      </c>
      <c r="S61" s="36">
        <f>ROUND(+平成20年度!S60/平成20年度!R60,4)</f>
        <v>1.0092000000000001</v>
      </c>
      <c r="W61" s="117"/>
      <c r="X61" s="142"/>
      <c r="Y61" s="143"/>
      <c r="Z61" s="144"/>
      <c r="AA61" s="144" t="s">
        <v>275</v>
      </c>
      <c r="AB61" s="144"/>
      <c r="AC61" s="145"/>
      <c r="AD61" s="146">
        <f>平成20年度!M15</f>
        <v>2941</v>
      </c>
      <c r="AE61" s="144"/>
      <c r="AF61" s="144"/>
      <c r="AG61" s="147" t="s">
        <v>275</v>
      </c>
      <c r="AH61" s="147" t="s">
        <v>275</v>
      </c>
      <c r="AI61" s="148" t="s">
        <v>275</v>
      </c>
    </row>
    <row r="62" spans="1:35" ht="20.149999999999999" customHeight="1" x14ac:dyDescent="0.2">
      <c r="A62" s="1" t="s">
        <v>11</v>
      </c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R62" s="1">
        <v>81903</v>
      </c>
      <c r="S62" s="1">
        <v>83699</v>
      </c>
      <c r="W62" s="117"/>
      <c r="X62" s="134" t="s">
        <v>47</v>
      </c>
      <c r="Y62" s="150">
        <f>平成20年度!C15</f>
        <v>43110</v>
      </c>
      <c r="Z62" s="151">
        <f>平成20年度!H15</f>
        <v>76696</v>
      </c>
      <c r="AA62" s="151">
        <f>平成20年度!Z62-平成20年度!AB62-平成20年度!AC62</f>
        <v>46175</v>
      </c>
      <c r="AB62" s="151">
        <f>平成20年度!K15</f>
        <v>26079</v>
      </c>
      <c r="AC62" s="152">
        <f>平成20年度!AD61+平成20年度!AD62</f>
        <v>4442</v>
      </c>
      <c r="AD62" s="153">
        <f>平成20年度!N15</f>
        <v>1501</v>
      </c>
      <c r="AE62" s="151">
        <f>平成20年度!R15</f>
        <v>126314</v>
      </c>
      <c r="AF62" s="150">
        <f>平成20年度!S15</f>
        <v>315014</v>
      </c>
      <c r="AG62" s="154">
        <f>平成20年度!Y62/+平成20年度!AE62</f>
        <v>0.34129233497474548</v>
      </c>
      <c r="AH62" s="155">
        <f>平成20年度!Z62/+平成20年度!AF62</f>
        <v>0.24346854425517597</v>
      </c>
      <c r="AI62" s="156">
        <f>平成20年度!AC62/+平成20年度!Z62</f>
        <v>5.7916970898091162E-2</v>
      </c>
    </row>
    <row r="63" spans="1:35" ht="20.149999999999999" customHeight="1" x14ac:dyDescent="0.2">
      <c r="J63" s="36">
        <v>1</v>
      </c>
      <c r="K63" s="36">
        <f>ROUND(+平成20年度!K62/平成20年度!J62,4)</f>
        <v>1.0068999999999999</v>
      </c>
      <c r="L63" s="36">
        <f>ROUND(+平成20年度!L62/平成20年度!K62,4)</f>
        <v>1.0145</v>
      </c>
      <c r="M63" s="36">
        <f>ROUND(+平成20年度!M62/平成20年度!L62,4)</f>
        <v>1.0133000000000001</v>
      </c>
      <c r="N63" s="36">
        <f>ROUND(+平成20年度!N62/平成20年度!M62,4)</f>
        <v>1.0256000000000001</v>
      </c>
      <c r="O63" s="36"/>
      <c r="P63" s="36"/>
      <c r="Q63" s="36"/>
      <c r="R63" s="36">
        <f>ROUND(+平成20年度!R62/平成20年度!N62,4)</f>
        <v>1.0128999999999999</v>
      </c>
      <c r="S63" s="36">
        <f>ROUND(+平成20年度!S62/平成20年度!R62,4)</f>
        <v>1.0219</v>
      </c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平成20年度!M16</f>
        <v>2904</v>
      </c>
      <c r="AE63" s="144"/>
      <c r="AF63" s="143"/>
      <c r="AG63" s="158" t="s">
        <v>275</v>
      </c>
      <c r="AH63" s="147" t="s">
        <v>275</v>
      </c>
      <c r="AI63" s="159" t="s">
        <v>275</v>
      </c>
    </row>
    <row r="64" spans="1:35" ht="20.149999999999999" customHeight="1" x14ac:dyDescent="0.2"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ROUND(SUM(+平成20年度!R8:R12)/5,0)</f>
        <v>#VALUE!</v>
      </c>
      <c r="W64" s="117"/>
      <c r="X64" s="134" t="s">
        <v>48</v>
      </c>
      <c r="Y64" s="150">
        <f>平成20年度!C16</f>
        <v>43024</v>
      </c>
      <c r="Z64" s="151">
        <f>平成20年度!H16</f>
        <v>76533</v>
      </c>
      <c r="AA64" s="151">
        <f>平成20年度!Z64-平成20年度!AB64-平成20年度!AC64</f>
        <v>46007</v>
      </c>
      <c r="AB64" s="151">
        <f>平成20年度!K16</f>
        <v>26145</v>
      </c>
      <c r="AC64" s="152">
        <f>平成20年度!AD63+平成20年度!AD64</f>
        <v>4381</v>
      </c>
      <c r="AD64" s="153">
        <f>平成20年度!N16</f>
        <v>1477</v>
      </c>
      <c r="AE64" s="151">
        <f>平成20年度!R16</f>
        <v>126378</v>
      </c>
      <c r="AF64" s="150">
        <f>平成20年度!S16</f>
        <v>315013</v>
      </c>
      <c r="AG64" s="154">
        <f>平成20年度!Y64/+平成20年度!AE64</f>
        <v>0.34043900045894065</v>
      </c>
      <c r="AH64" s="155">
        <f>平成20年度!Z64/+平成20年度!AF64</f>
        <v>0.24295187817645622</v>
      </c>
      <c r="AI64" s="156">
        <f>平成20年度!AC64/+平成20年度!Z64</f>
        <v>5.7243280676309564E-2</v>
      </c>
    </row>
    <row r="65" spans="1:35" ht="20.149999999999999" customHeight="1" x14ac:dyDescent="0.2">
      <c r="A65" s="163"/>
      <c r="B65" s="121" t="s">
        <v>1232</v>
      </c>
      <c r="C65" s="121"/>
      <c r="D65" s="122" t="e">
        <f>平成20年度!D64/平成20年度!C64</f>
        <v>#VALUE!</v>
      </c>
      <c r="E65" s="122" t="e">
        <f>平成20年度!E64/平成20年度!D64</f>
        <v>#VALUE!</v>
      </c>
      <c r="F65" s="123" t="e">
        <f>ROUND(+平成20年度!F64/平成20年度!E64,4)</f>
        <v>#VALUE!</v>
      </c>
      <c r="G65" s="123" t="e">
        <f>ROUND(+平成20年度!G64/平成20年度!F64,4)</f>
        <v>#VALUE!</v>
      </c>
      <c r="H65" s="123" t="e">
        <f>ROUND(+平成20年度!H64/平成20年度!G64,4)</f>
        <v>#VALUE!</v>
      </c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平成20年度!M17</f>
        <v>2928</v>
      </c>
      <c r="AE65" s="144"/>
      <c r="AF65" s="143"/>
      <c r="AG65" s="158" t="s">
        <v>275</v>
      </c>
      <c r="AH65" s="147" t="s">
        <v>275</v>
      </c>
      <c r="AI65" s="159" t="s">
        <v>275</v>
      </c>
    </row>
    <row r="66" spans="1:35" ht="20.149999999999999" customHeight="1" x14ac:dyDescent="0.25"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W66" s="117"/>
      <c r="X66" s="134" t="s">
        <v>49</v>
      </c>
      <c r="Y66" s="150">
        <f>平成20年度!C17</f>
        <v>42940</v>
      </c>
      <c r="Z66" s="151">
        <f>平成20年度!H17</f>
        <v>76348</v>
      </c>
      <c r="AA66" s="151">
        <f>平成20年度!Z66-平成20年度!AB66-平成20年度!AC66</f>
        <v>45854</v>
      </c>
      <c r="AB66" s="151">
        <f>平成20年度!K17</f>
        <v>26081</v>
      </c>
      <c r="AC66" s="152">
        <f>平成20年度!AD65+平成20年度!AD66</f>
        <v>4413</v>
      </c>
      <c r="AD66" s="153">
        <f>平成20年度!N17</f>
        <v>1485</v>
      </c>
      <c r="AE66" s="151">
        <f>平成20年度!R17</f>
        <v>126371</v>
      </c>
      <c r="AF66" s="150">
        <f>平成20年度!S17</f>
        <v>314996</v>
      </c>
      <c r="AG66" s="154">
        <f>平成20年度!Y66/+平成20年度!AE66</f>
        <v>0.33979314874456956</v>
      </c>
      <c r="AH66" s="155">
        <f>平成20年度!Z66/+平成20年度!AF66</f>
        <v>0.24237768098642523</v>
      </c>
      <c r="AI66" s="156">
        <f>平成20年度!AC66/+平成20年度!Z66</f>
        <v>5.7801121181956308E-2</v>
      </c>
    </row>
    <row r="67" spans="1:35" ht="20.149999999999999" customHeight="1" x14ac:dyDescent="0.2">
      <c r="B67" s="121" t="s">
        <v>1241</v>
      </c>
      <c r="C67" s="122" t="e">
        <f>平成20年度!C66/平成20年度!C64</f>
        <v>#VALUE!</v>
      </c>
      <c r="D67" s="122" t="e">
        <f>平成20年度!D66/平成20年度!D64</f>
        <v>#VALUE!</v>
      </c>
      <c r="E67" s="122" t="e">
        <f>平成20年度!E66/平成20年度!E64</f>
        <v>#VALUE!</v>
      </c>
      <c r="F67" s="122" t="e">
        <f>ROUND(+平成20年度!F66/平成20年度!F64,4)</f>
        <v>#VALUE!</v>
      </c>
      <c r="G67" s="122" t="e">
        <f>ROUND((+平成20年度!E67+平成20年度!F67)/2,4)</f>
        <v>#VALUE!</v>
      </c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平成20年度!M18</f>
        <v>2891</v>
      </c>
      <c r="AE67" s="144"/>
      <c r="AF67" s="143"/>
      <c r="AG67" s="158" t="s">
        <v>275</v>
      </c>
      <c r="AH67" s="147" t="s">
        <v>275</v>
      </c>
      <c r="AI67" s="159" t="s">
        <v>275</v>
      </c>
    </row>
    <row r="68" spans="1:35" ht="20.149999999999999" customHeight="1" x14ac:dyDescent="0.2">
      <c r="B68" s="121" t="s">
        <v>509</v>
      </c>
      <c r="C68" s="121"/>
      <c r="D68" s="122" t="e">
        <f>平成20年度!D66/平成20年度!C66</f>
        <v>#VALUE!</v>
      </c>
      <c r="E68" s="122">
        <f>平成20年度!E66/平成20年度!D66</f>
        <v>0.25925412132844117</v>
      </c>
      <c r="F68" s="122">
        <f>ROUND(+平成20年度!F66/平成20年度!E66,4)</f>
        <v>1.0185999999999999</v>
      </c>
      <c r="G68" s="122">
        <f>ROUND(+平成20年度!G66/平成20年度!F66,4)</f>
        <v>1.0221</v>
      </c>
      <c r="W68" s="117"/>
      <c r="X68" s="134" t="s">
        <v>50</v>
      </c>
      <c r="Y68" s="150">
        <f>平成20年度!C18</f>
        <v>42945</v>
      </c>
      <c r="Z68" s="151">
        <f>平成20年度!H18</f>
        <v>76324</v>
      </c>
      <c r="AA68" s="151">
        <f>平成20年度!Z68-平成20年度!AB68-平成20年度!AC68</f>
        <v>45780</v>
      </c>
      <c r="AB68" s="151">
        <f>平成20年度!K18</f>
        <v>26188</v>
      </c>
      <c r="AC68" s="152">
        <f>平成20年度!AD67+平成20年度!AD68</f>
        <v>4356</v>
      </c>
      <c r="AD68" s="153">
        <f>平成20年度!N18</f>
        <v>1465</v>
      </c>
      <c r="AE68" s="151">
        <f>平成20年度!R18</f>
        <v>126254</v>
      </c>
      <c r="AF68" s="150">
        <f>平成20年度!S18</f>
        <v>314764</v>
      </c>
      <c r="AG68" s="154">
        <f>平成20年度!Y68/+平成20年度!AE68</f>
        <v>0.34014763888668875</v>
      </c>
      <c r="AH68" s="155">
        <f>平成20年度!Z68/+平成20年度!AF68</f>
        <v>0.24248008031414012</v>
      </c>
      <c r="AI68" s="156">
        <f>平成20年度!AC68/+平成20年度!Z68</f>
        <v>5.7072480477962373E-2</v>
      </c>
    </row>
    <row r="69" spans="1:35" ht="20.149999999999999" customHeight="1" x14ac:dyDescent="0.2">
      <c r="W69" s="117"/>
      <c r="X69" s="142"/>
      <c r="Y69" s="143"/>
      <c r="Z69" s="144"/>
      <c r="AA69" s="144" t="s">
        <v>275</v>
      </c>
      <c r="AB69" s="144"/>
      <c r="AC69" s="157"/>
      <c r="AD69" s="146">
        <f>平成20年度!M19</f>
        <v>2826</v>
      </c>
      <c r="AE69" s="144"/>
      <c r="AF69" s="143"/>
      <c r="AG69" s="158" t="s">
        <v>275</v>
      </c>
      <c r="AH69" s="147" t="s">
        <v>275</v>
      </c>
      <c r="AI69" s="159" t="s">
        <v>275</v>
      </c>
    </row>
    <row r="70" spans="1:35" ht="20.149999999999999" customHeight="1" x14ac:dyDescent="0.2">
      <c r="D70" s="1" t="e">
        <f>平成20年度!C67*平成20年度!D64</f>
        <v>#VALUE!</v>
      </c>
      <c r="E70" s="1" t="e">
        <f>平成20年度!D67*平成20年度!E64</f>
        <v>#VALUE!</v>
      </c>
      <c r="F70" s="1" t="e">
        <f>平成20年度!E67*平成20年度!F64</f>
        <v>#VALUE!</v>
      </c>
      <c r="G70" s="1" t="e">
        <f>平成20年度!F67*平成20年度!G64</f>
        <v>#VALUE!</v>
      </c>
      <c r="H70" s="162" t="e">
        <f>IF(+平成20年度!G67*平成20年度!H64&gt;0,ROUNDDOWN(+平成20年度!G67*平成20年度!H64,-2),ROUNDUP(+平成20年度!G67*平成20年度!H64,-2))</f>
        <v>#VALUE!</v>
      </c>
      <c r="W70" s="117"/>
      <c r="X70" s="134" t="s">
        <v>51</v>
      </c>
      <c r="Y70" s="150">
        <f>平成20年度!C19</f>
        <v>42927</v>
      </c>
      <c r="Z70" s="151">
        <f>平成20年度!H19</f>
        <v>76230</v>
      </c>
      <c r="AA70" s="151">
        <f>平成20年度!Z70-平成20年度!AB70-平成20年度!AC70</f>
        <v>45737</v>
      </c>
      <c r="AB70" s="151">
        <f>平成20年度!K19</f>
        <v>26239</v>
      </c>
      <c r="AC70" s="152">
        <f>平成20年度!AD69+平成20年度!AD70</f>
        <v>4254</v>
      </c>
      <c r="AD70" s="153">
        <f>平成20年度!N19</f>
        <v>1428</v>
      </c>
      <c r="AE70" s="151">
        <f>平成20年度!R19</f>
        <v>126231</v>
      </c>
      <c r="AF70" s="150">
        <f>平成20年度!S19</f>
        <v>313963</v>
      </c>
      <c r="AG70" s="154">
        <f>平成20年度!Y70/+平成20年度!AE70</f>
        <v>0.34006701998716637</v>
      </c>
      <c r="AH70" s="155">
        <f>平成20年度!Z70/+平成20年度!AF70</f>
        <v>0.24279931074680774</v>
      </c>
      <c r="AI70" s="156">
        <f>平成20年度!AC70/+平成20年度!Z70</f>
        <v>5.5804801259346712E-2</v>
      </c>
    </row>
    <row r="71" spans="1:35" ht="20.149999999999999" customHeight="1" x14ac:dyDescent="0.2"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平成20年度!AD47+平成20年度!AD49+平成20年度!AD51+平成20年度!AD53+平成20年度!AD55+平成20年度!AD57+平成20年度!AD59+平成20年度!AD61+平成20年度!AD63+平成20年度!AD65+平成20年度!AD67+平成20年度!AD69</f>
        <v>36570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</row>
    <row r="72" spans="1:35" ht="20.149999999999999" customHeight="1" x14ac:dyDescent="0.2">
      <c r="W72" s="117"/>
      <c r="X72" s="134" t="s">
        <v>52</v>
      </c>
      <c r="Y72" s="150">
        <f>SUM(平成20年度!Y48:Y70)</f>
        <v>518353</v>
      </c>
      <c r="Z72" s="151">
        <f>SUM(平成20年度!Z48:Z70)</f>
        <v>923950</v>
      </c>
      <c r="AA72" s="151">
        <f>SUM(平成20年度!AA48:AA70)</f>
        <v>556702</v>
      </c>
      <c r="AB72" s="151">
        <f>SUM(平成20年度!AB48:AB70)</f>
        <v>312026</v>
      </c>
      <c r="AC72" s="152">
        <f>SUM(平成20年度!AC48:AC70)</f>
        <v>55222</v>
      </c>
      <c r="AD72" s="153">
        <f>平成20年度!AD48+平成20年度!AD50+平成20年度!AD52+平成20年度!AD54+平成20年度!AD56+平成20年度!AD58+平成20年度!AD60+平成20年度!AD62+平成20年度!AD64+平成20年度!AD66+平成20年度!AD68+平成20年度!AD70</f>
        <v>18652</v>
      </c>
      <c r="AE72" s="150">
        <f>SUM(平成20年度!AE48:AE70)</f>
        <v>1511917</v>
      </c>
      <c r="AF72" s="151">
        <f>SUM(平成20年度!AF48:AF70)</f>
        <v>3776139</v>
      </c>
      <c r="AG72" s="154">
        <f>平成20年度!Y72/+平成20年度!AE72</f>
        <v>0.34284487838948829</v>
      </c>
      <c r="AH72" s="155">
        <f>平成20年度!Z72/+平成20年度!AF72</f>
        <v>0.24468114123976897</v>
      </c>
      <c r="AI72" s="156">
        <f>平成20年度!AC72/+平成20年度!Z72</f>
        <v>5.9767303425510038E-2</v>
      </c>
    </row>
    <row r="73" spans="1:35" ht="20.149999999999999" customHeight="1" x14ac:dyDescent="0.2">
      <c r="W73" s="117"/>
      <c r="X73" s="142" t="s">
        <v>69</v>
      </c>
      <c r="Y73" s="143" t="s">
        <v>69</v>
      </c>
      <c r="Z73" s="144" t="s">
        <v>69</v>
      </c>
      <c r="AA73" s="144" t="e">
        <f>平成20年度!AA74+平成20年度!AB74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</row>
    <row r="74" spans="1:35" ht="20.149999999999999" customHeight="1" x14ac:dyDescent="0.2"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平成20年度!Y74/+平成20年度!AE74</f>
        <v>#VALUE!</v>
      </c>
      <c r="AH74" s="170" t="e">
        <f>平成20年度!Z74/+平成20年度!AF74</f>
        <v>#VALUE!</v>
      </c>
      <c r="AI74" s="171" t="e">
        <f>平成20年度!AC74/+平成20年度!Z74</f>
        <v>#VALUE!</v>
      </c>
    </row>
    <row r="75" spans="1:35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平成20年度!M2+平成20年度!AD47+平成20年度!AD49+平成20年度!AD51+平成20年度!AD53+平成20年度!AD55+平成20年度!AD57+平成20年度!AD59+平成20年度!AD61+平成20年度!AD63</f>
        <v>77458</v>
      </c>
      <c r="AE75" s="174"/>
      <c r="AF75" s="173"/>
      <c r="AG75" s="177"/>
      <c r="AH75" s="178"/>
      <c r="AI75" s="179"/>
    </row>
    <row r="76" spans="1:35" ht="20.149999999999999" customHeight="1" x14ac:dyDescent="0.2">
      <c r="A76" s="1" t="s">
        <v>1339</v>
      </c>
      <c r="B76" s="1">
        <v>2</v>
      </c>
      <c r="C76" s="1">
        <f>平成20年度!C75+平成20年度!C77</f>
        <v>478663</v>
      </c>
      <c r="D76" s="1">
        <f>平成20年度!D75+平成20年度!D77</f>
        <v>497118</v>
      </c>
      <c r="E76" s="1">
        <f>平成20年度!E75+平成20年度!E77</f>
        <v>515553</v>
      </c>
      <c r="F76" s="1">
        <f>平成20年度!F75+平成20年度!F77</f>
        <v>534452</v>
      </c>
      <c r="G76" s="1">
        <f>平成20年度!G75+平成20年度!G77</f>
        <v>555972</v>
      </c>
      <c r="H76" s="1">
        <f>平成20年度!H75+平成20年度!H77</f>
        <v>482638</v>
      </c>
      <c r="W76" s="180" t="s">
        <v>593</v>
      </c>
      <c r="X76" s="134" t="s">
        <v>52</v>
      </c>
      <c r="Y76" s="181">
        <f>平成20年度!C2+SUM(平成20年度!Y48:Y64)</f>
        <v>554304</v>
      </c>
      <c r="Z76" s="182">
        <f>平成20年度!H2+SUM(平成20年度!Z48:Z64)</f>
        <v>996274</v>
      </c>
      <c r="AA76" s="182">
        <f>平成20年度!J2+SUM(平成20年度!AA48:AA64)</f>
        <v>579890</v>
      </c>
      <c r="AB76" s="182">
        <f>平成20年度!K2+SUM(平成20年度!AB48:AB64)</f>
        <v>301039</v>
      </c>
      <c r="AC76" s="183">
        <f>平成20年度!L2+SUM(平成20年度!AC48:AC64)</f>
        <v>115345</v>
      </c>
      <c r="AD76" s="184">
        <f>平成20年度!N2+平成20年度!AD48+平成20年度!AD50+平成20年度!AD52+平成20年度!AD54+平成20年度!AD56+平成20年度!AD58+平成20年度!AD60+平成20年度!AD62+平成20年度!AD64</f>
        <v>37887</v>
      </c>
      <c r="AE76" s="181">
        <f>平成20年度!R2+SUM(平成20年度!AE48:AE64)</f>
        <v>1506366</v>
      </c>
      <c r="AF76" s="182">
        <f>平成20年度!S2+SUM(平成20年度!AF48:AF64)</f>
        <v>3773616</v>
      </c>
      <c r="AG76" s="185">
        <f>平成20年度!Y76/+平成20年度!AE76</f>
        <v>0.36797431699865768</v>
      </c>
      <c r="AH76" s="186">
        <f>平成20年度!Z76/+平成20年度!AF76</f>
        <v>0.26401043455401929</v>
      </c>
      <c r="AI76" s="187">
        <f>平成20年度!AC76/+平成20年度!Z76</f>
        <v>0.11577638280232146</v>
      </c>
    </row>
    <row r="77" spans="1:35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平成20年度!H27</f>
        <v>387910</v>
      </c>
      <c r="W77" s="188" t="s">
        <v>1343</v>
      </c>
      <c r="X77" s="142" t="s">
        <v>69</v>
      </c>
      <c r="Y77" s="189"/>
      <c r="Z77" s="190"/>
      <c r="AA77" s="190" t="e">
        <f>平成20年度!AA78+平成20年度!AB78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</row>
    <row r="78" spans="1:35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平成20年度!H20</f>
        <v>923950</v>
      </c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平成20年度!Y78/+平成20年度!AE78</f>
        <v>#VALUE!</v>
      </c>
      <c r="AH78" s="202" t="e">
        <f>平成20年度!Z78/+平成20年度!AF78</f>
        <v>#VALUE!</v>
      </c>
      <c r="AI78" s="203" t="e">
        <f>平成20年度!AC78/+平成20年度!Z78</f>
        <v>#VALUE!</v>
      </c>
    </row>
    <row r="79" spans="1:35" ht="20.149999999999999" customHeight="1" x14ac:dyDescent="0.2"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平成20年度!H21</f>
        <v>#VALUE!</v>
      </c>
    </row>
    <row r="80" spans="1:35" ht="20.149999999999999" customHeight="1" x14ac:dyDescent="0.2">
      <c r="A80" s="1" t="s">
        <v>1347</v>
      </c>
      <c r="C80" s="204">
        <f>ROUND(+平成20年度!C78/平成20年度!C76,8)</f>
        <v>2.02529337</v>
      </c>
      <c r="D80" s="204">
        <f>ROUND(+平成20年度!D78/平成20年度!D76,8)</f>
        <v>2.0240164300000001</v>
      </c>
      <c r="E80" s="204">
        <f>ROUND(+平成20年度!E78/平成20年度!E76,8)</f>
        <v>2.02072144</v>
      </c>
      <c r="F80" s="204">
        <f>ROUND(+平成20年度!F78/平成20年度!F76,8)</f>
        <v>2.0253886200000002</v>
      </c>
      <c r="G80" s="204">
        <f>ROUND(+平成20年度!G78/平成20年度!G76,8)</f>
        <v>2.02343283</v>
      </c>
    </row>
    <row r="81" spans="1:8" ht="20.149999999999999" customHeight="1" x14ac:dyDescent="0.2">
      <c r="A81" s="1" t="s">
        <v>1348</v>
      </c>
      <c r="C81" s="204">
        <f>ROUND(+平成20年度!C78/平成20年度!C77,8)</f>
        <v>2.4246736000000002</v>
      </c>
      <c r="D81" s="204">
        <f>ROUND(+平成20年度!D78/平成20年度!D77,8)</f>
        <v>2.4232626499999999</v>
      </c>
      <c r="E81" s="204">
        <f>ROUND(+平成20年度!E78/平成20年度!E77,8)</f>
        <v>2.4196870499999998</v>
      </c>
      <c r="F81" s="204">
        <f>ROUND(+平成20年度!F78/平成20年度!F77,8)</f>
        <v>2.4238196300000001</v>
      </c>
      <c r="G81" s="204">
        <f>ROUND(+平成20年度!G78/平成20年度!G77,8)</f>
        <v>2.42133062</v>
      </c>
    </row>
    <row r="82" spans="1:8" ht="20.149999999999999" customHeight="1" x14ac:dyDescent="0.2">
      <c r="A82" s="1" t="s">
        <v>1349</v>
      </c>
      <c r="D82" s="204">
        <f>ROUND(+平成20年度!D78/平成20年度!C78,8)</f>
        <v>1.0379004999999999</v>
      </c>
      <c r="E82" s="204">
        <f>ROUND(+平成20年度!E78/平成20年度!D78,8)</f>
        <v>1.0353954299999999</v>
      </c>
      <c r="F82" s="204">
        <f>ROUND(+平成20年度!F78/平成20年度!E78,8)</f>
        <v>1.03905205</v>
      </c>
      <c r="G82" s="204">
        <f>ROUND(+平成20年度!G78/平成20年度!F78,8)</f>
        <v>1.03926103</v>
      </c>
      <c r="H82" s="204" t="s">
        <v>275</v>
      </c>
    </row>
    <row r="83" spans="1:8" ht="20.149999999999999" customHeight="1" x14ac:dyDescent="0.2">
      <c r="A83" s="1" t="s">
        <v>1351</v>
      </c>
      <c r="E83" s="1">
        <f>(+平成20年度!C81+平成20年度!D81)/2*平成20年度!E77/12</f>
        <v>86969.35035953125</v>
      </c>
      <c r="F83" s="1">
        <f>(+平成20年度!D81+平成20年度!E81)/2*平成20年度!F77/12</f>
        <v>90118.818755025</v>
      </c>
      <c r="G83" s="1">
        <f>(+平成20年度!E81+平成20年度!F81)/2*平成20年度!G77/12</f>
        <v>93764.033128671654</v>
      </c>
      <c r="H83" s="1">
        <f>(+平成20年度!F81+平成20年度!G81)/2*平成20年度!H77/12</f>
        <v>78311.759728229154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1" t="e">
        <f>(+平成20年度!D82+平成20年度!E82)/2*平成20年度!E79</f>
        <v>#VALUE!</v>
      </c>
      <c r="G86" s="1" t="e">
        <f>(+平成20年度!E82+平成20年度!F82)/2*平成20年度!F79</f>
        <v>#VALUE!</v>
      </c>
      <c r="H86" s="1" t="e">
        <f>(+平成20年度!F82+平成20年度!G82)/2*平成20年度!G79</f>
        <v>#VALUE!</v>
      </c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cellComments="asDisplayed" r:id="rId1"/>
  <headerFooter alignWithMargins="0">
    <oddHeader>&amp;L</oddHeader>
    <oddFooter>&amp;R&amp;Z&amp;F&amp;F&amp;A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86"/>
  <sheetViews>
    <sheetView workbookViewId="0">
      <pane xSplit="2" ySplit="6" topLeftCell="E7" activePane="bottomRight" state="frozen"/>
      <selection activeCell="K28" sqref="K28"/>
      <selection pane="topRight" activeCell="K28" sqref="K28"/>
      <selection pane="bottomLeft" activeCell="K28" sqref="K28"/>
      <selection pane="bottomRight" activeCell="I36" sqref="I36"/>
    </sheetView>
  </sheetViews>
  <sheetFormatPr defaultColWidth="10" defaultRowHeight="14" x14ac:dyDescent="0.2"/>
  <cols>
    <col min="1" max="1" width="10" style="1"/>
    <col min="2" max="2" width="9.75" style="1" customWidth="1"/>
    <col min="3" max="3" width="9.33203125" style="1" customWidth="1"/>
    <col min="4" max="4" width="9" style="1" customWidth="1"/>
    <col min="5" max="5" width="8.83203125" style="1" customWidth="1"/>
    <col min="6" max="6" width="9" style="1" customWidth="1"/>
    <col min="7" max="7" width="8.75" style="1" customWidth="1"/>
    <col min="8" max="8" width="11.08203125" style="1" customWidth="1"/>
    <col min="9" max="12" width="10" style="1"/>
    <col min="13" max="13" width="9.33203125" style="1" customWidth="1"/>
    <col min="14" max="14" width="9.25" style="1" customWidth="1"/>
    <col min="15" max="15" width="10.75" style="1" customWidth="1"/>
    <col min="16" max="16" width="9" style="1" customWidth="1"/>
    <col min="17" max="17" width="8.58203125" style="1" customWidth="1"/>
    <col min="18" max="18" width="11" style="1" customWidth="1"/>
    <col min="19" max="19" width="10.83203125" style="1" customWidth="1"/>
    <col min="20" max="20" width="10.58203125" style="1" customWidth="1"/>
    <col min="21" max="21" width="11.58203125" style="1" customWidth="1"/>
    <col min="22" max="22" width="10.58203125" style="1" customWidth="1"/>
    <col min="23" max="16384" width="10" style="1"/>
  </cols>
  <sheetData>
    <row r="1" spans="1:44" ht="20.149999999999999" customHeight="1" x14ac:dyDescent="0.2">
      <c r="B1" s="1" t="s">
        <v>2821</v>
      </c>
      <c r="AJ1" s="1" t="s">
        <v>1032</v>
      </c>
    </row>
    <row r="2" spans="1:44" ht="20.149999999999999" customHeight="1" x14ac:dyDescent="0.2">
      <c r="A2" s="2" t="s">
        <v>815</v>
      </c>
      <c r="C2" s="205">
        <f>SUM(平成20年度!C17:C19)</f>
        <v>128812</v>
      </c>
      <c r="D2" s="205">
        <f>SUM(平成20年度!D17:D19)</f>
        <v>122146</v>
      </c>
      <c r="E2" s="205">
        <f>SUM(平成20年度!E17:E19)</f>
        <v>120000</v>
      </c>
      <c r="F2" s="205">
        <f>SUM(平成20年度!F17:F19)</f>
        <v>2146</v>
      </c>
      <c r="G2" s="205">
        <f>SUM(平成20年度!G17:G19)</f>
        <v>6666</v>
      </c>
      <c r="H2" s="205">
        <f>SUM(平成20年度!H17:H19)</f>
        <v>228902</v>
      </c>
      <c r="I2" s="205">
        <f>SUM(平成20年度!I17:I19)</f>
        <v>215879</v>
      </c>
      <c r="J2" s="205">
        <f>SUM(平成20年度!J17:J19)</f>
        <v>137371</v>
      </c>
      <c r="K2" s="205">
        <f>SUM(平成20年度!K17:K19)</f>
        <v>78508</v>
      </c>
      <c r="L2" s="205">
        <f>SUM(平成20年度!L17:L19)</f>
        <v>13023</v>
      </c>
      <c r="M2" s="205">
        <f>SUM(平成20年度!M17:M19)</f>
        <v>8645</v>
      </c>
      <c r="N2" s="205">
        <f>SUM(平成20年度!N17:N19)</f>
        <v>4378</v>
      </c>
      <c r="O2" s="205">
        <f>SUM(平成20年度!O17:O19)</f>
        <v>79773</v>
      </c>
      <c r="P2" s="205">
        <f>SUM(平成20年度!P17:P19)</f>
        <v>67359</v>
      </c>
      <c r="Q2" s="205">
        <f>SUM(平成20年度!Q17:Q19)</f>
        <v>12414</v>
      </c>
      <c r="R2" s="205">
        <f>SUM(平成20年度!R17:R19)</f>
        <v>378856</v>
      </c>
      <c r="S2" s="205">
        <f>SUM(平成20年度!S17:S19)</f>
        <v>943723</v>
      </c>
    </row>
    <row r="3" spans="1:44" ht="20.149999999999999" customHeight="1" x14ac:dyDescent="0.2">
      <c r="A3" s="2" t="s">
        <v>816</v>
      </c>
      <c r="B3" s="3"/>
      <c r="C3" s="3" t="s">
        <v>2822</v>
      </c>
      <c r="D3" s="3"/>
      <c r="E3" s="3" t="s">
        <v>1357</v>
      </c>
      <c r="F3" s="3"/>
      <c r="AJ3" s="4"/>
      <c r="AK3" s="5" t="s">
        <v>1038</v>
      </c>
      <c r="AL3" s="6" t="s">
        <v>1039</v>
      </c>
      <c r="AM3" s="7" t="s">
        <v>1040</v>
      </c>
      <c r="AN3" s="7" t="s">
        <v>1041</v>
      </c>
      <c r="AO3" s="7" t="s">
        <v>1042</v>
      </c>
      <c r="AP3" s="8" t="s">
        <v>1043</v>
      </c>
      <c r="AQ3" s="1" t="s">
        <v>1044</v>
      </c>
      <c r="AR3" s="1" t="s">
        <v>1045</v>
      </c>
    </row>
    <row r="4" spans="1:44" ht="20.149999999999999" customHeight="1" x14ac:dyDescent="0.2">
      <c r="A4" s="2" t="s">
        <v>290</v>
      </c>
      <c r="B4" s="374" t="s">
        <v>3</v>
      </c>
      <c r="C4" s="10" t="s">
        <v>4</v>
      </c>
      <c r="D4" s="11"/>
      <c r="E4" s="11"/>
      <c r="F4" s="11"/>
      <c r="G4" s="12"/>
      <c r="H4" s="10" t="s">
        <v>5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6</v>
      </c>
      <c r="S4" s="14" t="s">
        <v>7</v>
      </c>
      <c r="T4" s="15" t="s">
        <v>8</v>
      </c>
      <c r="U4" s="15" t="s">
        <v>9</v>
      </c>
      <c r="V4" s="16" t="s">
        <v>10</v>
      </c>
      <c r="AJ4" s="17" t="s">
        <v>1055</v>
      </c>
      <c r="AK4" s="327" t="e">
        <f>平成９年度!H21</f>
        <v>#VALUE!</v>
      </c>
      <c r="AL4" s="19" t="e">
        <f>平成９年度!C21</f>
        <v>#VALUE!</v>
      </c>
      <c r="AM4" s="20" t="e">
        <f>平成９年度!P21</f>
        <v>#VALUE!</v>
      </c>
      <c r="AN4" s="20" t="e">
        <f>平成９年度!O21</f>
        <v>#VALUE!</v>
      </c>
      <c r="AO4" s="21" t="e">
        <f>ROUND(+平成21年度!AK4/平成21年度!AM4,4)</f>
        <v>#VALUE!</v>
      </c>
      <c r="AP4" s="22" t="e">
        <f>ROUND(+平成21年度!AL4/平成21年度!AN4,4)</f>
        <v>#VALUE!</v>
      </c>
    </row>
    <row r="5" spans="1:44" ht="20.149999999999999" customHeight="1" x14ac:dyDescent="0.2">
      <c r="A5" s="2" t="s">
        <v>829</v>
      </c>
      <c r="B5" s="375"/>
      <c r="C5" s="312" t="s">
        <v>11</v>
      </c>
      <c r="D5" s="25" t="s">
        <v>12</v>
      </c>
      <c r="E5" s="26" t="s">
        <v>12</v>
      </c>
      <c r="F5" s="26" t="s">
        <v>14</v>
      </c>
      <c r="G5" s="27" t="s">
        <v>15</v>
      </c>
      <c r="H5" s="312" t="s">
        <v>16</v>
      </c>
      <c r="I5" s="25" t="s">
        <v>17</v>
      </c>
      <c r="J5" s="26" t="s">
        <v>18</v>
      </c>
      <c r="K5" s="329" t="s">
        <v>2817</v>
      </c>
      <c r="L5" s="26" t="s">
        <v>20</v>
      </c>
      <c r="M5" s="26" t="s">
        <v>21</v>
      </c>
      <c r="N5" s="27" t="s">
        <v>22</v>
      </c>
      <c r="O5" s="312" t="s">
        <v>16</v>
      </c>
      <c r="P5" s="25" t="s">
        <v>17</v>
      </c>
      <c r="Q5" s="27" t="s">
        <v>20</v>
      </c>
      <c r="R5" s="24" t="s">
        <v>23</v>
      </c>
      <c r="S5" s="25" t="s">
        <v>24</v>
      </c>
      <c r="T5" s="26" t="s">
        <v>25</v>
      </c>
      <c r="U5" s="28" t="s">
        <v>96</v>
      </c>
      <c r="V5" s="29" t="s">
        <v>27</v>
      </c>
      <c r="AJ5" s="30" t="s">
        <v>1074</v>
      </c>
      <c r="AK5" s="31" t="e">
        <f>平成10年度!H21</f>
        <v>#VALUE!</v>
      </c>
      <c r="AL5" s="32" t="e">
        <f>平成10年度!C21</f>
        <v>#VALUE!</v>
      </c>
      <c r="AM5" s="33" t="e">
        <f>平成10年度!P21</f>
        <v>#VALUE!</v>
      </c>
      <c r="AN5" s="33" t="e">
        <f>平成10年度!O21</f>
        <v>#VALUE!</v>
      </c>
      <c r="AO5" s="34" t="e">
        <f>ROUND(+平成21年度!AK5/平成21年度!AM5,4)</f>
        <v>#VALUE!</v>
      </c>
      <c r="AP5" s="35" t="e">
        <f>ROUND(+平成21年度!AL5/平成21年度!AN5,4)</f>
        <v>#VALUE!</v>
      </c>
      <c r="AQ5" s="36" t="e">
        <f>ROUND((+平成21年度!AO5-平成21年度!AO4),4)</f>
        <v>#VALUE!</v>
      </c>
      <c r="AR5" s="36" t="e">
        <f>ROUND((+平成21年度!AP5-平成21年度!AP4),4)</f>
        <v>#VALUE!</v>
      </c>
    </row>
    <row r="6" spans="1:44" ht="20.149999999999999" customHeight="1" thickTop="1" x14ac:dyDescent="0.2">
      <c r="A6" s="2" t="s">
        <v>847</v>
      </c>
      <c r="B6" s="382"/>
      <c r="C6" s="318" t="s">
        <v>1400</v>
      </c>
      <c r="D6" s="14" t="s">
        <v>29</v>
      </c>
      <c r="E6" s="15" t="s">
        <v>30</v>
      </c>
      <c r="F6" s="15" t="s">
        <v>31</v>
      </c>
      <c r="G6" s="16" t="s">
        <v>32</v>
      </c>
      <c r="H6" s="313" t="s">
        <v>1405</v>
      </c>
      <c r="I6" s="14" t="s">
        <v>29</v>
      </c>
      <c r="J6" s="15" t="s">
        <v>30</v>
      </c>
      <c r="K6" s="15" t="s">
        <v>31</v>
      </c>
      <c r="L6" s="15" t="s">
        <v>37</v>
      </c>
      <c r="M6" s="15" t="s">
        <v>32</v>
      </c>
      <c r="N6" s="16" t="s">
        <v>39</v>
      </c>
      <c r="O6" s="318" t="s">
        <v>29</v>
      </c>
      <c r="P6" s="14" t="s">
        <v>30</v>
      </c>
      <c r="Q6" s="16" t="s">
        <v>31</v>
      </c>
      <c r="R6" s="39"/>
      <c r="S6" s="40"/>
      <c r="T6" s="41"/>
      <c r="U6" s="41"/>
      <c r="V6" s="42"/>
      <c r="AJ6" s="30" t="s">
        <v>1088</v>
      </c>
      <c r="AK6" s="31">
        <f>平成11年度!H21</f>
        <v>83847.916666666672</v>
      </c>
      <c r="AL6" s="32">
        <f>平成11年度!C21</f>
        <v>42852.25</v>
      </c>
      <c r="AM6" s="33">
        <f>平成11年度!P21</f>
        <v>292958.75</v>
      </c>
      <c r="AN6" s="33">
        <f>平成11年度!O21</f>
        <v>105725.41666666667</v>
      </c>
      <c r="AO6" s="34">
        <f>ROUND(+平成21年度!AK6/平成21年度!AM6,4)</f>
        <v>0.28620000000000001</v>
      </c>
      <c r="AP6" s="35">
        <f>ROUND(+平成21年度!AL6/平成21年度!AN6,4)</f>
        <v>0.40529999999999999</v>
      </c>
      <c r="AQ6" s="36" t="e">
        <f>ROUND((+平成21年度!AO6-平成21年度!AO5),4)</f>
        <v>#VALUE!</v>
      </c>
      <c r="AR6" s="36" t="e">
        <f>ROUND((+平成21年度!AP6-平成21年度!AP5),4)</f>
        <v>#VALUE!</v>
      </c>
    </row>
    <row r="7" spans="1:44" ht="20.149999999999999" customHeight="1" x14ac:dyDescent="0.2">
      <c r="A7" s="2"/>
      <c r="B7" s="376" t="s">
        <v>51</v>
      </c>
      <c r="C7" s="319">
        <f>平成20年度!C$19</f>
        <v>42927</v>
      </c>
      <c r="D7" s="45">
        <f>E7+F7</f>
        <v>40670</v>
      </c>
      <c r="E7" s="45">
        <f>C7-G7-F7</f>
        <v>39946</v>
      </c>
      <c r="F7" s="46">
        <f>平成20年度!F$19</f>
        <v>724</v>
      </c>
      <c r="G7" s="47">
        <f>平成20年度!G$19</f>
        <v>2257</v>
      </c>
      <c r="H7" s="315">
        <f>I7+L7</f>
        <v>76230</v>
      </c>
      <c r="I7" s="45">
        <f>J7+K7</f>
        <v>71976</v>
      </c>
      <c r="J7" s="46">
        <f>平成20年度!J$19</f>
        <v>45737</v>
      </c>
      <c r="K7" s="49">
        <f>平成20年度!K$19</f>
        <v>26239</v>
      </c>
      <c r="L7" s="45">
        <f>M7+N7</f>
        <v>4254</v>
      </c>
      <c r="M7" s="46">
        <f>平成20年度!M$19</f>
        <v>2826</v>
      </c>
      <c r="N7" s="47">
        <f>平成20年度!N$19</f>
        <v>1428</v>
      </c>
      <c r="O7" s="319">
        <f>平成20年度!O$19</f>
        <v>26480</v>
      </c>
      <c r="P7" s="45">
        <f>O7-Q7</f>
        <v>22424</v>
      </c>
      <c r="Q7" s="393">
        <f>平成20年度!Q$19</f>
        <v>4056</v>
      </c>
      <c r="R7" s="44">
        <f>平成20年度!R$19</f>
        <v>126231</v>
      </c>
      <c r="S7" s="46">
        <f>平成20年度!S$19</f>
        <v>313963</v>
      </c>
      <c r="T7" s="50">
        <f>C7/R7</f>
        <v>0.34006701998716637</v>
      </c>
      <c r="U7" s="51">
        <f>H7/S7</f>
        <v>0.24279931074680774</v>
      </c>
      <c r="V7" s="52">
        <f>L7/H7</f>
        <v>5.5804801259346712E-2</v>
      </c>
      <c r="AJ7" s="30" t="s">
        <v>1074</v>
      </c>
      <c r="AK7" s="31">
        <v>81903</v>
      </c>
      <c r="AL7" s="32">
        <v>41659</v>
      </c>
      <c r="AM7" s="33">
        <v>291953</v>
      </c>
      <c r="AN7" s="33">
        <v>104651</v>
      </c>
      <c r="AO7" s="34">
        <v>0.28050000000000003</v>
      </c>
      <c r="AP7" s="35">
        <v>0.39810000000000001</v>
      </c>
      <c r="AQ7" s="36">
        <v>9.9000000000000008E-3</v>
      </c>
      <c r="AR7" s="36">
        <v>1.26E-2</v>
      </c>
    </row>
    <row r="8" spans="1:44" ht="20.149999999999999" customHeight="1" x14ac:dyDescent="0.2">
      <c r="A8" s="2" t="s">
        <v>860</v>
      </c>
      <c r="B8" s="377" t="s">
        <v>40</v>
      </c>
      <c r="C8" s="319">
        <v>43387</v>
      </c>
      <c r="D8" s="45">
        <f>平成21年度!E8+平成21年度!F8</f>
        <v>41181</v>
      </c>
      <c r="E8" s="45">
        <f>平成21年度!C8-平成21年度!G8-平成21年度!F8</f>
        <v>40470</v>
      </c>
      <c r="F8" s="46">
        <v>711</v>
      </c>
      <c r="G8" s="47">
        <v>2206</v>
      </c>
      <c r="H8" s="315">
        <f t="shared" ref="H8:H19" si="0">I8+L8</f>
        <v>76958</v>
      </c>
      <c r="I8" s="45">
        <f>平成21年度!J8+平成21年度!K8</f>
        <v>72382</v>
      </c>
      <c r="J8" s="46">
        <v>45963</v>
      </c>
      <c r="K8" s="49">
        <v>26419</v>
      </c>
      <c r="L8" s="45">
        <f>平成21年度!M8+平成21年度!N8</f>
        <v>4576</v>
      </c>
      <c r="M8" s="46">
        <v>3032</v>
      </c>
      <c r="N8" s="47">
        <v>1544</v>
      </c>
      <c r="O8" s="319">
        <v>27001</v>
      </c>
      <c r="P8" s="45">
        <f t="shared" ref="P8:P19" si="1">O8-Q8</f>
        <v>22630</v>
      </c>
      <c r="Q8" s="393">
        <v>4371</v>
      </c>
      <c r="R8" s="328">
        <v>126688</v>
      </c>
      <c r="S8" s="331">
        <v>314496</v>
      </c>
      <c r="T8" s="51">
        <f>平成21年度!C8/平成21年度!R8</f>
        <v>0.34247126799696892</v>
      </c>
      <c r="U8" s="51">
        <f>平成21年度!H8/平成21年度!S8</f>
        <v>0.24470263532763534</v>
      </c>
      <c r="V8" s="52">
        <f>平成21年度!L8/平成21年度!H8</f>
        <v>5.9461004703864444E-2</v>
      </c>
      <c r="AJ8" s="30" t="s">
        <v>284</v>
      </c>
      <c r="AK8" s="31" t="e">
        <f>平成12年度!H21</f>
        <v>#VALUE!</v>
      </c>
      <c r="AL8" s="32">
        <f>平成12年度!C21</f>
        <v>44687.75</v>
      </c>
      <c r="AM8" s="33" t="e">
        <f>平成12年度!P21</f>
        <v>#VALUE!</v>
      </c>
      <c r="AN8" s="33">
        <f>平成12年度!O21</f>
        <v>27409.75</v>
      </c>
      <c r="AO8" s="34" t="e">
        <f>ROUND(+平成21年度!AK8/平成21年度!AM8,4)</f>
        <v>#VALUE!</v>
      </c>
      <c r="AP8" s="35">
        <f>ROUND(+平成21年度!AL8/平成21年度!AN8,4)</f>
        <v>1.6304000000000001</v>
      </c>
      <c r="AQ8" s="36" t="e">
        <f>ROUND((+平成21年度!AO8-平成21年度!AO6),4)</f>
        <v>#VALUE!</v>
      </c>
      <c r="AR8" s="36">
        <f>ROUND((+平成21年度!AP8-平成21年度!AP6),4)</f>
        <v>1.2251000000000001</v>
      </c>
    </row>
    <row r="9" spans="1:44" ht="20.149999999999999" customHeight="1" x14ac:dyDescent="0.2">
      <c r="A9" s="2" t="s">
        <v>862</v>
      </c>
      <c r="B9" s="377" t="s">
        <v>41</v>
      </c>
      <c r="C9" s="319">
        <v>43415</v>
      </c>
      <c r="D9" s="45">
        <f>平成21年度!E9+平成21年度!F9</f>
        <v>41240</v>
      </c>
      <c r="E9" s="45">
        <f>平成21年度!C9-平成21年度!G9-平成21年度!F9</f>
        <v>40535</v>
      </c>
      <c r="F9" s="46">
        <v>705</v>
      </c>
      <c r="G9" s="47">
        <v>2175</v>
      </c>
      <c r="H9" s="315">
        <f t="shared" si="0"/>
        <v>76920</v>
      </c>
      <c r="I9" s="45">
        <f>平成21年度!J9+平成21年度!K9</f>
        <v>72432</v>
      </c>
      <c r="J9" s="46">
        <v>45993</v>
      </c>
      <c r="K9" s="49">
        <v>26439</v>
      </c>
      <c r="L9" s="45">
        <f>平成21年度!M9+平成21年度!N9</f>
        <v>4488</v>
      </c>
      <c r="M9" s="46">
        <v>2978</v>
      </c>
      <c r="N9" s="47">
        <v>1510</v>
      </c>
      <c r="O9" s="319">
        <v>26925</v>
      </c>
      <c r="P9" s="45">
        <f t="shared" si="1"/>
        <v>22634</v>
      </c>
      <c r="Q9" s="393">
        <v>4291</v>
      </c>
      <c r="R9" s="54">
        <v>126832</v>
      </c>
      <c r="S9" s="332">
        <v>314641</v>
      </c>
      <c r="T9" s="51">
        <f>平成21年度!C9/平成21年度!R9</f>
        <v>0.34230320423867794</v>
      </c>
      <c r="U9" s="51">
        <f>平成21年度!H9/平成21年度!S9</f>
        <v>0.24446909334765654</v>
      </c>
      <c r="V9" s="52">
        <f>平成21年度!L9/平成21年度!H9</f>
        <v>5.8346333853354138E-2</v>
      </c>
      <c r="AJ9" s="30" t="s">
        <v>607</v>
      </c>
      <c r="AK9" s="31" t="e">
        <f>平成13年度!H21</f>
        <v>#VALUE!</v>
      </c>
      <c r="AL9" s="32">
        <f>平成13年度!C21</f>
        <v>46751.916666666664</v>
      </c>
      <c r="AM9" s="33" t="e">
        <f>平成13年度!P21</f>
        <v>#VALUE!</v>
      </c>
      <c r="AN9" s="33">
        <f>平成13年度!O21</f>
        <v>27918.666666666668</v>
      </c>
      <c r="AO9" s="34" t="e">
        <f>ROUND(+平成21年度!AK9/平成21年度!AM9,4)</f>
        <v>#VALUE!</v>
      </c>
      <c r="AP9" s="35">
        <f>ROUND(+平成21年度!AL9/平成21年度!AN9,4)</f>
        <v>1.6746000000000001</v>
      </c>
      <c r="AQ9" s="36" t="e">
        <f>ROUND((+平成21年度!AO9-平成21年度!AO8),4)</f>
        <v>#VALUE!</v>
      </c>
      <c r="AR9" s="36">
        <f>ROUND((+平成21年度!AP9-平成21年度!AP8),4)</f>
        <v>4.4200000000000003E-2</v>
      </c>
    </row>
    <row r="10" spans="1:44" ht="20.149999999999999" customHeight="1" thickBot="1" x14ac:dyDescent="0.25">
      <c r="A10" s="2" t="s">
        <v>864</v>
      </c>
      <c r="B10" s="378" t="s">
        <v>42</v>
      </c>
      <c r="C10" s="319">
        <v>43406</v>
      </c>
      <c r="D10" s="45">
        <f>平成21年度!E10+平成21年度!F10</f>
        <v>41284</v>
      </c>
      <c r="E10" s="45">
        <f>平成21年度!C10-平成21年度!G10-平成21年度!F10</f>
        <v>40593</v>
      </c>
      <c r="F10" s="46">
        <v>691</v>
      </c>
      <c r="G10" s="47">
        <v>2122</v>
      </c>
      <c r="H10" s="315">
        <f t="shared" si="0"/>
        <v>76753</v>
      </c>
      <c r="I10" s="45">
        <f>平成21年度!J10+平成21年度!K10</f>
        <v>72390</v>
      </c>
      <c r="J10" s="46">
        <v>45895</v>
      </c>
      <c r="K10" s="49">
        <v>26495</v>
      </c>
      <c r="L10" s="45">
        <f>平成21年度!M10+平成21年度!N10</f>
        <v>4363</v>
      </c>
      <c r="M10" s="46">
        <v>2900</v>
      </c>
      <c r="N10" s="47">
        <v>1463</v>
      </c>
      <c r="O10" s="319">
        <v>26823</v>
      </c>
      <c r="P10" s="45">
        <f t="shared" si="1"/>
        <v>22653</v>
      </c>
      <c r="Q10" s="393">
        <v>4170</v>
      </c>
      <c r="R10" s="44">
        <v>126909</v>
      </c>
      <c r="S10" s="46">
        <v>314607</v>
      </c>
      <c r="T10" s="51">
        <f>平成21年度!C10/平成21年度!R10</f>
        <v>0.34202460030415494</v>
      </c>
      <c r="U10" s="51">
        <f>平成21年度!H10/平成21年度!S10</f>
        <v>0.24396469245757404</v>
      </c>
      <c r="V10" s="52">
        <f>平成21年度!L10/平成21年度!H10</f>
        <v>5.6844683595429497E-2</v>
      </c>
      <c r="AJ10" s="63" t="s">
        <v>817</v>
      </c>
      <c r="AK10" s="64" t="e">
        <f>平成14年度!H21</f>
        <v>#VALUE!</v>
      </c>
      <c r="AL10" s="65">
        <f>平成14年度!C21</f>
        <v>48834.416666666664</v>
      </c>
      <c r="AM10" s="66" t="e">
        <f>平成14年度!P21</f>
        <v>#VALUE!</v>
      </c>
      <c r="AN10" s="66">
        <f>平成14年度!O21</f>
        <v>28534.416666666668</v>
      </c>
      <c r="AO10" s="67" t="e">
        <f>ROUND(+平成21年度!AK10/平成21年度!AM10,4)</f>
        <v>#VALUE!</v>
      </c>
      <c r="AP10" s="68">
        <f>ROUND(+平成21年度!AL10/平成21年度!AN10,4)</f>
        <v>1.7114</v>
      </c>
      <c r="AQ10" s="36" t="e">
        <f>ROUND((+平成21年度!AO10-平成21年度!AO9),4)</f>
        <v>#VALUE!</v>
      </c>
      <c r="AR10" s="36">
        <f>ROUND((+平成21年度!AP10-平成21年度!AP9),4)</f>
        <v>3.6799999999999999E-2</v>
      </c>
    </row>
    <row r="11" spans="1:44" ht="20.149999999999999" customHeight="1" thickTop="1" thickBot="1" x14ac:dyDescent="0.25">
      <c r="A11" s="2" t="s">
        <v>866</v>
      </c>
      <c r="B11" s="378" t="s">
        <v>43</v>
      </c>
      <c r="C11" s="319">
        <v>43378</v>
      </c>
      <c r="D11" s="45">
        <f>平成21年度!E11+平成21年度!F11</f>
        <v>41166</v>
      </c>
      <c r="E11" s="45">
        <f>平成21年度!C11-平成21年度!G11-平成21年度!F11</f>
        <v>40466</v>
      </c>
      <c r="F11" s="46">
        <v>700</v>
      </c>
      <c r="G11" s="47">
        <v>2212</v>
      </c>
      <c r="H11" s="315">
        <f t="shared" si="0"/>
        <v>76571</v>
      </c>
      <c r="I11" s="45">
        <f>平成21年度!J11+平成21年度!K11</f>
        <v>72084</v>
      </c>
      <c r="J11" s="46">
        <v>45532</v>
      </c>
      <c r="K11" s="49">
        <v>26552</v>
      </c>
      <c r="L11" s="45">
        <f>平成21年度!M11+平成21年度!N11</f>
        <v>4487</v>
      </c>
      <c r="M11" s="46">
        <v>3001</v>
      </c>
      <c r="N11" s="47">
        <v>1486</v>
      </c>
      <c r="O11" s="319">
        <v>26776</v>
      </c>
      <c r="P11" s="45">
        <f t="shared" si="1"/>
        <v>22499</v>
      </c>
      <c r="Q11" s="393">
        <v>4277</v>
      </c>
      <c r="R11" s="44">
        <v>126942</v>
      </c>
      <c r="S11" s="46">
        <v>314497</v>
      </c>
      <c r="T11" s="51">
        <f>平成21年度!C11/平成21年度!R11</f>
        <v>0.3417151139890659</v>
      </c>
      <c r="U11" s="51">
        <f>平成21年度!H11/平成21年度!S11</f>
        <v>0.24347132087110529</v>
      </c>
      <c r="V11" s="52">
        <f>平成21年度!L11/平成21年度!H11</f>
        <v>5.8599208577659948E-2</v>
      </c>
      <c r="AJ11" s="69" t="s">
        <v>907</v>
      </c>
      <c r="AK11" s="70" t="e">
        <f>平成21年度!H21</f>
        <v>#VALUE!</v>
      </c>
      <c r="AL11" s="71" t="e">
        <f>平成21年度!C21</f>
        <v>#VALUE!</v>
      </c>
      <c r="AM11" s="72" t="e">
        <f>平成21年度!S21</f>
        <v>#VALUE!</v>
      </c>
      <c r="AN11" s="72" t="e">
        <f>平成21年度!R21</f>
        <v>#VALUE!</v>
      </c>
      <c r="AO11" s="73" t="e">
        <f>ROUND(+平成21年度!AK11/平成21年度!AM11,4)</f>
        <v>#VALUE!</v>
      </c>
      <c r="AP11" s="74" t="e">
        <f>ROUND(+平成21年度!AL11/平成21年度!AN11,4)</f>
        <v>#VALUE!</v>
      </c>
      <c r="AQ11" s="36" t="e">
        <f>ROUND((+平成21年度!AO11-平成21年度!AO10),4)</f>
        <v>#VALUE!</v>
      </c>
      <c r="AR11" s="36" t="e">
        <f>ROUND((+平成21年度!AP11-平成21年度!AP10),4)</f>
        <v>#VALUE!</v>
      </c>
    </row>
    <row r="12" spans="1:44" ht="20.149999999999999" customHeight="1" thickTop="1" thickBot="1" x14ac:dyDescent="0.25">
      <c r="A12" s="2" t="s">
        <v>868</v>
      </c>
      <c r="B12" s="378" t="s">
        <v>44</v>
      </c>
      <c r="C12" s="319">
        <v>43265</v>
      </c>
      <c r="D12" s="45">
        <f>平成21年度!E12+平成21年度!F12</f>
        <v>40893</v>
      </c>
      <c r="E12" s="45">
        <f>平成21年度!C12-平成21年度!G12-平成21年度!F12</f>
        <v>39941</v>
      </c>
      <c r="F12" s="46">
        <v>952</v>
      </c>
      <c r="G12" s="47">
        <v>2372</v>
      </c>
      <c r="H12" s="315">
        <f t="shared" si="0"/>
        <v>76282</v>
      </c>
      <c r="I12" s="45">
        <f>平成21年度!J12+平成21年度!K12</f>
        <v>71332</v>
      </c>
      <c r="J12" s="46">
        <v>44765</v>
      </c>
      <c r="K12" s="49">
        <v>26567</v>
      </c>
      <c r="L12" s="45">
        <f>平成21年度!M12+平成21年度!N12</f>
        <v>4950</v>
      </c>
      <c r="M12" s="46">
        <v>3428</v>
      </c>
      <c r="N12" s="47">
        <v>1522</v>
      </c>
      <c r="O12" s="319">
        <v>26571</v>
      </c>
      <c r="P12" s="45">
        <f t="shared" si="1"/>
        <v>21866</v>
      </c>
      <c r="Q12" s="393">
        <v>4705</v>
      </c>
      <c r="R12" s="44">
        <v>126939</v>
      </c>
      <c r="S12" s="46">
        <v>314518</v>
      </c>
      <c r="T12" s="51">
        <f>平成21年度!C12/平成21年度!R12</f>
        <v>0.3408329985268515</v>
      </c>
      <c r="U12" s="51">
        <f>平成21年度!H12/平成21年度!S12</f>
        <v>0.24253619824620531</v>
      </c>
      <c r="V12" s="52">
        <f>平成21年度!L12/平成21年度!H12</f>
        <v>6.489079992658818E-2</v>
      </c>
      <c r="AJ12" s="1" t="s">
        <v>1103</v>
      </c>
    </row>
    <row r="13" spans="1:44" ht="20.149999999999999" customHeight="1" thickTop="1" thickBot="1" x14ac:dyDescent="0.25">
      <c r="A13" s="75" t="s">
        <v>275</v>
      </c>
      <c r="B13" s="377" t="s">
        <v>45</v>
      </c>
      <c r="C13" s="319">
        <v>43144</v>
      </c>
      <c r="D13" s="45">
        <f>平成21年度!E13+平成21年度!F13</f>
        <v>40739</v>
      </c>
      <c r="E13" s="45">
        <f>平成21年度!C13-平成21年度!G13-平成21年度!F13</f>
        <v>39786</v>
      </c>
      <c r="F13" s="46">
        <v>953</v>
      </c>
      <c r="G13" s="47">
        <v>2405</v>
      </c>
      <c r="H13" s="315">
        <f t="shared" si="0"/>
        <v>75994</v>
      </c>
      <c r="I13" s="45">
        <f>平成21年度!J13+平成21年度!K13</f>
        <v>71008</v>
      </c>
      <c r="J13" s="46">
        <v>44384</v>
      </c>
      <c r="K13" s="49">
        <v>26624</v>
      </c>
      <c r="L13" s="45">
        <f>平成21年度!M13+平成21年度!N13</f>
        <v>4986</v>
      </c>
      <c r="M13" s="46">
        <v>3455</v>
      </c>
      <c r="N13" s="47">
        <v>1531</v>
      </c>
      <c r="O13" s="319">
        <v>26424</v>
      </c>
      <c r="P13" s="45">
        <f t="shared" si="1"/>
        <v>21792</v>
      </c>
      <c r="Q13" s="393">
        <v>4632</v>
      </c>
      <c r="R13" s="44">
        <v>126976</v>
      </c>
      <c r="S13" s="46">
        <v>314577</v>
      </c>
      <c r="T13" s="51">
        <f>平成21年度!C13/平成21年度!R13</f>
        <v>0.33978074596774194</v>
      </c>
      <c r="U13" s="51">
        <f>平成21年度!H13/平成21年度!S13</f>
        <v>0.24157519462643487</v>
      </c>
      <c r="V13" s="52">
        <f>平成21年度!L13/平成21年度!H13</f>
        <v>6.5610442929704971E-2</v>
      </c>
      <c r="AJ13" s="69" t="s">
        <v>1106</v>
      </c>
      <c r="AK13" s="76" t="e">
        <f>平成21年度!AK10/平成21年度!AK4</f>
        <v>#VALUE!</v>
      </c>
      <c r="AL13" s="77" t="e">
        <f>平成21年度!AL10/平成21年度!AL4</f>
        <v>#VALUE!</v>
      </c>
      <c r="AM13" s="77" t="e">
        <f>平成21年度!AM10/平成21年度!AM4</f>
        <v>#VALUE!</v>
      </c>
      <c r="AN13" s="77" t="e">
        <f>平成21年度!AN10/平成21年度!AN4</f>
        <v>#VALUE!</v>
      </c>
      <c r="AO13" s="78" t="e">
        <f>平成21年度!AO10/平成21年度!AO4</f>
        <v>#VALUE!</v>
      </c>
      <c r="AP13" s="74" t="e">
        <f>平成21年度!AP10/平成21年度!AP4</f>
        <v>#VALUE!</v>
      </c>
    </row>
    <row r="14" spans="1:44" ht="20.149999999999999" customHeight="1" thickTop="1" x14ac:dyDescent="0.2">
      <c r="A14" s="75" t="s">
        <v>275</v>
      </c>
      <c r="B14" s="377" t="s">
        <v>46</v>
      </c>
      <c r="C14" s="319">
        <v>43068</v>
      </c>
      <c r="D14" s="45">
        <f>平成21年度!E14+平成21年度!F14</f>
        <v>40722</v>
      </c>
      <c r="E14" s="45">
        <f>平成21年度!C14-平成21年度!G14-平成21年度!F14</f>
        <v>39765</v>
      </c>
      <c r="F14" s="46">
        <v>957</v>
      </c>
      <c r="G14" s="47">
        <v>2346</v>
      </c>
      <c r="H14" s="315">
        <f t="shared" si="0"/>
        <v>75773</v>
      </c>
      <c r="I14" s="45">
        <f>平成21年度!J14+平成21年度!K14</f>
        <v>70928</v>
      </c>
      <c r="J14" s="46">
        <v>44256</v>
      </c>
      <c r="K14" s="49">
        <v>26672</v>
      </c>
      <c r="L14" s="45">
        <f>平成21年度!M14+平成21年度!N14</f>
        <v>4845</v>
      </c>
      <c r="M14" s="46">
        <v>3365</v>
      </c>
      <c r="N14" s="47">
        <v>1480</v>
      </c>
      <c r="O14" s="319">
        <v>26317</v>
      </c>
      <c r="P14" s="45">
        <f t="shared" si="1"/>
        <v>21702</v>
      </c>
      <c r="Q14" s="393">
        <v>4615</v>
      </c>
      <c r="R14" s="44">
        <v>126994</v>
      </c>
      <c r="S14" s="46">
        <v>314607</v>
      </c>
      <c r="T14" s="51">
        <f>平成21年度!C14/平成21年度!R14</f>
        <v>0.33913413232121203</v>
      </c>
      <c r="U14" s="51">
        <f>平成21年度!H14/平成21年度!S14</f>
        <v>0.24084969501632195</v>
      </c>
      <c r="V14" s="52">
        <f>平成21年度!L14/平成21年度!H14</f>
        <v>6.394098161614295E-2</v>
      </c>
    </row>
    <row r="15" spans="1:44" ht="20.149999999999999" customHeight="1" x14ac:dyDescent="0.2">
      <c r="A15" s="75" t="s">
        <v>2820</v>
      </c>
      <c r="B15" s="378" t="s">
        <v>47</v>
      </c>
      <c r="C15" s="319">
        <v>42948</v>
      </c>
      <c r="D15" s="45">
        <f>平成21年度!E15+平成21年度!F15</f>
        <v>40640</v>
      </c>
      <c r="E15" s="45">
        <f>平成21年度!C15-平成21年度!G15-平成21年度!F15</f>
        <v>39702</v>
      </c>
      <c r="F15" s="46">
        <v>938</v>
      </c>
      <c r="G15" s="47">
        <v>2308</v>
      </c>
      <c r="H15" s="315">
        <f t="shared" si="0"/>
        <v>75490</v>
      </c>
      <c r="I15" s="45">
        <f>平成21年度!J15+平成21年度!K15</f>
        <v>70730</v>
      </c>
      <c r="J15" s="46">
        <v>44063</v>
      </c>
      <c r="K15" s="49">
        <v>26667</v>
      </c>
      <c r="L15" s="45">
        <f>平成21年度!M15+平成21年度!N15</f>
        <v>4760</v>
      </c>
      <c r="M15" s="46">
        <v>3308</v>
      </c>
      <c r="N15" s="47">
        <v>1452</v>
      </c>
      <c r="O15" s="319">
        <v>26208</v>
      </c>
      <c r="P15" s="45">
        <f t="shared" si="1"/>
        <v>21678</v>
      </c>
      <c r="Q15" s="393">
        <v>4530</v>
      </c>
      <c r="R15" s="328">
        <v>127021</v>
      </c>
      <c r="S15" s="331">
        <v>314616</v>
      </c>
      <c r="T15" s="51">
        <f>平成21年度!C15/平成21年度!R15</f>
        <v>0.33811731918344212</v>
      </c>
      <c r="U15" s="51">
        <f>平成21年度!H15/平成21年度!S15</f>
        <v>0.23994329595443334</v>
      </c>
      <c r="V15" s="52">
        <f>平成21年度!L15/平成21年度!H15</f>
        <v>6.3054709233011E-2</v>
      </c>
      <c r="AJ15" s="1" t="s">
        <v>1111</v>
      </c>
    </row>
    <row r="16" spans="1:44" ht="20.149999999999999" customHeight="1" thickBot="1" x14ac:dyDescent="0.25">
      <c r="A16" s="1" t="s">
        <v>275</v>
      </c>
      <c r="B16" s="377" t="s">
        <v>48</v>
      </c>
      <c r="C16" s="319">
        <v>42813</v>
      </c>
      <c r="D16" s="45">
        <f>平成21年度!E16+平成21年度!F16</f>
        <v>40561</v>
      </c>
      <c r="E16" s="45">
        <f>平成21年度!C16-平成21年度!G16-平成21年度!F16</f>
        <v>39636</v>
      </c>
      <c r="F16" s="46">
        <v>925</v>
      </c>
      <c r="G16" s="47">
        <v>2252</v>
      </c>
      <c r="H16" s="315">
        <f t="shared" si="0"/>
        <v>75236</v>
      </c>
      <c r="I16" s="45">
        <f>平成21年度!J16+平成21年度!K16</f>
        <v>70609</v>
      </c>
      <c r="J16" s="46">
        <v>43898</v>
      </c>
      <c r="K16" s="49">
        <v>26711</v>
      </c>
      <c r="L16" s="45">
        <f>平成21年度!M16+平成21年度!N16</f>
        <v>4627</v>
      </c>
      <c r="M16" s="46">
        <v>3216</v>
      </c>
      <c r="N16" s="47">
        <v>1411</v>
      </c>
      <c r="O16" s="319">
        <v>26077</v>
      </c>
      <c r="P16" s="45">
        <f t="shared" si="1"/>
        <v>21676</v>
      </c>
      <c r="Q16" s="393">
        <v>4401</v>
      </c>
      <c r="R16" s="328">
        <v>126983</v>
      </c>
      <c r="S16" s="398">
        <v>314489</v>
      </c>
      <c r="T16" s="399">
        <f>平成21年度!C16/平成21年度!R16</f>
        <v>0.3371553672538844</v>
      </c>
      <c r="U16" s="51">
        <f>平成21年度!H16/平成21年度!S16</f>
        <v>0.23923253277539119</v>
      </c>
      <c r="V16" s="52">
        <f>平成21年度!L16/平成21年度!H16</f>
        <v>6.1499813918868627E-2</v>
      </c>
    </row>
    <row r="17" spans="2:44" ht="20.149999999999999" customHeight="1" thickTop="1" thickBot="1" x14ac:dyDescent="0.25">
      <c r="B17" s="377" t="s">
        <v>49</v>
      </c>
      <c r="C17" s="319">
        <v>42648</v>
      </c>
      <c r="D17" s="45">
        <f>平成21年度!E17+平成21年度!F17</f>
        <v>40378</v>
      </c>
      <c r="E17" s="45">
        <f>平成21年度!C17-平成21年度!G17-平成21年度!F17</f>
        <v>39453</v>
      </c>
      <c r="F17" s="46">
        <v>925</v>
      </c>
      <c r="G17" s="47">
        <v>2270</v>
      </c>
      <c r="H17" s="315">
        <f t="shared" si="0"/>
        <v>74934</v>
      </c>
      <c r="I17" s="45">
        <f>平成21年度!J17+平成21年度!K17</f>
        <v>70326</v>
      </c>
      <c r="J17" s="46">
        <v>43721</v>
      </c>
      <c r="K17" s="49">
        <v>26605</v>
      </c>
      <c r="L17" s="45">
        <f>平成21年度!M17+平成21年度!N17</f>
        <v>4608</v>
      </c>
      <c r="M17" s="46">
        <v>3219</v>
      </c>
      <c r="N17" s="47">
        <v>1389</v>
      </c>
      <c r="O17" s="319">
        <v>25941</v>
      </c>
      <c r="P17" s="45">
        <f t="shared" si="1"/>
        <v>21552</v>
      </c>
      <c r="Q17" s="393">
        <v>4389</v>
      </c>
      <c r="R17" s="395">
        <v>127011</v>
      </c>
      <c r="S17" s="400">
        <v>314374</v>
      </c>
      <c r="T17" s="50">
        <f>平成21年度!C17/平成21年度!R17</f>
        <v>0.33578194014691642</v>
      </c>
      <c r="U17" s="51">
        <f>平成21年度!H17/平成21年度!S17</f>
        <v>0.23835940631222685</v>
      </c>
      <c r="V17" s="52">
        <f>平成21年度!L17/平成21年度!H17</f>
        <v>6.1494114821042514E-2</v>
      </c>
      <c r="AJ17" s="4"/>
      <c r="AK17" s="5" t="s">
        <v>1038</v>
      </c>
      <c r="AL17" s="6" t="s">
        <v>1039</v>
      </c>
      <c r="AM17" s="7" t="s">
        <v>1040</v>
      </c>
      <c r="AN17" s="7" t="s">
        <v>1041</v>
      </c>
      <c r="AO17" s="7" t="s">
        <v>1042</v>
      </c>
      <c r="AP17" s="8" t="s">
        <v>1043</v>
      </c>
      <c r="AQ17" s="1" t="s">
        <v>1044</v>
      </c>
      <c r="AR17" s="1" t="s">
        <v>1045</v>
      </c>
    </row>
    <row r="18" spans="2:44" ht="20.149999999999999" customHeight="1" thickTop="1" x14ac:dyDescent="0.2">
      <c r="B18" s="378" t="s">
        <v>50</v>
      </c>
      <c r="C18" s="319">
        <v>42503</v>
      </c>
      <c r="D18" s="45">
        <f>平成21年度!E18+平成21年度!F18</f>
        <v>40240</v>
      </c>
      <c r="E18" s="45">
        <f>平成21年度!C18-平成21年度!G18-平成21年度!F18</f>
        <v>39323</v>
      </c>
      <c r="F18" s="46">
        <v>917</v>
      </c>
      <c r="G18" s="47">
        <v>2263</v>
      </c>
      <c r="H18" s="315">
        <f t="shared" si="0"/>
        <v>74701</v>
      </c>
      <c r="I18" s="45">
        <f>平成21年度!J18+平成21年度!K18</f>
        <v>70123</v>
      </c>
      <c r="J18" s="46">
        <v>43529</v>
      </c>
      <c r="K18" s="49">
        <v>26594</v>
      </c>
      <c r="L18" s="45">
        <f>平成21年度!M18+平成21年度!N18</f>
        <v>4578</v>
      </c>
      <c r="M18" s="46">
        <v>3191</v>
      </c>
      <c r="N18" s="47">
        <v>1387</v>
      </c>
      <c r="O18" s="319">
        <v>25838</v>
      </c>
      <c r="P18" s="45">
        <f t="shared" si="1"/>
        <v>21483</v>
      </c>
      <c r="Q18" s="393">
        <v>4355</v>
      </c>
      <c r="R18" s="333">
        <v>126984</v>
      </c>
      <c r="S18" s="401">
        <v>314235</v>
      </c>
      <c r="T18" s="50">
        <f>平成21年度!C18/平成21年度!R18</f>
        <v>0.33471145971145971</v>
      </c>
      <c r="U18" s="51">
        <f>平成21年度!H18/平成21年度!S18</f>
        <v>0.23772335990580298</v>
      </c>
      <c r="V18" s="52">
        <f>平成21年度!L18/平成21年度!H18</f>
        <v>6.1284320156356674E-2</v>
      </c>
      <c r="AJ18" s="17" t="s">
        <v>1055</v>
      </c>
      <c r="AK18" s="18">
        <f>平成９年度!H19</f>
        <v>78843</v>
      </c>
      <c r="AL18" s="19">
        <f>平成９年度!C19</f>
        <v>39808</v>
      </c>
      <c r="AM18" s="20">
        <f>平成９年度!P19</f>
        <v>291366</v>
      </c>
      <c r="AN18" s="20">
        <f>平成９年度!O19</f>
        <v>103255</v>
      </c>
      <c r="AO18" s="21">
        <f>ROUND(+平成21年度!AK18/平成21年度!AM18,4)</f>
        <v>0.27060000000000001</v>
      </c>
      <c r="AP18" s="22">
        <f>ROUND(+平成21年度!AL18/平成21年度!AN18,4)</f>
        <v>0.38550000000000001</v>
      </c>
    </row>
    <row r="19" spans="2:44" ht="20.149999999999999" customHeight="1" x14ac:dyDescent="0.2">
      <c r="B19" s="378" t="s">
        <v>51</v>
      </c>
      <c r="C19" s="319">
        <v>42401</v>
      </c>
      <c r="D19" s="45">
        <f>平成21年度!E19+平成21年度!F19</f>
        <v>40109</v>
      </c>
      <c r="E19" s="45">
        <f>平成21年度!C19-平成21年度!G19-平成21年度!F19</f>
        <v>39175</v>
      </c>
      <c r="F19" s="46">
        <v>934</v>
      </c>
      <c r="G19" s="47">
        <v>2292</v>
      </c>
      <c r="H19" s="315">
        <f t="shared" si="0"/>
        <v>74510</v>
      </c>
      <c r="I19" s="45">
        <f>平成21年度!J19+平成21年度!K19</f>
        <v>69993</v>
      </c>
      <c r="J19" s="46">
        <v>43463</v>
      </c>
      <c r="K19" s="49">
        <v>26530</v>
      </c>
      <c r="L19" s="45">
        <f>平成21年度!M19+平成21年度!N19</f>
        <v>4517</v>
      </c>
      <c r="M19" s="46">
        <v>3145</v>
      </c>
      <c r="N19" s="47">
        <v>1372</v>
      </c>
      <c r="O19" s="319">
        <v>25779</v>
      </c>
      <c r="P19" s="45">
        <f t="shared" si="1"/>
        <v>21483</v>
      </c>
      <c r="Q19" s="393">
        <v>4296</v>
      </c>
      <c r="R19" s="386">
        <v>127082</v>
      </c>
      <c r="S19" s="402">
        <v>313890</v>
      </c>
      <c r="T19" s="50">
        <f>平成21年度!C19/平成21年度!R19</f>
        <v>0.33365071371240618</v>
      </c>
      <c r="U19" s="51">
        <f>平成21年度!H19/平成21年度!S19</f>
        <v>0.23737615088088185</v>
      </c>
      <c r="V19" s="52">
        <f>平成21年度!L19/平成21年度!H19</f>
        <v>6.0622735203328414E-2</v>
      </c>
      <c r="AJ19" s="30" t="s">
        <v>1074</v>
      </c>
      <c r="AK19" s="31">
        <f>平成10年度!H19</f>
        <v>81903</v>
      </c>
      <c r="AL19" s="32">
        <f>平成10年度!C19</f>
        <v>41659</v>
      </c>
      <c r="AM19" s="33">
        <f>平成10年度!P19</f>
        <v>291953</v>
      </c>
      <c r="AN19" s="33">
        <f>平成10年度!O19</f>
        <v>104651</v>
      </c>
      <c r="AO19" s="34">
        <f>ROUND(+平成21年度!AK19/平成21年度!AM19,4)</f>
        <v>0.28050000000000003</v>
      </c>
      <c r="AP19" s="35">
        <f>ROUND(+平成21年度!AL19/平成21年度!AN19,4)</f>
        <v>0.39810000000000001</v>
      </c>
      <c r="AQ19" s="36">
        <f>ROUND((+平成21年度!AO19-平成21年度!AO18),4)</f>
        <v>9.9000000000000008E-3</v>
      </c>
      <c r="AR19" s="36">
        <f>ROUND((+平成21年度!AP19-平成21年度!AP18),4)</f>
        <v>1.26E-2</v>
      </c>
    </row>
    <row r="20" spans="2:44" s="404" customFormat="1" ht="20.149999999999999" customHeight="1" x14ac:dyDescent="0.2">
      <c r="B20" s="405" t="s">
        <v>52</v>
      </c>
      <c r="C20" s="425">
        <f>SUM(C8:C19)</f>
        <v>516376</v>
      </c>
      <c r="D20" s="426">
        <f t="shared" ref="D20:S20" si="2">SUM(D8:D19)</f>
        <v>489153</v>
      </c>
      <c r="E20" s="426">
        <f t="shared" si="2"/>
        <v>478845</v>
      </c>
      <c r="F20" s="426">
        <f t="shared" si="2"/>
        <v>10308</v>
      </c>
      <c r="G20" s="423">
        <f t="shared" si="2"/>
        <v>27223</v>
      </c>
      <c r="H20" s="425">
        <f t="shared" si="2"/>
        <v>910122</v>
      </c>
      <c r="I20" s="426">
        <f t="shared" si="2"/>
        <v>854337</v>
      </c>
      <c r="J20" s="426">
        <f t="shared" si="2"/>
        <v>535462</v>
      </c>
      <c r="K20" s="426">
        <f t="shared" si="2"/>
        <v>318875</v>
      </c>
      <c r="L20" s="426">
        <f t="shared" si="2"/>
        <v>55785</v>
      </c>
      <c r="M20" s="426">
        <f t="shared" si="2"/>
        <v>38238</v>
      </c>
      <c r="N20" s="423">
        <f t="shared" si="2"/>
        <v>17547</v>
      </c>
      <c r="O20" s="425">
        <f t="shared" si="2"/>
        <v>316680</v>
      </c>
      <c r="P20" s="426">
        <f t="shared" si="2"/>
        <v>263648</v>
      </c>
      <c r="Q20" s="423">
        <f t="shared" si="2"/>
        <v>53032</v>
      </c>
      <c r="R20" s="427">
        <f t="shared" si="2"/>
        <v>1523361</v>
      </c>
      <c r="S20" s="422">
        <f t="shared" si="2"/>
        <v>3773547</v>
      </c>
      <c r="T20" s="412">
        <f>平成21年度!C20/平成21年度!R20</f>
        <v>0.33897152414956139</v>
      </c>
      <c r="U20" s="413">
        <f>平成21年度!H20/平成21年度!S20</f>
        <v>0.24118475270084089</v>
      </c>
      <c r="V20" s="414">
        <f>平成21年度!L20/平成21年度!H20</f>
        <v>6.1293980367467221E-2</v>
      </c>
      <c r="AJ20" s="415" t="s">
        <v>1088</v>
      </c>
      <c r="AK20" s="416">
        <f>平成11年度!H19</f>
        <v>85006</v>
      </c>
      <c r="AL20" s="417">
        <f>平成11年度!C19</f>
        <v>43579</v>
      </c>
      <c r="AM20" s="418">
        <f>平成11年度!P19</f>
        <v>292833</v>
      </c>
      <c r="AN20" s="418">
        <f>平成11年度!O19</f>
        <v>106170</v>
      </c>
      <c r="AO20" s="419">
        <f>ROUND(+平成21年度!AK20/平成21年度!AM20,4)</f>
        <v>0.2903</v>
      </c>
      <c r="AP20" s="420">
        <f>ROUND(+平成21年度!AL20/平成21年度!AN20,4)</f>
        <v>0.41049999999999998</v>
      </c>
      <c r="AQ20" s="421">
        <f>ROUND((+平成21年度!AO20-平成21年度!AO19),4)</f>
        <v>9.7999999999999997E-3</v>
      </c>
      <c r="AR20" s="421">
        <f>ROUND((+平成21年度!AP20-平成21年度!AP19),4)</f>
        <v>1.24E-2</v>
      </c>
    </row>
    <row r="21" spans="2:44" s="404" customFormat="1" ht="20.149999999999999" customHeight="1" x14ac:dyDescent="0.2">
      <c r="B21" s="405" t="s">
        <v>53</v>
      </c>
      <c r="C21" s="422" t="e">
        <f>#VALUE!</f>
        <v>#VALUE!</v>
      </c>
      <c r="D21" s="422" t="e">
        <f>#VALUE!</f>
        <v>#VALUE!</v>
      </c>
      <c r="E21" s="423" t="e">
        <f>#VALUE!</f>
        <v>#VALUE!</v>
      </c>
      <c r="F21" s="423" t="e">
        <f>#VALUE!</f>
        <v>#VALUE!</v>
      </c>
      <c r="G21" s="423" t="e">
        <f>#VALUE!</f>
        <v>#VALUE!</v>
      </c>
      <c r="H21" s="406" t="e">
        <f>#VALUE!</f>
        <v>#VALUE!</v>
      </c>
      <c r="I21" s="422" t="e">
        <f>#VALUE!</f>
        <v>#VALUE!</v>
      </c>
      <c r="J21" s="422" t="e">
        <f>#VALUE!</f>
        <v>#VALUE!</v>
      </c>
      <c r="K21" s="422" t="e">
        <f>#VALUE!</f>
        <v>#VALUE!</v>
      </c>
      <c r="L21" s="423" t="e">
        <f>#VALUE!</f>
        <v>#VALUE!</v>
      </c>
      <c r="M21" s="423" t="e">
        <f>#VALUE!</f>
        <v>#VALUE!</v>
      </c>
      <c r="N21" s="424" t="e">
        <f>#VALUE!</f>
        <v>#VALUE!</v>
      </c>
      <c r="O21" s="406" t="e">
        <f>#VALUE!</f>
        <v>#VALUE!</v>
      </c>
      <c r="P21" s="422" t="e">
        <f>#VALUE!</f>
        <v>#VALUE!</v>
      </c>
      <c r="Q21" s="422" t="e">
        <f>#VALUE!</f>
        <v>#VALUE!</v>
      </c>
      <c r="R21" s="406" t="e">
        <f>#VALUE!</f>
        <v>#VALUE!</v>
      </c>
      <c r="S21" s="423" t="e">
        <f>#VALUE!</f>
        <v>#VALUE!</v>
      </c>
      <c r="T21" s="412" t="e">
        <f>平成21年度!C21/平成21年度!R21</f>
        <v>#VALUE!</v>
      </c>
      <c r="U21" s="413" t="e">
        <f>平成21年度!H21/平成21年度!S21</f>
        <v>#VALUE!</v>
      </c>
      <c r="V21" s="414" t="e">
        <f>平成21年度!L21/平成21年度!H21</f>
        <v>#VALUE!</v>
      </c>
      <c r="AJ21" s="415" t="s">
        <v>284</v>
      </c>
      <c r="AK21" s="416">
        <f>平成12年度!H19</f>
        <v>87854</v>
      </c>
      <c r="AL21" s="417">
        <f>平成12年度!C19</f>
        <v>45290</v>
      </c>
      <c r="AM21" s="418">
        <f>平成12年度!P19</f>
        <v>20917</v>
      </c>
      <c r="AN21" s="418">
        <f>平成12年度!O19</f>
        <v>27178</v>
      </c>
      <c r="AO21" s="419">
        <f>ROUND(+平成21年度!AK21/平成21年度!AM21,4)</f>
        <v>4.2000999999999999</v>
      </c>
      <c r="AP21" s="420">
        <f>ROUND(+平成21年度!AL21/平成21年度!AN21,4)</f>
        <v>1.6664000000000001</v>
      </c>
      <c r="AQ21" s="421">
        <f>ROUND((+平成21年度!AO21-平成21年度!AO20),4)</f>
        <v>3.9098000000000002</v>
      </c>
      <c r="AR21" s="421">
        <f>ROUND((+平成21年度!AP21-平成21年度!AP20),4)</f>
        <v>1.2559</v>
      </c>
    </row>
    <row r="22" spans="2:44" s="343" customFormat="1" ht="20.149999999999999" customHeight="1" x14ac:dyDescent="0.2">
      <c r="B22" s="381"/>
      <c r="C22" s="344"/>
      <c r="D22" s="383"/>
      <c r="E22" s="387"/>
      <c r="F22" s="387"/>
      <c r="G22" s="388"/>
      <c r="H22" s="346"/>
      <c r="I22" s="345"/>
      <c r="J22" s="387"/>
      <c r="K22" s="387"/>
      <c r="L22" s="346"/>
      <c r="M22" s="387"/>
      <c r="N22" s="384"/>
      <c r="O22" s="344"/>
      <c r="P22" s="383"/>
      <c r="Q22" s="384"/>
      <c r="R22" s="385"/>
      <c r="S22" s="383"/>
      <c r="T22" s="348"/>
      <c r="U22" s="348"/>
      <c r="V22" s="347"/>
      <c r="AJ22" s="349" t="s">
        <v>607</v>
      </c>
      <c r="AK22" s="350">
        <f>平成13年度!H19</f>
        <v>91363</v>
      </c>
      <c r="AL22" s="351">
        <f>平成13年度!C19</f>
        <v>47502</v>
      </c>
      <c r="AM22" s="352">
        <f>平成13年度!P19</f>
        <v>21019</v>
      </c>
      <c r="AN22" s="352">
        <f>平成13年度!O19</f>
        <v>27824</v>
      </c>
      <c r="AO22" s="353">
        <f>ROUND(+平成21年度!AK22/平成21年度!AM22,4)</f>
        <v>4.3467000000000002</v>
      </c>
      <c r="AP22" s="354">
        <f>ROUND(+平成21年度!AL22/平成21年度!AN22,4)</f>
        <v>1.7072000000000001</v>
      </c>
      <c r="AQ22" s="355">
        <f>ROUND((+平成21年度!AO22-平成21年度!AO21),4)</f>
        <v>0.14660000000000001</v>
      </c>
      <c r="AR22" s="355">
        <f>ROUND((+平成21年度!AP22-平成21年度!AP21),4)</f>
        <v>4.0800000000000003E-2</v>
      </c>
    </row>
    <row r="23" spans="2:44" ht="20.149999999999999" customHeight="1" x14ac:dyDescent="0.2">
      <c r="B23" s="377" t="s">
        <v>54</v>
      </c>
      <c r="C23" s="314">
        <f>平成21年度!C8</f>
        <v>43387</v>
      </c>
      <c r="D23" s="45">
        <f>平成21年度!D8</f>
        <v>41181</v>
      </c>
      <c r="E23" s="79">
        <f>平成21年度!E8</f>
        <v>40470</v>
      </c>
      <c r="F23" s="79">
        <f>平成21年度!F8</f>
        <v>711</v>
      </c>
      <c r="G23" s="80">
        <f>平成21年度!G8</f>
        <v>2206</v>
      </c>
      <c r="H23" s="314">
        <f>平成21年度!H8</f>
        <v>76958</v>
      </c>
      <c r="I23" s="45">
        <f>平成21年度!I8</f>
        <v>72382</v>
      </c>
      <c r="J23" s="79">
        <f>平成21年度!J8</f>
        <v>45963</v>
      </c>
      <c r="K23" s="79">
        <f>平成21年度!K8</f>
        <v>26419</v>
      </c>
      <c r="L23" s="79">
        <f>平成21年度!L8</f>
        <v>4576</v>
      </c>
      <c r="M23" s="79">
        <f>平成21年度!M8</f>
        <v>3032</v>
      </c>
      <c r="N23" s="80">
        <f>平成21年度!N8</f>
        <v>1544</v>
      </c>
      <c r="O23" s="314">
        <f>平成21年度!O8</f>
        <v>27001</v>
      </c>
      <c r="P23" s="45">
        <f>平成21年度!P8</f>
        <v>22630</v>
      </c>
      <c r="Q23" s="80">
        <f>平成21年度!Q8</f>
        <v>4371</v>
      </c>
      <c r="R23" s="48">
        <f>平成21年度!R8</f>
        <v>126688</v>
      </c>
      <c r="S23" s="45">
        <f>平成21年度!S8</f>
        <v>314496</v>
      </c>
      <c r="T23" s="50">
        <f>平成21年度!C23/平成21年度!R23</f>
        <v>0.34247126799696892</v>
      </c>
      <c r="U23" s="51">
        <f>平成21年度!H23/平成21年度!S23</f>
        <v>0.24470263532763534</v>
      </c>
      <c r="V23" s="52">
        <f>平成21年度!L23/平成21年度!H23</f>
        <v>5.9461004703864444E-2</v>
      </c>
      <c r="AJ23" s="63" t="s">
        <v>817</v>
      </c>
      <c r="AK23" s="64">
        <f>平成14年度!H19</f>
        <v>94728</v>
      </c>
      <c r="AL23" s="65">
        <f>平成14年度!C19</f>
        <v>49426</v>
      </c>
      <c r="AM23" s="66">
        <f>平成14年度!P19</f>
        <v>21441</v>
      </c>
      <c r="AN23" s="66">
        <f>平成14年度!O19</f>
        <v>28446</v>
      </c>
      <c r="AO23" s="67">
        <f>ROUND(+平成21年度!AK23/平成21年度!AM23,4)</f>
        <v>4.4180999999999999</v>
      </c>
      <c r="AP23" s="68">
        <f>ROUND(+平成21年度!AL23/平成21年度!AN23,4)</f>
        <v>1.7375</v>
      </c>
      <c r="AQ23" s="36">
        <f>ROUND((+平成21年度!AO23-平成21年度!AO22),4)</f>
        <v>7.1400000000000005E-2</v>
      </c>
      <c r="AR23" s="36">
        <f>ROUND((+平成21年度!AP23-平成21年度!AP22),4)</f>
        <v>3.0300000000000001E-2</v>
      </c>
    </row>
    <row r="24" spans="2:44" ht="20.149999999999999" customHeight="1" x14ac:dyDescent="0.2">
      <c r="B24" s="378" t="s">
        <v>55</v>
      </c>
      <c r="C24" s="315">
        <f>SUM(平成21年度!C8:C9)</f>
        <v>86802</v>
      </c>
      <c r="D24" s="55">
        <f>SUM(平成21年度!D8:D9)</f>
        <v>82421</v>
      </c>
      <c r="E24" s="89">
        <f>SUM(平成21年度!E8:E9)</f>
        <v>81005</v>
      </c>
      <c r="F24" s="89">
        <f>SUM(平成21年度!F8:F9)</f>
        <v>1416</v>
      </c>
      <c r="G24" s="90">
        <f>SUM(平成21年度!G8:G9)</f>
        <v>4381</v>
      </c>
      <c r="H24" s="315">
        <f>SUM(平成21年度!H8:H9)</f>
        <v>153878</v>
      </c>
      <c r="I24" s="55">
        <f>SUM(平成21年度!I8:I9)</f>
        <v>144814</v>
      </c>
      <c r="J24" s="89">
        <f>SUM(平成21年度!J8:J9)</f>
        <v>91956</v>
      </c>
      <c r="K24" s="89">
        <f>SUM(平成21年度!K8:K9)</f>
        <v>52858</v>
      </c>
      <c r="L24" s="89">
        <f>SUM(平成21年度!L8:L9)</f>
        <v>9064</v>
      </c>
      <c r="M24" s="89">
        <f>SUM(平成21年度!M8:M9)</f>
        <v>6010</v>
      </c>
      <c r="N24" s="90">
        <f>SUM(平成21年度!N8:N9)</f>
        <v>3054</v>
      </c>
      <c r="O24" s="315">
        <f>SUM(平成21年度!O8:O9)</f>
        <v>53926</v>
      </c>
      <c r="P24" s="55">
        <f>SUM(平成21年度!P8:P9)</f>
        <v>45264</v>
      </c>
      <c r="Q24" s="90">
        <f>SUM(平成21年度!Q8:Q9)</f>
        <v>8662</v>
      </c>
      <c r="R24" s="58">
        <f>SUM(平成21年度!R8:R9)</f>
        <v>253520</v>
      </c>
      <c r="S24" s="55">
        <f>SUM(平成21年度!S8:S9)</f>
        <v>629137</v>
      </c>
      <c r="T24" s="60">
        <f>平成21年度!C24/平成21年度!R24</f>
        <v>0.34238718838750393</v>
      </c>
      <c r="U24" s="61">
        <f>平成21年度!H24/平成21年度!S24</f>
        <v>0.24458583742491699</v>
      </c>
      <c r="V24" s="62">
        <f>平成21年度!L24/平成21年度!H24</f>
        <v>5.8903806911969225E-2</v>
      </c>
      <c r="AJ24" s="69" t="s">
        <v>907</v>
      </c>
      <c r="AK24" s="70">
        <f>平成21年度!H14</f>
        <v>75773</v>
      </c>
      <c r="AL24" s="71">
        <f>平成21年度!C14</f>
        <v>43068</v>
      </c>
      <c r="AM24" s="72">
        <f>平成21年度!S14</f>
        <v>314607</v>
      </c>
      <c r="AN24" s="72">
        <f>平成21年度!R14</f>
        <v>126994</v>
      </c>
      <c r="AO24" s="73">
        <f>ROUND(+平成21年度!AK24/平成21年度!AM24,4)</f>
        <v>0.24079999999999999</v>
      </c>
      <c r="AP24" s="74">
        <f>ROUND(+平成21年度!AL24/平成21年度!AN24,4)</f>
        <v>0.33910000000000001</v>
      </c>
      <c r="AQ24" s="36">
        <f>ROUND((+平成21年度!AO24-平成21年度!AO23),4)</f>
        <v>-4.1772999999999998</v>
      </c>
      <c r="AR24" s="36">
        <f>ROUND((+平成21年度!AP24-平成21年度!AP23),4)</f>
        <v>-1.3984000000000001</v>
      </c>
    </row>
    <row r="25" spans="2:44" ht="20.149999999999999" customHeight="1" x14ac:dyDescent="0.2">
      <c r="B25" s="378" t="s">
        <v>56</v>
      </c>
      <c r="C25" s="315">
        <f>SUM(平成21年度!C8:C10)</f>
        <v>130208</v>
      </c>
      <c r="D25" s="55">
        <f>SUM(平成21年度!D8:D10)</f>
        <v>123705</v>
      </c>
      <c r="E25" s="89">
        <f>SUM(平成21年度!E8:E10)</f>
        <v>121598</v>
      </c>
      <c r="F25" s="89">
        <f>SUM(平成21年度!F8:F10)</f>
        <v>2107</v>
      </c>
      <c r="G25" s="90">
        <f>SUM(平成21年度!G8:G10)</f>
        <v>6503</v>
      </c>
      <c r="H25" s="315">
        <f>SUM(平成21年度!H8:H10)</f>
        <v>230631</v>
      </c>
      <c r="I25" s="55">
        <f>SUM(平成21年度!I8:I10)</f>
        <v>217204</v>
      </c>
      <c r="J25" s="89">
        <f>SUM(平成21年度!J8:J10)</f>
        <v>137851</v>
      </c>
      <c r="K25" s="89">
        <f>SUM(平成21年度!K8:K10)</f>
        <v>79353</v>
      </c>
      <c r="L25" s="89">
        <f>SUM(平成21年度!L8:L10)</f>
        <v>13427</v>
      </c>
      <c r="M25" s="89">
        <f>SUM(平成21年度!M8:M10)</f>
        <v>8910</v>
      </c>
      <c r="N25" s="90">
        <f>SUM(平成21年度!N8:N10)</f>
        <v>4517</v>
      </c>
      <c r="O25" s="315">
        <f>SUM(平成21年度!O8:O10)</f>
        <v>80749</v>
      </c>
      <c r="P25" s="55">
        <f>SUM(平成21年度!P8:P10)</f>
        <v>67917</v>
      </c>
      <c r="Q25" s="90">
        <f>SUM(平成21年度!Q8:Q10)</f>
        <v>12832</v>
      </c>
      <c r="R25" s="58">
        <f>SUM(平成21年度!R8:R10)</f>
        <v>380429</v>
      </c>
      <c r="S25" s="55">
        <f>SUM(平成21年度!S8:S10)</f>
        <v>943744</v>
      </c>
      <c r="T25" s="60">
        <f>平成21年度!C25/平成21年度!R25</f>
        <v>0.34226623101814002</v>
      </c>
      <c r="U25" s="61">
        <f>平成21年度!H25/平成21年度!S25</f>
        <v>0.24437877220941273</v>
      </c>
      <c r="V25" s="62">
        <f>平成21年度!L25/平成21年度!H25</f>
        <v>5.8218539571870218E-2</v>
      </c>
      <c r="AJ25" s="1" t="s">
        <v>1137</v>
      </c>
    </row>
    <row r="26" spans="2:44" ht="20.149999999999999" customHeight="1" x14ac:dyDescent="0.2">
      <c r="B26" s="378" t="s">
        <v>57</v>
      </c>
      <c r="C26" s="315">
        <f>SUM(平成21年度!C8:C11)</f>
        <v>173586</v>
      </c>
      <c r="D26" s="55">
        <f>SUM(平成21年度!D8:D11)</f>
        <v>164871</v>
      </c>
      <c r="E26" s="89">
        <f>SUM(平成21年度!E8:E11)</f>
        <v>162064</v>
      </c>
      <c r="F26" s="89">
        <f>SUM(平成21年度!F8:F11)</f>
        <v>2807</v>
      </c>
      <c r="G26" s="90">
        <f>SUM(平成21年度!G8:G11)</f>
        <v>8715</v>
      </c>
      <c r="H26" s="315">
        <f>SUM(平成21年度!H8:H11)</f>
        <v>307202</v>
      </c>
      <c r="I26" s="55">
        <f>SUM(平成21年度!I8:I11)</f>
        <v>289288</v>
      </c>
      <c r="J26" s="89">
        <f>SUM(平成21年度!J8:J11)</f>
        <v>183383</v>
      </c>
      <c r="K26" s="89">
        <f>SUM(平成21年度!K8:K11)</f>
        <v>105905</v>
      </c>
      <c r="L26" s="89">
        <f>SUM(平成21年度!L8:L11)</f>
        <v>17914</v>
      </c>
      <c r="M26" s="89">
        <f>SUM(平成21年度!M8:M11)</f>
        <v>11911</v>
      </c>
      <c r="N26" s="90">
        <f>SUM(平成21年度!N8:N11)</f>
        <v>6003</v>
      </c>
      <c r="O26" s="315">
        <f>SUM(平成21年度!O8:O11)</f>
        <v>107525</v>
      </c>
      <c r="P26" s="55">
        <f>SUM(平成21年度!P8:P11)</f>
        <v>90416</v>
      </c>
      <c r="Q26" s="90">
        <f>SUM(平成21年度!Q8:Q11)</f>
        <v>17109</v>
      </c>
      <c r="R26" s="58">
        <f>SUM(平成21年度!R8:R11)</f>
        <v>507371</v>
      </c>
      <c r="S26" s="55">
        <f>SUM(平成21年度!S8:S11)</f>
        <v>1258241</v>
      </c>
      <c r="T26" s="60">
        <f>平成21年度!C26/平成21年度!R26</f>
        <v>0.34212834395343839</v>
      </c>
      <c r="U26" s="61">
        <f>平成21年度!H26/平成21年度!S26</f>
        <v>0.24415195499113446</v>
      </c>
      <c r="V26" s="62">
        <f>平成21年度!L26/平成21年度!H26</f>
        <v>5.8313422438655997E-2</v>
      </c>
      <c r="AJ26" s="69" t="s">
        <v>1106</v>
      </c>
      <c r="AK26" s="76">
        <f>平成21年度!AK23/平成21年度!AK18</f>
        <v>1.2014763517369964</v>
      </c>
      <c r="AL26" s="77">
        <f>平成21年度!AL23/平成21年度!AL18</f>
        <v>1.241609726688103</v>
      </c>
      <c r="AM26" s="77">
        <f>平成21年度!AM23/平成21年度!AM18</f>
        <v>7.3587858569634068E-2</v>
      </c>
      <c r="AN26" s="77">
        <f>平成21年度!AN23/平成21年度!AN18</f>
        <v>0.27549271221732602</v>
      </c>
      <c r="AO26" s="78">
        <f>平成21年度!AO23/平成21年度!AO18</f>
        <v>16.327050997782706</v>
      </c>
      <c r="AP26" s="74">
        <f>平成21年度!AP23/平成21年度!AP18</f>
        <v>4.5071335927367056</v>
      </c>
    </row>
    <row r="27" spans="2:44" ht="20.149999999999999" customHeight="1" x14ac:dyDescent="0.2">
      <c r="B27" s="378" t="s">
        <v>58</v>
      </c>
      <c r="C27" s="315">
        <f>SUM(平成21年度!C8:C12)</f>
        <v>216851</v>
      </c>
      <c r="D27" s="55">
        <f>SUM(平成21年度!D8:D12)</f>
        <v>205764</v>
      </c>
      <c r="E27" s="89">
        <f>SUM(平成21年度!E8:E12)</f>
        <v>202005</v>
      </c>
      <c r="F27" s="89">
        <f>SUM(平成21年度!F8:F12)</f>
        <v>3759</v>
      </c>
      <c r="G27" s="90">
        <f>SUM(平成21年度!G8:G12)</f>
        <v>11087</v>
      </c>
      <c r="H27" s="315">
        <f>SUM(平成21年度!H8:H12)</f>
        <v>383484</v>
      </c>
      <c r="I27" s="55">
        <f>SUM(平成21年度!I8:I12)</f>
        <v>360620</v>
      </c>
      <c r="J27" s="89">
        <f>SUM(平成21年度!J8:J12)</f>
        <v>228148</v>
      </c>
      <c r="K27" s="89">
        <f>SUM(平成21年度!K8:K12)</f>
        <v>132472</v>
      </c>
      <c r="L27" s="89">
        <f>SUM(平成21年度!L8:L12)</f>
        <v>22864</v>
      </c>
      <c r="M27" s="89">
        <f>SUM(平成21年度!M8:M12)</f>
        <v>15339</v>
      </c>
      <c r="N27" s="90">
        <f>SUM(平成21年度!N8:N12)</f>
        <v>7525</v>
      </c>
      <c r="O27" s="315">
        <f>SUM(平成21年度!O8:O12)</f>
        <v>134096</v>
      </c>
      <c r="P27" s="55">
        <f>SUM(平成21年度!P8:P12)</f>
        <v>112282</v>
      </c>
      <c r="Q27" s="90">
        <f>SUM(平成21年度!Q8:Q12)</f>
        <v>21814</v>
      </c>
      <c r="R27" s="58">
        <f>SUM(平成21年度!R8:R12)</f>
        <v>634310</v>
      </c>
      <c r="S27" s="55">
        <f>SUM(平成21年度!S8:S12)</f>
        <v>1572759</v>
      </c>
      <c r="T27" s="60">
        <f>平成21年度!C27/平成21年度!R27</f>
        <v>0.34186911762387479</v>
      </c>
      <c r="U27" s="61">
        <f>平成21年度!H27/平成21年度!S27</f>
        <v>0.24382883836620869</v>
      </c>
      <c r="V27" s="62">
        <f>平成21年度!L27/平成21年度!H27</f>
        <v>5.9621783438161699E-2</v>
      </c>
    </row>
    <row r="28" spans="2:44" ht="20.149999999999999" customHeight="1" x14ac:dyDescent="0.2">
      <c r="B28" s="378" t="s">
        <v>59</v>
      </c>
      <c r="C28" s="315">
        <f>SUM(平成21年度!C8:C13)</f>
        <v>259995</v>
      </c>
      <c r="D28" s="55">
        <f>SUM(平成21年度!D8:D13)</f>
        <v>246503</v>
      </c>
      <c r="E28" s="89">
        <f>SUM(平成21年度!E8:E13)</f>
        <v>241791</v>
      </c>
      <c r="F28" s="89">
        <f>SUM(平成21年度!F8:F13)</f>
        <v>4712</v>
      </c>
      <c r="G28" s="90">
        <f>SUM(平成21年度!G8:G13)</f>
        <v>13492</v>
      </c>
      <c r="H28" s="315">
        <f>SUM(平成21年度!H8:H13)</f>
        <v>459478</v>
      </c>
      <c r="I28" s="55">
        <f>SUM(平成21年度!I8:I13)</f>
        <v>431628</v>
      </c>
      <c r="J28" s="89">
        <f>SUM(平成21年度!J8:J13)</f>
        <v>272532</v>
      </c>
      <c r="K28" s="89">
        <f>SUM(平成21年度!K8:K13)</f>
        <v>159096</v>
      </c>
      <c r="L28" s="89">
        <f>SUM(平成21年度!L8:L13)</f>
        <v>27850</v>
      </c>
      <c r="M28" s="89">
        <f>SUM(平成21年度!M8:M13)</f>
        <v>18794</v>
      </c>
      <c r="N28" s="90">
        <f>SUM(平成21年度!N8:N13)</f>
        <v>9056</v>
      </c>
      <c r="O28" s="315">
        <f>SUM(平成21年度!O8:O13)</f>
        <v>160520</v>
      </c>
      <c r="P28" s="55">
        <f>SUM(平成21年度!P8:P13)</f>
        <v>134074</v>
      </c>
      <c r="Q28" s="90">
        <f>SUM(平成21年度!Q8:Q13)</f>
        <v>26446</v>
      </c>
      <c r="R28" s="58">
        <f>SUM(平成21年度!R8:R13)</f>
        <v>761286</v>
      </c>
      <c r="S28" s="55">
        <f>SUM(平成21年度!S8:S13)</f>
        <v>1887336</v>
      </c>
      <c r="T28" s="60">
        <f>平成21年度!C28/平成21年度!R28</f>
        <v>0.34152079507570088</v>
      </c>
      <c r="U28" s="61">
        <f>平成21年度!H28/平成21年度!S28</f>
        <v>0.2434532060004154</v>
      </c>
      <c r="V28" s="62">
        <f>平成21年度!L28/平成21年度!H28</f>
        <v>6.0612259999390614E-2</v>
      </c>
    </row>
    <row r="29" spans="2:44" ht="20.149999999999999" customHeight="1" x14ac:dyDescent="0.2">
      <c r="B29" s="378" t="s">
        <v>60</v>
      </c>
      <c r="C29" s="315">
        <f>SUM(平成21年度!C8:C14)</f>
        <v>303063</v>
      </c>
      <c r="D29" s="55">
        <f>SUM(平成21年度!D8:D14)</f>
        <v>287225</v>
      </c>
      <c r="E29" s="89">
        <f>SUM(平成21年度!E8:E14)</f>
        <v>281556</v>
      </c>
      <c r="F29" s="89">
        <f>SUM(平成21年度!F8:F14)</f>
        <v>5669</v>
      </c>
      <c r="G29" s="90">
        <f>SUM(平成21年度!G8:G14)</f>
        <v>15838</v>
      </c>
      <c r="H29" s="315">
        <f>SUM(平成21年度!H8:H14)</f>
        <v>535251</v>
      </c>
      <c r="I29" s="55">
        <f>SUM(平成21年度!I8:I14)</f>
        <v>502556</v>
      </c>
      <c r="J29" s="89">
        <f>SUM(平成21年度!J8:J14)</f>
        <v>316788</v>
      </c>
      <c r="K29" s="89">
        <f>SUM(平成21年度!K8:K14)</f>
        <v>185768</v>
      </c>
      <c r="L29" s="89">
        <f>SUM(平成21年度!L8:L14)</f>
        <v>32695</v>
      </c>
      <c r="M29" s="89">
        <f>SUM(平成21年度!M8:M14)</f>
        <v>22159</v>
      </c>
      <c r="N29" s="90">
        <f>SUM(平成21年度!N8:N14)</f>
        <v>10536</v>
      </c>
      <c r="O29" s="315">
        <f>SUM(平成21年度!O8:O14)</f>
        <v>186837</v>
      </c>
      <c r="P29" s="55">
        <f>SUM(平成21年度!P8:P14)</f>
        <v>155776</v>
      </c>
      <c r="Q29" s="90">
        <f>SUM(平成21年度!Q8:Q14)</f>
        <v>31061</v>
      </c>
      <c r="R29" s="58">
        <f>SUM(平成21年度!R8:R14)</f>
        <v>888280</v>
      </c>
      <c r="S29" s="55">
        <f>SUM(平成21年度!S8:S14)</f>
        <v>2201943</v>
      </c>
      <c r="T29" s="60">
        <f>平成21年度!C29/平成21年度!R29</f>
        <v>0.34117958301436485</v>
      </c>
      <c r="U29" s="61">
        <f>平成21年度!H29/平成21年度!S29</f>
        <v>0.2430812241733778</v>
      </c>
      <c r="V29" s="62">
        <f>平成21年度!L29/平成21年度!H29</f>
        <v>6.1083491670263113E-2</v>
      </c>
    </row>
    <row r="30" spans="2:44" ht="20.149999999999999" customHeight="1" x14ac:dyDescent="0.2">
      <c r="B30" s="378" t="s">
        <v>61</v>
      </c>
      <c r="C30" s="315">
        <f>SUM(平成21年度!C8:C15)</f>
        <v>346011</v>
      </c>
      <c r="D30" s="55">
        <f>SUM(平成21年度!D8:D15)</f>
        <v>327865</v>
      </c>
      <c r="E30" s="89">
        <f>SUM(平成21年度!E8:E15)</f>
        <v>321258</v>
      </c>
      <c r="F30" s="89">
        <f>SUM(平成21年度!F8:F15)</f>
        <v>6607</v>
      </c>
      <c r="G30" s="90">
        <f>SUM(平成21年度!G8:G15)</f>
        <v>18146</v>
      </c>
      <c r="H30" s="315">
        <f>SUM(平成21年度!H8:H15)</f>
        <v>610741</v>
      </c>
      <c r="I30" s="55">
        <f>SUM(平成21年度!I8:I15)</f>
        <v>573286</v>
      </c>
      <c r="J30" s="89">
        <f>SUM(平成21年度!J8:J15)</f>
        <v>360851</v>
      </c>
      <c r="K30" s="89">
        <f>SUM(平成21年度!K8:K15)</f>
        <v>212435</v>
      </c>
      <c r="L30" s="89">
        <f>SUM(平成21年度!L8:L15)</f>
        <v>37455</v>
      </c>
      <c r="M30" s="89">
        <f>SUM(平成21年度!M8:M15)</f>
        <v>25467</v>
      </c>
      <c r="N30" s="90">
        <f>SUM(平成21年度!N8:N15)</f>
        <v>11988</v>
      </c>
      <c r="O30" s="315">
        <f>SUM(平成21年度!O8:O15)</f>
        <v>213045</v>
      </c>
      <c r="P30" s="55">
        <f>SUM(平成21年度!P8:P15)</f>
        <v>177454</v>
      </c>
      <c r="Q30" s="90">
        <f>SUM(平成21年度!Q8:Q15)</f>
        <v>35591</v>
      </c>
      <c r="R30" s="58">
        <f>SUM(平成21年度!R8:R15)</f>
        <v>1015301</v>
      </c>
      <c r="S30" s="55">
        <f>SUM(平成21年度!S8:S15)</f>
        <v>2516559</v>
      </c>
      <c r="T30" s="60">
        <f>平成21年度!C30/平成21年度!R30</f>
        <v>0.34079647316411588</v>
      </c>
      <c r="U30" s="61">
        <f>平成21年度!H30/平成21年度!S30</f>
        <v>0.24268892563218267</v>
      </c>
      <c r="V30" s="62">
        <f>平成21年度!L30/平成21年度!H30</f>
        <v>6.1327141947241141E-2</v>
      </c>
    </row>
    <row r="31" spans="2:44" ht="20.149999999999999" customHeight="1" x14ac:dyDescent="0.2">
      <c r="B31" s="378" t="s">
        <v>62</v>
      </c>
      <c r="C31" s="315">
        <f>SUM(平成21年度!C8:C16)</f>
        <v>388824</v>
      </c>
      <c r="D31" s="55">
        <f>SUM(平成21年度!D8:D16)</f>
        <v>368426</v>
      </c>
      <c r="E31" s="89">
        <f>SUM(平成21年度!E8:E16)</f>
        <v>360894</v>
      </c>
      <c r="F31" s="89">
        <f>SUM(平成21年度!F8:F16)</f>
        <v>7532</v>
      </c>
      <c r="G31" s="90">
        <f>SUM(平成21年度!G8:G16)</f>
        <v>20398</v>
      </c>
      <c r="H31" s="315">
        <f>SUM(平成21年度!H8:H16)</f>
        <v>685977</v>
      </c>
      <c r="I31" s="55">
        <f>SUM(平成21年度!I8:I16)</f>
        <v>643895</v>
      </c>
      <c r="J31" s="89">
        <f>SUM(平成21年度!J8:J16)</f>
        <v>404749</v>
      </c>
      <c r="K31" s="89">
        <f>SUM(平成21年度!K8:K16)</f>
        <v>239146</v>
      </c>
      <c r="L31" s="89">
        <f>SUM(平成21年度!L8:L16)</f>
        <v>42082</v>
      </c>
      <c r="M31" s="89">
        <f>SUM(平成21年度!M8:M16)</f>
        <v>28683</v>
      </c>
      <c r="N31" s="90">
        <f>SUM(平成21年度!N8:N16)</f>
        <v>13399</v>
      </c>
      <c r="O31" s="315">
        <f>SUM(平成21年度!O8:O16)</f>
        <v>239122</v>
      </c>
      <c r="P31" s="55">
        <f>SUM(平成21年度!P8:P16)</f>
        <v>199130</v>
      </c>
      <c r="Q31" s="90">
        <f>SUM(平成21年度!Q8:Q16)</f>
        <v>39992</v>
      </c>
      <c r="R31" s="58">
        <f>SUM(平成21年度!R8:R16)</f>
        <v>1142284</v>
      </c>
      <c r="S31" s="55">
        <f>SUM(平成21年度!S8:S16)</f>
        <v>2831048</v>
      </c>
      <c r="T31" s="60">
        <f>平成21年度!C31/平成21年度!R31</f>
        <v>0.34039170644078004</v>
      </c>
      <c r="U31" s="61">
        <f>平成21年度!H31/平成21年度!S31</f>
        <v>0.24230496974971813</v>
      </c>
      <c r="V31" s="62">
        <f>平成21年度!L31/平成21年度!H31</f>
        <v>6.1346080116388743E-2</v>
      </c>
    </row>
    <row r="32" spans="2:44" ht="20.149999999999999" customHeight="1" x14ac:dyDescent="0.2">
      <c r="B32" s="378" t="s">
        <v>63</v>
      </c>
      <c r="C32" s="315">
        <f>SUM(平成21年度!C8:C17)</f>
        <v>431472</v>
      </c>
      <c r="D32" s="55">
        <f>SUM(平成21年度!D8:D17)</f>
        <v>408804</v>
      </c>
      <c r="E32" s="89">
        <f>SUM(平成21年度!E8:E17)</f>
        <v>400347</v>
      </c>
      <c r="F32" s="89">
        <f>SUM(平成21年度!F8:F17)</f>
        <v>8457</v>
      </c>
      <c r="G32" s="90">
        <f>SUM(平成21年度!G8:G17)</f>
        <v>22668</v>
      </c>
      <c r="H32" s="315">
        <f>SUM(平成21年度!H8:H17)</f>
        <v>760911</v>
      </c>
      <c r="I32" s="55">
        <f>SUM(平成21年度!I8:I17)</f>
        <v>714221</v>
      </c>
      <c r="J32" s="89">
        <f>SUM(平成21年度!J8:J17)</f>
        <v>448470</v>
      </c>
      <c r="K32" s="89">
        <f>SUM(平成21年度!K8:K17)</f>
        <v>265751</v>
      </c>
      <c r="L32" s="89">
        <f>SUM(平成21年度!L8:L17)</f>
        <v>46690</v>
      </c>
      <c r="M32" s="89">
        <f>SUM(平成21年度!M8:M17)</f>
        <v>31902</v>
      </c>
      <c r="N32" s="90">
        <f>SUM(平成21年度!N8:N17)</f>
        <v>14788</v>
      </c>
      <c r="O32" s="315">
        <f>SUM(平成21年度!O8:O17)</f>
        <v>265063</v>
      </c>
      <c r="P32" s="55">
        <f>SUM(平成21年度!P8:P17)</f>
        <v>220682</v>
      </c>
      <c r="Q32" s="90">
        <f>SUM(平成21年度!Q8:Q17)</f>
        <v>44381</v>
      </c>
      <c r="R32" s="58">
        <f>SUM(平成21年度!R8:R17)</f>
        <v>1269295</v>
      </c>
      <c r="S32" s="55">
        <f>SUM(平成21年度!S8:S17)</f>
        <v>3145422</v>
      </c>
      <c r="T32" s="60">
        <f>平成21年度!C32/平成21年度!R32</f>
        <v>0.33993043382350047</v>
      </c>
      <c r="U32" s="61">
        <f>平成21年度!H32/平成21年度!S32</f>
        <v>0.24191062439316569</v>
      </c>
      <c r="V32" s="62">
        <f>平成21年度!L32/平成21年度!H32</f>
        <v>6.1360658473855682E-2</v>
      </c>
    </row>
    <row r="33" spans="2:35" ht="20.149999999999999" customHeight="1" x14ac:dyDescent="0.2">
      <c r="B33" s="378" t="s">
        <v>64</v>
      </c>
      <c r="C33" s="315">
        <f>SUM(平成21年度!C8:C18)</f>
        <v>473975</v>
      </c>
      <c r="D33" s="55">
        <f>SUM(平成21年度!D8:D18)</f>
        <v>449044</v>
      </c>
      <c r="E33" s="89">
        <f>SUM(平成21年度!E8:E18)</f>
        <v>439670</v>
      </c>
      <c r="F33" s="89">
        <f>SUM(平成21年度!F8:F18)</f>
        <v>9374</v>
      </c>
      <c r="G33" s="90">
        <f>SUM(平成21年度!G8:G18)</f>
        <v>24931</v>
      </c>
      <c r="H33" s="315">
        <f>SUM(平成21年度!H8:H18)</f>
        <v>835612</v>
      </c>
      <c r="I33" s="55">
        <f>SUM(平成21年度!I8:I18)</f>
        <v>784344</v>
      </c>
      <c r="J33" s="89">
        <f>SUM(平成21年度!J8:J18)</f>
        <v>491999</v>
      </c>
      <c r="K33" s="89">
        <f>SUM(平成21年度!K8:K18)</f>
        <v>292345</v>
      </c>
      <c r="L33" s="89">
        <f>SUM(平成21年度!L8:L18)</f>
        <v>51268</v>
      </c>
      <c r="M33" s="89">
        <f>SUM(平成21年度!M8:M18)</f>
        <v>35093</v>
      </c>
      <c r="N33" s="90">
        <f>SUM(平成21年度!N8:N18)</f>
        <v>16175</v>
      </c>
      <c r="O33" s="315">
        <f>SUM(平成21年度!O8:O18)</f>
        <v>290901</v>
      </c>
      <c r="P33" s="55">
        <f>SUM(平成21年度!P8:P18)</f>
        <v>242165</v>
      </c>
      <c r="Q33" s="90">
        <f>SUM(平成21年度!Q8:Q18)</f>
        <v>48736</v>
      </c>
      <c r="R33" s="58">
        <f>SUM(平成21年度!R8:R18)</f>
        <v>1396279</v>
      </c>
      <c r="S33" s="55">
        <f>SUM(平成21年度!S8:S18)</f>
        <v>3459657</v>
      </c>
      <c r="T33" s="60">
        <f>平成21年度!C33/平成21年度!R33</f>
        <v>0.33945579644182861</v>
      </c>
      <c r="U33" s="61">
        <f>平成21年度!H33/平成21年度!S33</f>
        <v>0.24153030199236514</v>
      </c>
      <c r="V33" s="62">
        <f>平成21年度!L33/平成21年度!H33</f>
        <v>6.1353834076102308E-2</v>
      </c>
    </row>
    <row r="34" spans="2:35" ht="20.149999999999999" customHeight="1" thickBot="1" x14ac:dyDescent="0.25">
      <c r="B34" s="379" t="s">
        <v>65</v>
      </c>
      <c r="C34" s="366">
        <f>SUM(平成21年度!C8:C19)</f>
        <v>516376</v>
      </c>
      <c r="D34" s="367">
        <f>SUM(平成21年度!D8:D19)</f>
        <v>489153</v>
      </c>
      <c r="E34" s="368">
        <f>SUM(平成21年度!E8:E19)</f>
        <v>478845</v>
      </c>
      <c r="F34" s="368">
        <f>SUM(平成21年度!F8:F19)</f>
        <v>10308</v>
      </c>
      <c r="G34" s="369">
        <f>SUM(平成21年度!G8:G19)</f>
        <v>27223</v>
      </c>
      <c r="H34" s="366">
        <f>SUM(平成21年度!H8:H19)</f>
        <v>910122</v>
      </c>
      <c r="I34" s="367">
        <f>SUM(平成21年度!I8:I19)</f>
        <v>854337</v>
      </c>
      <c r="J34" s="368">
        <f>SUM(平成21年度!J8:J19)</f>
        <v>535462</v>
      </c>
      <c r="K34" s="368">
        <f>SUM(平成21年度!K8:K19)</f>
        <v>318875</v>
      </c>
      <c r="L34" s="368">
        <f>SUM(平成21年度!L8:L19)</f>
        <v>55785</v>
      </c>
      <c r="M34" s="368">
        <f>SUM(平成21年度!M8:M19)</f>
        <v>38238</v>
      </c>
      <c r="N34" s="369">
        <f>SUM(平成21年度!N8:N19)</f>
        <v>17547</v>
      </c>
      <c r="O34" s="366">
        <f>SUM(平成21年度!O8:O19)</f>
        <v>316680</v>
      </c>
      <c r="P34" s="367">
        <f>SUM(平成21年度!P8:P19)</f>
        <v>263648</v>
      </c>
      <c r="Q34" s="369">
        <f>SUM(平成21年度!Q8:Q19)</f>
        <v>53032</v>
      </c>
      <c r="R34" s="370">
        <f>SUM(平成21年度!R8:R19)</f>
        <v>1523361</v>
      </c>
      <c r="S34" s="367">
        <f>SUM(平成21年度!S8:S19)</f>
        <v>3773547</v>
      </c>
      <c r="T34" s="371">
        <f>平成21年度!C34/平成21年度!R34</f>
        <v>0.33897152414956139</v>
      </c>
      <c r="U34" s="372">
        <f>平成21年度!H34/平成21年度!S34</f>
        <v>0.24118475270084089</v>
      </c>
      <c r="V34" s="373">
        <f>平成21年度!L34/平成21年度!H34</f>
        <v>6.1293980367467221E-2</v>
      </c>
    </row>
    <row r="35" spans="2:35" s="404" customFormat="1" ht="20.149999999999999" customHeight="1" thickTop="1" x14ac:dyDescent="0.2">
      <c r="B35" s="438" t="s">
        <v>66</v>
      </c>
      <c r="C35" s="440">
        <f>SUM(C7:C18)</f>
        <v>516902</v>
      </c>
      <c r="D35" s="440">
        <f t="shared" ref="D35:S35" si="3">SUM(D7:D18)</f>
        <v>489714</v>
      </c>
      <c r="E35" s="440">
        <f t="shared" si="3"/>
        <v>479616</v>
      </c>
      <c r="F35" s="440">
        <f t="shared" si="3"/>
        <v>10098</v>
      </c>
      <c r="G35" s="441">
        <f t="shared" si="3"/>
        <v>27188</v>
      </c>
      <c r="H35" s="439">
        <f t="shared" si="3"/>
        <v>911842</v>
      </c>
      <c r="I35" s="440">
        <f t="shared" si="3"/>
        <v>856320</v>
      </c>
      <c r="J35" s="440">
        <f t="shared" si="3"/>
        <v>537736</v>
      </c>
      <c r="K35" s="440">
        <f t="shared" si="3"/>
        <v>318584</v>
      </c>
      <c r="L35" s="440">
        <f t="shared" si="3"/>
        <v>55522</v>
      </c>
      <c r="M35" s="440">
        <f t="shared" si="3"/>
        <v>37919</v>
      </c>
      <c r="N35" s="442">
        <f t="shared" si="3"/>
        <v>17603</v>
      </c>
      <c r="O35" s="439">
        <f t="shared" si="3"/>
        <v>317381</v>
      </c>
      <c r="P35" s="440">
        <f t="shared" si="3"/>
        <v>264589</v>
      </c>
      <c r="Q35" s="442">
        <f t="shared" si="3"/>
        <v>52792</v>
      </c>
      <c r="R35" s="439">
        <f t="shared" si="3"/>
        <v>1522510</v>
      </c>
      <c r="S35" s="440">
        <f t="shared" si="3"/>
        <v>3773620</v>
      </c>
      <c r="T35" s="443">
        <f>平成21年度!C35/平成21年度!R35</f>
        <v>0.33950647286388924</v>
      </c>
      <c r="U35" s="443">
        <f>平成21年度!H35/平成21年度!S35</f>
        <v>0.24163588278629008</v>
      </c>
      <c r="V35" s="444">
        <f>平成21年度!L35/平成21年度!H35</f>
        <v>6.0889934879068963E-2</v>
      </c>
      <c r="AA35" s="445"/>
    </row>
    <row r="36" spans="2:35" s="446" customFormat="1" ht="20.149999999999999" customHeight="1" thickBot="1" x14ac:dyDescent="0.25">
      <c r="B36" s="447" t="s">
        <v>53</v>
      </c>
      <c r="C36" s="448">
        <f>C35/12</f>
        <v>43075.166666666664</v>
      </c>
      <c r="D36" s="449">
        <f t="shared" ref="D36:S36" si="4">D35/12</f>
        <v>40809.5</v>
      </c>
      <c r="E36" s="449">
        <f t="shared" si="4"/>
        <v>39968</v>
      </c>
      <c r="F36" s="449">
        <f t="shared" si="4"/>
        <v>841.5</v>
      </c>
      <c r="G36" s="450">
        <f t="shared" si="4"/>
        <v>2265.6666666666665</v>
      </c>
      <c r="H36" s="448">
        <f t="shared" si="4"/>
        <v>75986.833333333328</v>
      </c>
      <c r="I36" s="449">
        <f t="shared" si="4"/>
        <v>71360</v>
      </c>
      <c r="J36" s="449">
        <f t="shared" si="4"/>
        <v>44811.333333333336</v>
      </c>
      <c r="K36" s="449">
        <f t="shared" si="4"/>
        <v>26548.666666666668</v>
      </c>
      <c r="L36" s="449">
        <f t="shared" si="4"/>
        <v>4626.833333333333</v>
      </c>
      <c r="M36" s="449">
        <f t="shared" si="4"/>
        <v>3159.9166666666665</v>
      </c>
      <c r="N36" s="451">
        <f t="shared" si="4"/>
        <v>1466.9166666666667</v>
      </c>
      <c r="O36" s="448">
        <f t="shared" si="4"/>
        <v>26448.416666666668</v>
      </c>
      <c r="P36" s="449">
        <f t="shared" si="4"/>
        <v>22049.083333333332</v>
      </c>
      <c r="Q36" s="451">
        <f t="shared" si="4"/>
        <v>4399.333333333333</v>
      </c>
      <c r="R36" s="448">
        <f t="shared" si="4"/>
        <v>126875.83333333333</v>
      </c>
      <c r="S36" s="449">
        <f t="shared" si="4"/>
        <v>314468.33333333331</v>
      </c>
      <c r="T36" s="452">
        <f>平成21年度!C36/平成21年度!R36</f>
        <v>0.33950647286388924</v>
      </c>
      <c r="U36" s="453">
        <f>平成21年度!H36/平成21年度!S36</f>
        <v>0.24163588278629008</v>
      </c>
      <c r="V36" s="454">
        <f>平成21年度!L36/平成21年度!H36</f>
        <v>6.0889934879068963E-2</v>
      </c>
      <c r="X36" s="455"/>
      <c r="Y36" s="455"/>
      <c r="Z36" s="455"/>
      <c r="AA36" s="455"/>
    </row>
    <row r="37" spans="2:35" s="404" customFormat="1" ht="20.149999999999999" customHeight="1" thickTop="1" x14ac:dyDescent="0.2">
      <c r="B37" s="456" t="s">
        <v>67</v>
      </c>
      <c r="C37" s="457">
        <f>平成21年度!C2+平成21年度!C31</f>
        <v>517636</v>
      </c>
      <c r="D37" s="458">
        <f>平成21年度!D2+平成21年度!D31</f>
        <v>490572</v>
      </c>
      <c r="E37" s="459">
        <f>平成21年度!E2+平成21年度!E31</f>
        <v>480894</v>
      </c>
      <c r="F37" s="459">
        <f>平成21年度!F2+平成21年度!F31</f>
        <v>9678</v>
      </c>
      <c r="G37" s="460">
        <f>平成21年度!G2+平成21年度!G31</f>
        <v>27064</v>
      </c>
      <c r="H37" s="457">
        <f>平成21年度!H2+平成21年度!H31</f>
        <v>914879</v>
      </c>
      <c r="I37" s="458">
        <f>平成21年度!I2+平成21年度!I31</f>
        <v>859774</v>
      </c>
      <c r="J37" s="459">
        <f>平成21年度!J2+平成21年度!J31</f>
        <v>542120</v>
      </c>
      <c r="K37" s="459">
        <f>平成21年度!K2+平成21年度!K31</f>
        <v>317654</v>
      </c>
      <c r="L37" s="459">
        <f>平成21年度!L2+平成21年度!L31</f>
        <v>55105</v>
      </c>
      <c r="M37" s="459">
        <f>平成21年度!M2+平成21年度!M31</f>
        <v>37328</v>
      </c>
      <c r="N37" s="461">
        <f>平成21年度!N2+平成21年度!N31</f>
        <v>17777</v>
      </c>
      <c r="O37" s="462">
        <f>平成21年度!O2+平成21年度!O31</f>
        <v>318895</v>
      </c>
      <c r="P37" s="461">
        <f>平成21年度!P2+平成21年度!P31</f>
        <v>266489</v>
      </c>
      <c r="Q37" s="460">
        <f>平成21年度!Q2+平成21年度!Q31</f>
        <v>52406</v>
      </c>
      <c r="R37" s="463">
        <f>平成21年度!R2+平成21年度!R31</f>
        <v>1521140</v>
      </c>
      <c r="S37" s="458">
        <f>平成21年度!S2+平成21年度!S31</f>
        <v>3774771</v>
      </c>
      <c r="T37" s="464">
        <f>平成21年度!C37/平成21年度!R37</f>
        <v>0.34029477891581317</v>
      </c>
      <c r="U37" s="464">
        <f>平成21年度!H37/平成21年度!S37</f>
        <v>0.24236675549324713</v>
      </c>
      <c r="V37" s="465">
        <f>平成21年度!L37/平成21年度!H37</f>
        <v>6.0232008823024687E-2</v>
      </c>
      <c r="AA37" s="445"/>
    </row>
    <row r="38" spans="2:35" s="404" customFormat="1" ht="20.149999999999999" customHeight="1" thickBot="1" x14ac:dyDescent="0.25">
      <c r="B38" s="466" t="s">
        <v>53</v>
      </c>
      <c r="C38" s="467" t="e">
        <f>#VALUE!</f>
        <v>#VALUE!</v>
      </c>
      <c r="D38" s="468" t="e">
        <f>#VALUE!</f>
        <v>#VALUE!</v>
      </c>
      <c r="E38" s="469" t="e">
        <f>#VALUE!</f>
        <v>#VALUE!</v>
      </c>
      <c r="F38" s="469" t="e">
        <f>#VALUE!</f>
        <v>#VALUE!</v>
      </c>
      <c r="G38" s="470" t="e">
        <f>#VALUE!</f>
        <v>#VALUE!</v>
      </c>
      <c r="H38" s="467" t="e">
        <f>#VALUE!</f>
        <v>#VALUE!</v>
      </c>
      <c r="I38" s="468" t="e">
        <f>#VALUE!</f>
        <v>#VALUE!</v>
      </c>
      <c r="J38" s="469" t="e">
        <f>#VALUE!</f>
        <v>#VALUE!</v>
      </c>
      <c r="K38" s="469" t="e">
        <f>#VALUE!</f>
        <v>#VALUE!</v>
      </c>
      <c r="L38" s="469" t="e">
        <f>#VALUE!</f>
        <v>#VALUE!</v>
      </c>
      <c r="M38" s="469" t="e">
        <f>#VALUE!</f>
        <v>#VALUE!</v>
      </c>
      <c r="N38" s="471" t="e">
        <f>#VALUE!</f>
        <v>#VALUE!</v>
      </c>
      <c r="O38" s="472" t="e">
        <f>#VALUE!</f>
        <v>#VALUE!</v>
      </c>
      <c r="P38" s="471" t="e">
        <f>#VALUE!</f>
        <v>#VALUE!</v>
      </c>
      <c r="Q38" s="470" t="e">
        <f>#VALUE!</f>
        <v>#VALUE!</v>
      </c>
      <c r="R38" s="473" t="e">
        <f>#VALUE!</f>
        <v>#VALUE!</v>
      </c>
      <c r="S38" s="468" t="e">
        <f>#VALUE!</f>
        <v>#VALUE!</v>
      </c>
      <c r="T38" s="474" t="e">
        <f>平成21年度!C38/平成21年度!R38</f>
        <v>#VALUE!</v>
      </c>
      <c r="U38" s="474" t="e">
        <f>平成21年度!H38/平成21年度!S38</f>
        <v>#VALUE!</v>
      </c>
      <c r="V38" s="475" t="e">
        <f>平成21年度!L38/平成21年度!H38</f>
        <v>#VALUE!</v>
      </c>
      <c r="X38" s="476"/>
      <c r="Y38" s="476"/>
    </row>
    <row r="39" spans="2:35" ht="20.149999999999999" customHeight="1" thickTop="1" x14ac:dyDescent="0.2"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2:35" ht="20.149999999999999" customHeight="1" x14ac:dyDescent="0.2">
      <c r="B40" s="1" t="s">
        <v>475</v>
      </c>
      <c r="J40" s="1" t="s">
        <v>1152</v>
      </c>
      <c r="R40" s="1">
        <v>29298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2:35" ht="20.149999999999999" customHeight="1" x14ac:dyDescent="0.2">
      <c r="C41" s="1" t="s">
        <v>682</v>
      </c>
      <c r="D41" s="1" t="s">
        <v>1483</v>
      </c>
      <c r="E41" s="1" t="s">
        <v>1484</v>
      </c>
      <c r="F41" s="1" t="s">
        <v>1485</v>
      </c>
      <c r="K41" s="1" t="s">
        <v>405</v>
      </c>
      <c r="L41" s="1" t="s">
        <v>1160</v>
      </c>
      <c r="M41" s="1" t="s">
        <v>817</v>
      </c>
      <c r="N41" s="1" t="s">
        <v>907</v>
      </c>
      <c r="R41" s="1" t="s">
        <v>1158</v>
      </c>
    </row>
    <row r="42" spans="2:35" ht="20.149999999999999" customHeight="1" x14ac:dyDescent="0.2"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ROUND(+平成21年度!R43*平成21年度!N42,0)</f>
        <v>27605</v>
      </c>
      <c r="S42" s="1" t="s">
        <v>1165</v>
      </c>
      <c r="W42" s="117"/>
      <c r="X42" s="117"/>
      <c r="AD42" s="119"/>
    </row>
    <row r="43" spans="2:35" ht="20.149999999999999" customHeight="1" x14ac:dyDescent="0.2">
      <c r="B43" s="1" t="s">
        <v>481</v>
      </c>
      <c r="C43" s="1">
        <f>(+平成10年度!K19+平成11年度!K27)/6</f>
        <v>20106.166666666668</v>
      </c>
      <c r="D43" s="1">
        <f>(+平成11年度!K19+平成12年度!K27)/6</f>
        <v>21676.833333333332</v>
      </c>
      <c r="E43" s="1">
        <f>(+平成12年度!K19+平成13年度!K27)/6</f>
        <v>23223.666666666668</v>
      </c>
      <c r="F43" s="120">
        <f>ROUND((+平成13年度!K19+平成14年度!K27)/6,0)</f>
        <v>24752</v>
      </c>
      <c r="G43" s="120">
        <f>ROUND((+平成14年度!K19+平成21年度!K27)/6,0)</f>
        <v>26251</v>
      </c>
      <c r="L43" s="1">
        <f>ROUND(+平成21年度!L42/平成21年度!K42,4)</f>
        <v>0.99850000000000005</v>
      </c>
      <c r="M43" s="1">
        <f>ROUND(+平成21年度!M42/平成21年度!L42,4)</f>
        <v>1.0199</v>
      </c>
      <c r="N43" s="1">
        <f>平成21年度!M43</f>
        <v>1.0199</v>
      </c>
      <c r="R43" s="1">
        <f>ROUND((平成21年度!M43+平成21年度!N43)/2,4)</f>
        <v>1.0199</v>
      </c>
      <c r="Y43" s="117"/>
    </row>
    <row r="44" spans="2:35" ht="20.149999999999999" customHeight="1" x14ac:dyDescent="0.2">
      <c r="B44" s="121" t="s">
        <v>482</v>
      </c>
      <c r="C44" s="121"/>
      <c r="D44" s="122">
        <f>平成21年度!D43/平成21年度!C43</f>
        <v>1.0781186534811042</v>
      </c>
      <c r="E44" s="122">
        <f>平成21年度!E43/平成21年度!D43</f>
        <v>1.0713588239364606</v>
      </c>
      <c r="F44" s="123">
        <f>ROUND(+平成21年度!F43/平成21年度!E43,4)</f>
        <v>1.0658000000000001</v>
      </c>
      <c r="G44" s="123">
        <f>ROUND(+平成21年度!G43/平成21年度!F43,4)</f>
        <v>1.0606</v>
      </c>
      <c r="J44" s="1" t="s">
        <v>1168</v>
      </c>
      <c r="K44" s="1">
        <f>ROUND(+平成21年度!K46/平成21年度!K42,4)</f>
        <v>0.99309999999999998</v>
      </c>
      <c r="L44" s="1">
        <f>ROUND(+平成21年度!L46/平成21年度!L42,4)</f>
        <v>0.99739999999999995</v>
      </c>
      <c r="M44" s="1">
        <f>ROUND(+平成21年度!M46/平成21年度!M42,4)</f>
        <v>1.0001</v>
      </c>
      <c r="N44" s="1">
        <f>平成21年度!M44</f>
        <v>1.0001</v>
      </c>
      <c r="R44" s="1">
        <f>ROUND((+平成21年度!N44+平成21年度!M44)/2,4)</f>
        <v>1.0001</v>
      </c>
      <c r="W44" s="117"/>
      <c r="X44" s="124" t="s">
        <v>275</v>
      </c>
      <c r="Z44" s="125" t="str">
        <f>平成21年度!C3</f>
        <v>平成21年度</v>
      </c>
      <c r="AA44" s="117"/>
      <c r="AB44" s="117"/>
      <c r="AC44" s="117"/>
      <c r="AD44" s="117"/>
      <c r="AE44" s="117"/>
      <c r="AF44" s="117"/>
      <c r="AG44" s="117" t="s">
        <v>275</v>
      </c>
      <c r="AH44" s="119" t="s">
        <v>688</v>
      </c>
    </row>
    <row r="45" spans="2:35" ht="20.149999999999999" customHeight="1" x14ac:dyDescent="0.25">
      <c r="B45" s="1" t="s">
        <v>486</v>
      </c>
      <c r="C45" s="1">
        <f>平成11年度!K36</f>
        <v>20475.5</v>
      </c>
      <c r="D45" s="1">
        <f>平成12年度!K36</f>
        <v>22050</v>
      </c>
      <c r="E45" s="1">
        <f>平成13年度!K36</f>
        <v>23571.333333333332</v>
      </c>
      <c r="F45" s="126">
        <f>平成14年度!K36</f>
        <v>25003.416666666668</v>
      </c>
      <c r="G45" s="126">
        <f>ROUND(+平成21年度!F46*平成21年度!G43,0)</f>
        <v>26519</v>
      </c>
      <c r="H45" s="126">
        <f>平成21年度!G45*平成21年度!G47</f>
        <v>28126.0514</v>
      </c>
      <c r="N45" s="3">
        <f>ROUND(+平成21年度!N44*平成21年度!N42,0)</f>
        <v>27069</v>
      </c>
      <c r="O45" s="3"/>
      <c r="P45" s="3"/>
      <c r="Q45" s="3"/>
      <c r="R45" s="3">
        <f>ROUND(+平成21年度!R42*平成21年度!R44,0)</f>
        <v>27608</v>
      </c>
      <c r="T45" s="118"/>
      <c r="U45" s="118"/>
      <c r="V45" s="118"/>
      <c r="W45" s="118"/>
      <c r="X45" s="127"/>
      <c r="Y45" s="128" t="s">
        <v>11</v>
      </c>
      <c r="Z45" s="129" t="s">
        <v>286</v>
      </c>
      <c r="AA45" s="129" t="s">
        <v>287</v>
      </c>
      <c r="AB45" s="129" t="s">
        <v>288</v>
      </c>
      <c r="AC45" s="129" t="s">
        <v>289</v>
      </c>
      <c r="AD45" s="130" t="s">
        <v>290</v>
      </c>
      <c r="AE45" s="130" t="s">
        <v>6</v>
      </c>
      <c r="AF45" s="130" t="s">
        <v>7</v>
      </c>
      <c r="AG45" s="131" t="s">
        <v>8</v>
      </c>
      <c r="AH45" s="131" t="s">
        <v>9</v>
      </c>
      <c r="AI45" s="132" t="s">
        <v>10</v>
      </c>
    </row>
    <row r="46" spans="2:35" ht="20.149999999999999" customHeight="1" x14ac:dyDescent="0.2">
      <c r="B46" s="121" t="s">
        <v>498</v>
      </c>
      <c r="C46" s="122">
        <f>平成21年度!C45/平成21年度!C43</f>
        <v>1.0183691570579507</v>
      </c>
      <c r="D46" s="122">
        <f>平成21年度!D45/平成21年度!D43</f>
        <v>1.0172149991157995</v>
      </c>
      <c r="E46" s="122">
        <f>平成21年度!E45/平成21年度!E43</f>
        <v>1.0149703606952676</v>
      </c>
      <c r="F46" s="122">
        <f>ROUND(+平成21年度!F45/平成21年度!F43,4)</f>
        <v>1.0102</v>
      </c>
      <c r="G46" s="122">
        <f>ROUND((+平成21年度!E46+平成21年度!F46)/2,4)</f>
        <v>1.0125999999999999</v>
      </c>
      <c r="J46" s="1" t="s">
        <v>1185</v>
      </c>
      <c r="K46" s="118">
        <v>25949</v>
      </c>
      <c r="L46" s="118">
        <v>26021</v>
      </c>
      <c r="M46" s="118">
        <v>26608</v>
      </c>
      <c r="W46" s="133"/>
      <c r="X46" s="134"/>
      <c r="Y46" s="135" t="s">
        <v>296</v>
      </c>
      <c r="Z46" s="136" t="s">
        <v>297</v>
      </c>
      <c r="AA46" s="137" t="s">
        <v>18</v>
      </c>
      <c r="AB46" s="137" t="s">
        <v>19</v>
      </c>
      <c r="AC46" s="138" t="s">
        <v>503</v>
      </c>
      <c r="AD46" s="139"/>
      <c r="AE46" s="140" t="s">
        <v>302</v>
      </c>
      <c r="AF46" s="140" t="s">
        <v>303</v>
      </c>
      <c r="AG46" s="140" t="s">
        <v>304</v>
      </c>
      <c r="AH46" s="140" t="s">
        <v>305</v>
      </c>
      <c r="AI46" s="141" t="s">
        <v>306</v>
      </c>
    </row>
    <row r="47" spans="2:35" ht="20.149999999999999" customHeight="1" x14ac:dyDescent="0.2">
      <c r="B47" s="121" t="s">
        <v>509</v>
      </c>
      <c r="C47" s="121"/>
      <c r="D47" s="122">
        <f>平成21年度!D45/平成21年度!C45</f>
        <v>1.076896779077434</v>
      </c>
      <c r="E47" s="122">
        <f>平成21年度!E45/平成21年度!D45</f>
        <v>1.0689947089947089</v>
      </c>
      <c r="F47" s="122">
        <f>ROUND(+平成21年度!F45/平成21年度!E45,4)</f>
        <v>1.0608</v>
      </c>
      <c r="G47" s="122">
        <f>ROUND(+平成21年度!G45/平成21年度!F45,4)</f>
        <v>1.0606</v>
      </c>
      <c r="L47" s="1">
        <f>ROUND(+平成21年度!L46/平成21年度!K46,4)</f>
        <v>1.0027999999999999</v>
      </c>
      <c r="M47" s="1">
        <f>ROUND(+平成21年度!M46/平成21年度!L46,4)</f>
        <v>1.0226</v>
      </c>
      <c r="N47" s="1">
        <f>平成21年度!M47</f>
        <v>1.0226</v>
      </c>
      <c r="R47" s="1">
        <f>平成21年度!N47</f>
        <v>1.0226</v>
      </c>
      <c r="W47" s="117"/>
      <c r="X47" s="142"/>
      <c r="Y47" s="143"/>
      <c r="Z47" s="144"/>
      <c r="AA47" s="144"/>
      <c r="AB47" s="144"/>
      <c r="AC47" s="145"/>
      <c r="AD47" s="146">
        <f>平成21年度!M8</f>
        <v>3032</v>
      </c>
      <c r="AE47" s="144" t="s">
        <v>275</v>
      </c>
      <c r="AF47" s="144"/>
      <c r="AG47" s="147"/>
      <c r="AH47" s="147"/>
      <c r="AI47" s="148"/>
    </row>
    <row r="48" spans="2:35" ht="20.149999999999999" customHeight="1" x14ac:dyDescent="0.2">
      <c r="J48" s="1" t="s">
        <v>1198</v>
      </c>
      <c r="N48" s="3">
        <f>ROUND(+平成21年度!M46*平成21年度!N47,0)</f>
        <v>27209</v>
      </c>
      <c r="O48" s="3"/>
      <c r="P48" s="3"/>
      <c r="Q48" s="3"/>
      <c r="R48" s="149">
        <f>ROUND(+平成21年度!N48*平成21年度!R47,0)</f>
        <v>27824</v>
      </c>
      <c r="W48" s="117" t="s">
        <v>308</v>
      </c>
      <c r="X48" s="134" t="s">
        <v>40</v>
      </c>
      <c r="Y48" s="150">
        <f>平成21年度!C8</f>
        <v>43387</v>
      </c>
      <c r="Z48" s="151">
        <f>平成21年度!H8</f>
        <v>76958</v>
      </c>
      <c r="AA48" s="151">
        <f>平成21年度!Z48-平成21年度!AB48-平成21年度!AC48</f>
        <v>45963</v>
      </c>
      <c r="AB48" s="151">
        <f>平成21年度!K8</f>
        <v>26419</v>
      </c>
      <c r="AC48" s="152">
        <f>平成21年度!AD47+平成21年度!AD48</f>
        <v>4576</v>
      </c>
      <c r="AD48" s="153">
        <f>平成21年度!N8</f>
        <v>1544</v>
      </c>
      <c r="AE48" s="151">
        <f>平成21年度!R8</f>
        <v>126688</v>
      </c>
      <c r="AF48" s="150">
        <f>平成21年度!S8</f>
        <v>314496</v>
      </c>
      <c r="AG48" s="154">
        <f>平成21年度!Y48/+平成21年度!AE48</f>
        <v>0.34247126799696892</v>
      </c>
      <c r="AH48" s="155">
        <f>平成21年度!Z48/+平成21年度!AF48</f>
        <v>0.24470263532763534</v>
      </c>
      <c r="AI48" s="156">
        <f>平成21年度!AC48/+平成21年度!Z48</f>
        <v>5.9461004703864444E-2</v>
      </c>
    </row>
    <row r="49" spans="1:35" ht="20.149999999999999" customHeight="1" x14ac:dyDescent="0.2">
      <c r="G49" s="99" t="s">
        <v>940</v>
      </c>
      <c r="H49" s="99" t="s">
        <v>940</v>
      </c>
      <c r="W49" s="117"/>
      <c r="X49" s="142"/>
      <c r="Y49" s="143" t="s">
        <v>275</v>
      </c>
      <c r="Z49" s="144"/>
      <c r="AA49" s="144"/>
      <c r="AB49" s="144"/>
      <c r="AC49" s="157"/>
      <c r="AD49" s="146">
        <f>平成21年度!M9</f>
        <v>2978</v>
      </c>
      <c r="AE49" s="144"/>
      <c r="AF49" s="143"/>
      <c r="AG49" s="158"/>
      <c r="AH49" s="147"/>
      <c r="AI49" s="159"/>
    </row>
    <row r="50" spans="1:35" ht="20.149999999999999" customHeight="1" x14ac:dyDescent="0.2">
      <c r="G50" s="160">
        <f>IF(+平成21年度!G45&gt;0,ROUNDUP(+平成21年度!G45,-2),ROUNDDOWN(+平成21年度!G45,-2))</f>
        <v>26600</v>
      </c>
      <c r="H50" s="160">
        <f>IF(+平成21年度!H45&gt;0,ROUNDUP(+平成21年度!H45,-2),ROUNDDOWN(+平成21年度!H45,-2))</f>
        <v>28200</v>
      </c>
      <c r="W50" s="117"/>
      <c r="X50" s="134" t="s">
        <v>41</v>
      </c>
      <c r="Y50" s="150">
        <f>平成21年度!C9</f>
        <v>43415</v>
      </c>
      <c r="Z50" s="151">
        <f>平成21年度!H9</f>
        <v>76920</v>
      </c>
      <c r="AA50" s="151">
        <f>平成21年度!Z50-平成21年度!AB50-平成21年度!AC50</f>
        <v>45993</v>
      </c>
      <c r="AB50" s="151">
        <f>平成21年度!K9</f>
        <v>26439</v>
      </c>
      <c r="AC50" s="152">
        <f>平成21年度!AD49+平成21年度!AD50</f>
        <v>4488</v>
      </c>
      <c r="AD50" s="153">
        <f>平成21年度!N9</f>
        <v>1510</v>
      </c>
      <c r="AE50" s="151">
        <f>平成21年度!R9</f>
        <v>126832</v>
      </c>
      <c r="AF50" s="150">
        <f>平成21年度!S9</f>
        <v>314641</v>
      </c>
      <c r="AG50" s="154">
        <f>平成21年度!Y50/+平成21年度!AE50</f>
        <v>0.34230320423867794</v>
      </c>
      <c r="AH50" s="155">
        <f>平成21年度!Z50/+平成21年度!AF50</f>
        <v>0.24446909334765654</v>
      </c>
      <c r="AI50" s="156">
        <f>平成21年度!AC50/+平成21年度!Z50</f>
        <v>5.8346333853354138E-2</v>
      </c>
    </row>
    <row r="51" spans="1:35" ht="20.149999999999999" customHeight="1" x14ac:dyDescent="0.2">
      <c r="A51" s="161" t="s">
        <v>1205</v>
      </c>
      <c r="K51" s="1" t="s">
        <v>405</v>
      </c>
      <c r="L51" s="1" t="s">
        <v>1160</v>
      </c>
      <c r="M51" s="1" t="s">
        <v>817</v>
      </c>
      <c r="N51" s="1" t="s">
        <v>907</v>
      </c>
      <c r="R51" s="1" t="s">
        <v>1158</v>
      </c>
      <c r="W51" s="117"/>
      <c r="X51" s="142"/>
      <c r="Y51" s="143" t="s">
        <v>275</v>
      </c>
      <c r="Z51" s="144" t="s">
        <v>275</v>
      </c>
      <c r="AA51" s="144" t="s">
        <v>275</v>
      </c>
      <c r="AB51" s="144"/>
      <c r="AC51" s="145"/>
      <c r="AD51" s="146">
        <f>平成21年度!M10</f>
        <v>2900</v>
      </c>
      <c r="AE51" s="144"/>
      <c r="AF51" s="144"/>
      <c r="AG51" s="147" t="s">
        <v>275</v>
      </c>
      <c r="AH51" s="147" t="s">
        <v>275</v>
      </c>
      <c r="AI51" s="148" t="s">
        <v>275</v>
      </c>
    </row>
    <row r="52" spans="1:35" ht="20.149999999999999" customHeight="1" x14ac:dyDescent="0.2">
      <c r="A52" s="1" t="s">
        <v>1217</v>
      </c>
      <c r="C52" s="1" t="s">
        <v>477</v>
      </c>
      <c r="D52" s="1" t="s">
        <v>478</v>
      </c>
      <c r="E52" s="1" t="s">
        <v>479</v>
      </c>
      <c r="F52" s="1" t="s">
        <v>480</v>
      </c>
      <c r="G52" s="1" t="s">
        <v>682</v>
      </c>
      <c r="H52" s="1" t="s">
        <v>907</v>
      </c>
      <c r="J52" s="1" t="s">
        <v>1164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W52" s="117"/>
      <c r="X52" s="134" t="s">
        <v>42</v>
      </c>
      <c r="Y52" s="150">
        <f>平成21年度!C10</f>
        <v>43406</v>
      </c>
      <c r="Z52" s="151">
        <f>平成21年度!H10</f>
        <v>76753</v>
      </c>
      <c r="AA52" s="151">
        <f>平成21年度!Z52-平成21年度!AB52-平成21年度!AC52</f>
        <v>45895</v>
      </c>
      <c r="AB52" s="151">
        <f>平成21年度!K10</f>
        <v>26495</v>
      </c>
      <c r="AC52" s="152">
        <f>平成21年度!AD51+平成21年度!AD52</f>
        <v>4363</v>
      </c>
      <c r="AD52" s="153">
        <f>平成21年度!N10</f>
        <v>1463</v>
      </c>
      <c r="AE52" s="151">
        <f>平成21年度!R10</f>
        <v>126909</v>
      </c>
      <c r="AF52" s="150">
        <f>平成21年度!S10</f>
        <v>314607</v>
      </c>
      <c r="AG52" s="154">
        <f>平成21年度!Y52/+平成21年度!AE52</f>
        <v>0.34202460030415494</v>
      </c>
      <c r="AH52" s="155">
        <f>平成21年度!Z52/+平成21年度!AF52</f>
        <v>0.24396469245757404</v>
      </c>
      <c r="AI52" s="156">
        <f>平成21年度!AC52/+平成21年度!Z52</f>
        <v>5.6844683595429497E-2</v>
      </c>
    </row>
    <row r="53" spans="1:35" ht="20.149999999999999" customHeight="1" x14ac:dyDescent="0.2">
      <c r="K53" s="1">
        <v>48779</v>
      </c>
      <c r="L53" s="1">
        <v>48738</v>
      </c>
      <c r="M53" s="1">
        <v>49951</v>
      </c>
      <c r="N53" s="1">
        <v>50707</v>
      </c>
      <c r="W53" s="117"/>
      <c r="X53" s="142"/>
      <c r="Y53" s="143"/>
      <c r="Z53" s="144"/>
      <c r="AA53" s="144" t="s">
        <v>275</v>
      </c>
      <c r="AB53" s="144"/>
      <c r="AC53" s="157"/>
      <c r="AD53" s="146">
        <f>平成21年度!M11</f>
        <v>3001</v>
      </c>
      <c r="AE53" s="144"/>
      <c r="AF53" s="143"/>
      <c r="AG53" s="158" t="s">
        <v>275</v>
      </c>
      <c r="AH53" s="147" t="s">
        <v>275</v>
      </c>
      <c r="AI53" s="159" t="s">
        <v>275</v>
      </c>
    </row>
    <row r="54" spans="1:35" ht="20.149999999999999" customHeight="1" x14ac:dyDescent="0.2">
      <c r="B54" s="1" t="s">
        <v>1230</v>
      </c>
      <c r="C54" s="1" t="e">
        <f>ROUND(SUM(+平成10年度!P8:P12)/5,0)</f>
        <v>#VALUE!</v>
      </c>
      <c r="D54" s="1" t="e">
        <f>ROUND(SUM(+平成11年度!P8:P12)/5,0)</f>
        <v>#VALUE!</v>
      </c>
      <c r="E54" s="1" t="e">
        <f>ROUND(SUM(+平成12年度!P8:P12)/5,0)</f>
        <v>#VALUE!</v>
      </c>
      <c r="F54" s="120" t="e">
        <f>ROUND(SUM(+平成13年度!P8:P12)/5,0)</f>
        <v>#VALUE!</v>
      </c>
      <c r="G54" s="120" t="e">
        <f>ROUND(SUM(+平成14年度!P8:P12)/5,0)</f>
        <v>#VALUE!</v>
      </c>
      <c r="H54" s="1" t="e">
        <f>ROUND(SUM(+平成21年度!S8:S12)/5,0)</f>
        <v>#VALUE!</v>
      </c>
      <c r="W54" s="117"/>
      <c r="X54" s="134" t="s">
        <v>43</v>
      </c>
      <c r="Y54" s="150">
        <f>平成21年度!C11</f>
        <v>43378</v>
      </c>
      <c r="Z54" s="151">
        <f>平成21年度!H11</f>
        <v>76571</v>
      </c>
      <c r="AA54" s="151">
        <f>平成21年度!Z54-平成21年度!AB54-平成21年度!AC54</f>
        <v>45532</v>
      </c>
      <c r="AB54" s="151">
        <f>平成21年度!K11</f>
        <v>26552</v>
      </c>
      <c r="AC54" s="152">
        <f>平成21年度!AD53+平成21年度!AD54</f>
        <v>4487</v>
      </c>
      <c r="AD54" s="153">
        <f>平成21年度!N11</f>
        <v>1486</v>
      </c>
      <c r="AE54" s="151">
        <f>平成21年度!R11</f>
        <v>126942</v>
      </c>
      <c r="AF54" s="150">
        <f>平成21年度!S11</f>
        <v>314497</v>
      </c>
      <c r="AG54" s="154">
        <f>平成21年度!Y54/+平成21年度!AE54</f>
        <v>0.3417151139890659</v>
      </c>
      <c r="AH54" s="155">
        <f>平成21年度!Z54/+平成21年度!AF54</f>
        <v>0.24347132087110529</v>
      </c>
      <c r="AI54" s="156">
        <f>平成21年度!AC54/+平成21年度!Z54</f>
        <v>5.8599208577659948E-2</v>
      </c>
    </row>
    <row r="55" spans="1:35" ht="20.149999999999999" customHeight="1" x14ac:dyDescent="0.2">
      <c r="B55" s="121" t="s">
        <v>1232</v>
      </c>
      <c r="C55" s="121"/>
      <c r="D55" s="122" t="e">
        <f>平成21年度!D54/平成21年度!C54</f>
        <v>#VALUE!</v>
      </c>
      <c r="E55" s="122" t="e">
        <f>平成21年度!E54/平成21年度!D54</f>
        <v>#VALUE!</v>
      </c>
      <c r="F55" s="123" t="e">
        <f>ROUND(+平成21年度!F54/平成21年度!E54,4)</f>
        <v>#VALUE!</v>
      </c>
      <c r="G55" s="123" t="e">
        <f>ROUND(+平成21年度!G54/平成21年度!F54,4)</f>
        <v>#VALUE!</v>
      </c>
      <c r="H55" s="123" t="e">
        <f>ROUND(+平成21年度!H54/平成21年度!G54,4)</f>
        <v>#VALUE!</v>
      </c>
      <c r="J55" s="1" t="s">
        <v>1185</v>
      </c>
      <c r="K55" s="118">
        <v>25949</v>
      </c>
      <c r="L55" s="118">
        <v>26021</v>
      </c>
      <c r="M55" s="118">
        <v>26608</v>
      </c>
      <c r="N55" s="1">
        <f>ROUND(ROUND(+平成21年度!M55/平成21年度!L55,4)*平成21年度!M55,0)</f>
        <v>27209</v>
      </c>
      <c r="W55" s="117"/>
      <c r="X55" s="142"/>
      <c r="Y55" s="143"/>
      <c r="Z55" s="144"/>
      <c r="AA55" s="144" t="s">
        <v>275</v>
      </c>
      <c r="AB55" s="144"/>
      <c r="AC55" s="145"/>
      <c r="AD55" s="146">
        <f>平成21年度!M12</f>
        <v>3428</v>
      </c>
      <c r="AE55" s="144"/>
      <c r="AF55" s="144"/>
      <c r="AG55" s="147" t="s">
        <v>275</v>
      </c>
      <c r="AH55" s="147" t="s">
        <v>275</v>
      </c>
      <c r="AI55" s="148" t="s">
        <v>275</v>
      </c>
    </row>
    <row r="56" spans="1:35" ht="20.149999999999999" customHeight="1" x14ac:dyDescent="0.25">
      <c r="B56" s="1" t="s">
        <v>486</v>
      </c>
      <c r="C56" s="1" t="e">
        <f>平成10年度!P21</f>
        <v>#VALUE!</v>
      </c>
      <c r="D56" s="1">
        <f>平成11年度!P21</f>
        <v>292958.75</v>
      </c>
      <c r="E56" s="1" t="e">
        <f>平成12年度!P21</f>
        <v>#VALUE!</v>
      </c>
      <c r="F56" s="126" t="e">
        <f>平成13年度!P21</f>
        <v>#VALUE!</v>
      </c>
      <c r="G56" s="126" t="e">
        <f>平成14年度!P21</f>
        <v>#VALUE!</v>
      </c>
      <c r="H56" s="126" t="s">
        <v>275</v>
      </c>
      <c r="K56" s="1">
        <v>48708</v>
      </c>
      <c r="L56" s="1">
        <v>49113</v>
      </c>
      <c r="M56" s="1">
        <v>50246</v>
      </c>
      <c r="N56" s="1">
        <f>ROUND(ROUND(+平成21年度!M56/平成21年度!L56,4)*平成21年度!M56,0)</f>
        <v>51407</v>
      </c>
      <c r="W56" s="117"/>
      <c r="X56" s="134" t="s">
        <v>44</v>
      </c>
      <c r="Y56" s="150">
        <f>平成21年度!C12</f>
        <v>43265</v>
      </c>
      <c r="Z56" s="151">
        <f>平成21年度!H12</f>
        <v>76282</v>
      </c>
      <c r="AA56" s="151">
        <f>平成21年度!Z56-平成21年度!AB56-平成21年度!AC56</f>
        <v>44765</v>
      </c>
      <c r="AB56" s="151">
        <f>平成21年度!K12</f>
        <v>26567</v>
      </c>
      <c r="AC56" s="152">
        <f>平成21年度!AD55+平成21年度!AD56</f>
        <v>4950</v>
      </c>
      <c r="AD56" s="153">
        <f>平成21年度!N12</f>
        <v>1522</v>
      </c>
      <c r="AE56" s="151">
        <f>平成21年度!R12</f>
        <v>126939</v>
      </c>
      <c r="AF56" s="150">
        <f>平成21年度!S12</f>
        <v>314518</v>
      </c>
      <c r="AG56" s="154">
        <f>平成21年度!Y56/+平成21年度!AE56</f>
        <v>0.3408329985268515</v>
      </c>
      <c r="AH56" s="155">
        <f>平成21年度!Z56/+平成21年度!AF56</f>
        <v>0.24253619824620531</v>
      </c>
      <c r="AI56" s="156">
        <f>平成21年度!AC56/+平成21年度!Z56</f>
        <v>6.489079992658818E-2</v>
      </c>
    </row>
    <row r="57" spans="1:35" ht="20.149999999999999" customHeight="1" x14ac:dyDescent="0.2">
      <c r="B57" s="121" t="s">
        <v>1241</v>
      </c>
      <c r="C57" s="122" t="e">
        <f>平成21年度!C56/平成21年度!C54</f>
        <v>#VALUE!</v>
      </c>
      <c r="D57" s="122" t="e">
        <f>平成21年度!D56/平成21年度!D54</f>
        <v>#VALUE!</v>
      </c>
      <c r="E57" s="122" t="e">
        <f>平成21年度!E56/平成21年度!E54</f>
        <v>#VALUE!</v>
      </c>
      <c r="F57" s="122" t="e">
        <f>ROUND(+平成21年度!F56/平成21年度!F54,4)</f>
        <v>#VALUE!</v>
      </c>
      <c r="G57" s="122" t="e">
        <f>ROUND((+平成21年度!E57+平成21年度!F57)/2,4)</f>
        <v>#VALUE!</v>
      </c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R57" s="1" t="s">
        <v>1247</v>
      </c>
      <c r="S57" s="1" t="s">
        <v>1248</v>
      </c>
      <c r="W57" s="117"/>
      <c r="X57" s="142"/>
      <c r="Y57" s="143"/>
      <c r="Z57" s="144"/>
      <c r="AA57" s="144" t="s">
        <v>275</v>
      </c>
      <c r="AB57" s="144"/>
      <c r="AC57" s="145"/>
      <c r="AD57" s="146">
        <f>平成21年度!M13</f>
        <v>3455</v>
      </c>
      <c r="AE57" s="144"/>
      <c r="AF57" s="144"/>
      <c r="AG57" s="147" t="s">
        <v>275</v>
      </c>
      <c r="AH57" s="147" t="s">
        <v>275</v>
      </c>
      <c r="AI57" s="148" t="s">
        <v>275</v>
      </c>
    </row>
    <row r="58" spans="1:35" ht="20.149999999999999" customHeight="1" x14ac:dyDescent="0.2">
      <c r="B58" s="121" t="s">
        <v>509</v>
      </c>
      <c r="C58" s="121"/>
      <c r="D58" s="122" t="e">
        <f>平成21年度!D56/平成21年度!C56</f>
        <v>#VALUE!</v>
      </c>
      <c r="E58" s="122" t="e">
        <f>平成21年度!E56/平成21年度!D56</f>
        <v>#VALUE!</v>
      </c>
      <c r="F58" s="122" t="e">
        <f>ROUND(+平成21年度!F56/平成21年度!E56,4)</f>
        <v>#VALUE!</v>
      </c>
      <c r="G58" s="122" t="e">
        <f>ROUND(+平成21年度!G56/平成21年度!F56,4)</f>
        <v>#VALUE!</v>
      </c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W58" s="117"/>
      <c r="X58" s="134" t="s">
        <v>45</v>
      </c>
      <c r="Y58" s="150">
        <f>平成21年度!C13</f>
        <v>43144</v>
      </c>
      <c r="Z58" s="151">
        <f>平成21年度!H13</f>
        <v>75994</v>
      </c>
      <c r="AA58" s="151">
        <f>平成21年度!Z58-平成21年度!AB58-平成21年度!AC58</f>
        <v>44384</v>
      </c>
      <c r="AB58" s="151">
        <f>平成21年度!K13</f>
        <v>26624</v>
      </c>
      <c r="AC58" s="152">
        <f>平成21年度!AD57+平成21年度!AD58</f>
        <v>4986</v>
      </c>
      <c r="AD58" s="153">
        <f>平成21年度!N13</f>
        <v>1531</v>
      </c>
      <c r="AE58" s="151">
        <f>平成21年度!R13</f>
        <v>126976</v>
      </c>
      <c r="AF58" s="150">
        <f>平成21年度!S13</f>
        <v>314577</v>
      </c>
      <c r="AG58" s="154">
        <f>平成21年度!Y58/+平成21年度!AE58</f>
        <v>0.33978074596774194</v>
      </c>
      <c r="AH58" s="155">
        <f>平成21年度!Z58/+平成21年度!AF58</f>
        <v>0.24157519462643487</v>
      </c>
      <c r="AI58" s="156">
        <f>平成21年度!AC58/+平成21年度!Z58</f>
        <v>6.5610442929704971E-2</v>
      </c>
    </row>
    <row r="59" spans="1:35" ht="20.149999999999999" customHeight="1" x14ac:dyDescent="0.2">
      <c r="J59" s="36">
        <v>1</v>
      </c>
      <c r="K59" s="36">
        <f>ROUND(+平成21年度!K58/平成21年度!J58,4)</f>
        <v>0.99309999999999998</v>
      </c>
      <c r="L59" s="36">
        <f>ROUND(+平成21年度!L58/平成21年度!K58,4)</f>
        <v>1.0054000000000001</v>
      </c>
      <c r="M59" s="36">
        <f>ROUND(+平成21年度!M58/平成21年度!L58,4)</f>
        <v>0.99739999999999995</v>
      </c>
      <c r="N59" s="36">
        <f>ROUND(+平成21年度!N58/平成21年度!M58,4)</f>
        <v>1.0225</v>
      </c>
      <c r="O59" s="36"/>
      <c r="P59" s="36"/>
      <c r="Q59" s="36"/>
      <c r="R59" s="36">
        <f>ROUND(+平成21年度!R58/平成21年度!N58,4)</f>
        <v>1.0001</v>
      </c>
      <c r="S59" s="36">
        <f>ROUND(+平成21年度!S58/平成21年度!R58,4)</f>
        <v>1.0172000000000001</v>
      </c>
      <c r="V59" s="1" t="s">
        <v>275</v>
      </c>
      <c r="W59" s="117"/>
      <c r="X59" s="142"/>
      <c r="Y59" s="143"/>
      <c r="Z59" s="144"/>
      <c r="AA59" s="144" t="s">
        <v>275</v>
      </c>
      <c r="AB59" s="144"/>
      <c r="AC59" s="145"/>
      <c r="AD59" s="146">
        <f>平成21年度!M14</f>
        <v>3365</v>
      </c>
      <c r="AE59" s="144"/>
      <c r="AF59" s="144"/>
      <c r="AG59" s="147" t="s">
        <v>275</v>
      </c>
      <c r="AH59" s="147" t="s">
        <v>275</v>
      </c>
      <c r="AI59" s="148" t="s">
        <v>275</v>
      </c>
    </row>
    <row r="60" spans="1:35" ht="20.149999999999999" customHeight="1" x14ac:dyDescent="0.2">
      <c r="D60" s="1" t="e">
        <f>平成21年度!C57*平成21年度!D54</f>
        <v>#VALUE!</v>
      </c>
      <c r="E60" s="1" t="e">
        <f>平成21年度!D57*平成21年度!E54</f>
        <v>#VALUE!</v>
      </c>
      <c r="F60" s="1" t="e">
        <f>平成21年度!E57*平成21年度!F54</f>
        <v>#VALUE!</v>
      </c>
      <c r="G60" s="1" t="e">
        <f>平成21年度!F57*平成21年度!G54</f>
        <v>#VALUE!</v>
      </c>
      <c r="H60" s="162" t="e">
        <f>IF(+平成21年度!G57*平成21年度!H54&gt;0,ROUNDDOWN(+平成21年度!G57*平成21年度!H54,-2),ROUNDUP(+平成21年度!G57*平成21年度!H54,-2))</f>
        <v>#VALUE!</v>
      </c>
      <c r="I60" s="1" t="s">
        <v>18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R60" s="1">
        <v>50246</v>
      </c>
      <c r="S60" s="1">
        <v>50707</v>
      </c>
      <c r="W60" s="117"/>
      <c r="X60" s="134" t="s">
        <v>46</v>
      </c>
      <c r="Y60" s="150">
        <f>平成21年度!C14</f>
        <v>43068</v>
      </c>
      <c r="Z60" s="151">
        <f>平成21年度!H14</f>
        <v>75773</v>
      </c>
      <c r="AA60" s="151">
        <f>平成21年度!Z60-平成21年度!AB60-平成21年度!AC60</f>
        <v>44256</v>
      </c>
      <c r="AB60" s="151">
        <f>平成21年度!K14</f>
        <v>26672</v>
      </c>
      <c r="AC60" s="152">
        <f>平成21年度!AD59+平成21年度!AD60</f>
        <v>4845</v>
      </c>
      <c r="AD60" s="153">
        <f>平成21年度!N14</f>
        <v>1480</v>
      </c>
      <c r="AE60" s="151">
        <f>平成21年度!R14</f>
        <v>126994</v>
      </c>
      <c r="AF60" s="150">
        <f>平成21年度!S14</f>
        <v>314607</v>
      </c>
      <c r="AG60" s="154">
        <f>平成21年度!Y60/+平成21年度!AE60</f>
        <v>0.33913413232121203</v>
      </c>
      <c r="AH60" s="155">
        <f>平成21年度!Z60/+平成21年度!AF60</f>
        <v>0.24084969501632195</v>
      </c>
      <c r="AI60" s="156">
        <f>平成21年度!AC60/+平成21年度!Z60</f>
        <v>6.394098161614295E-2</v>
      </c>
    </row>
    <row r="61" spans="1:35" ht="20.149999999999999" customHeight="1" x14ac:dyDescent="0.2">
      <c r="J61" s="36">
        <v>1</v>
      </c>
      <c r="K61" s="36">
        <f>ROUND(+平成21年度!K60/平成21年度!J60,4)</f>
        <v>0.99850000000000005</v>
      </c>
      <c r="L61" s="36">
        <f>ROUND(+平成21年度!L60/平成21年度!K60,4)</f>
        <v>1.0005999999999999</v>
      </c>
      <c r="M61" s="36">
        <f>ROUND(+平成21年度!M60/平成21年度!L60,4)</f>
        <v>1.0077</v>
      </c>
      <c r="N61" s="36">
        <f>ROUND(+平成21年度!N60/平成21年度!M60,4)</f>
        <v>1.0170999999999999</v>
      </c>
      <c r="O61" s="36"/>
      <c r="P61" s="36"/>
      <c r="Q61" s="36"/>
      <c r="R61" s="36">
        <f>ROUND(+平成21年度!R60/平成21年度!N60,4)</f>
        <v>1.0059</v>
      </c>
      <c r="S61" s="36">
        <f>ROUND(+平成21年度!S60/平成21年度!R60,4)</f>
        <v>1.0092000000000001</v>
      </c>
      <c r="W61" s="117"/>
      <c r="X61" s="142"/>
      <c r="Y61" s="143"/>
      <c r="Z61" s="144"/>
      <c r="AA61" s="144" t="s">
        <v>275</v>
      </c>
      <c r="AB61" s="144"/>
      <c r="AC61" s="145"/>
      <c r="AD61" s="146">
        <f>平成21年度!M15</f>
        <v>3308</v>
      </c>
      <c r="AE61" s="144"/>
      <c r="AF61" s="144"/>
      <c r="AG61" s="147" t="s">
        <v>275</v>
      </c>
      <c r="AH61" s="147" t="s">
        <v>275</v>
      </c>
      <c r="AI61" s="148" t="s">
        <v>275</v>
      </c>
    </row>
    <row r="62" spans="1:35" ht="20.149999999999999" customHeight="1" x14ac:dyDescent="0.2">
      <c r="A62" s="1" t="s">
        <v>11</v>
      </c>
      <c r="C62" s="1" t="s">
        <v>477</v>
      </c>
      <c r="D62" s="1" t="s">
        <v>478</v>
      </c>
      <c r="E62" s="1" t="s">
        <v>479</v>
      </c>
      <c r="F62" s="1" t="s">
        <v>480</v>
      </c>
      <c r="G62" s="1" t="s">
        <v>682</v>
      </c>
      <c r="H62" s="1" t="s">
        <v>907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R62" s="1">
        <v>81903</v>
      </c>
      <c r="S62" s="1">
        <v>83699</v>
      </c>
      <c r="W62" s="117"/>
      <c r="X62" s="134" t="s">
        <v>47</v>
      </c>
      <c r="Y62" s="150">
        <f>平成21年度!C15</f>
        <v>42948</v>
      </c>
      <c r="Z62" s="151">
        <f>平成21年度!H15</f>
        <v>75490</v>
      </c>
      <c r="AA62" s="151">
        <f>平成21年度!Z62-平成21年度!AB62-平成21年度!AC62</f>
        <v>44063</v>
      </c>
      <c r="AB62" s="151">
        <f>平成21年度!K15</f>
        <v>26667</v>
      </c>
      <c r="AC62" s="152">
        <f>平成21年度!AD61+平成21年度!AD62</f>
        <v>4760</v>
      </c>
      <c r="AD62" s="153">
        <f>平成21年度!N15</f>
        <v>1452</v>
      </c>
      <c r="AE62" s="151">
        <f>平成21年度!R15</f>
        <v>127021</v>
      </c>
      <c r="AF62" s="150">
        <f>平成21年度!S15</f>
        <v>314616</v>
      </c>
      <c r="AG62" s="154">
        <f>平成21年度!Y62/+平成21年度!AE62</f>
        <v>0.33811731918344212</v>
      </c>
      <c r="AH62" s="155">
        <f>平成21年度!Z62/+平成21年度!AF62</f>
        <v>0.23994329595443334</v>
      </c>
      <c r="AI62" s="156">
        <f>平成21年度!AC62/+平成21年度!Z62</f>
        <v>6.3054709233011E-2</v>
      </c>
    </row>
    <row r="63" spans="1:35" ht="20.149999999999999" customHeight="1" x14ac:dyDescent="0.2">
      <c r="J63" s="36">
        <v>1</v>
      </c>
      <c r="K63" s="36">
        <f>ROUND(+平成21年度!K62/平成21年度!J62,4)</f>
        <v>1.0068999999999999</v>
      </c>
      <c r="L63" s="36">
        <f>ROUND(+平成21年度!L62/平成21年度!K62,4)</f>
        <v>1.0145</v>
      </c>
      <c r="M63" s="36">
        <f>ROUND(+平成21年度!M62/平成21年度!L62,4)</f>
        <v>1.0133000000000001</v>
      </c>
      <c r="N63" s="36">
        <f>ROUND(+平成21年度!N62/平成21年度!M62,4)</f>
        <v>1.0256000000000001</v>
      </c>
      <c r="O63" s="36"/>
      <c r="P63" s="36"/>
      <c r="Q63" s="36"/>
      <c r="R63" s="36">
        <f>ROUND(+平成21年度!R62/平成21年度!N62,4)</f>
        <v>1.0128999999999999</v>
      </c>
      <c r="S63" s="36">
        <f>ROUND(+平成21年度!S62/平成21年度!R62,4)</f>
        <v>1.0219</v>
      </c>
      <c r="W63" s="117"/>
      <c r="X63" s="142"/>
      <c r="Y63" s="143" t="s">
        <v>275</v>
      </c>
      <c r="Z63" s="144"/>
      <c r="AA63" s="144" t="s">
        <v>275</v>
      </c>
      <c r="AB63" s="144"/>
      <c r="AC63" s="157"/>
      <c r="AD63" s="146">
        <f>平成21年度!M16</f>
        <v>3216</v>
      </c>
      <c r="AE63" s="144"/>
      <c r="AF63" s="143"/>
      <c r="AG63" s="158" t="s">
        <v>275</v>
      </c>
      <c r="AH63" s="147" t="s">
        <v>275</v>
      </c>
      <c r="AI63" s="159" t="s">
        <v>275</v>
      </c>
    </row>
    <row r="64" spans="1:35" ht="20.149999999999999" customHeight="1" x14ac:dyDescent="0.2">
      <c r="B64" s="1" t="s">
        <v>1230</v>
      </c>
      <c r="C64" s="1" t="e">
        <f>ROUND(SUM(+平成10年度!O8:O12)/5,0)</f>
        <v>#VALUE!</v>
      </c>
      <c r="D64" s="1" t="e">
        <f>ROUND(SUM(+平成11年度!O8:O12)/5,0)</f>
        <v>#VALUE!</v>
      </c>
      <c r="E64" s="1" t="e">
        <f>ROUND(SUM(+平成12年度!O8:O12)/5,0)</f>
        <v>#VALUE!</v>
      </c>
      <c r="F64" s="120" t="e">
        <f>ROUND(SUM(+平成13年度!O8:O12)/5,0)</f>
        <v>#VALUE!</v>
      </c>
      <c r="G64" s="120" t="e">
        <f>ROUND(SUM(+平成14年度!O8:O12)/5,0)</f>
        <v>#VALUE!</v>
      </c>
      <c r="H64" s="1" t="e">
        <f>ROUND(SUM(+平成21年度!R8:R12)/5,0)</f>
        <v>#VALUE!</v>
      </c>
      <c r="W64" s="117"/>
      <c r="X64" s="134" t="s">
        <v>48</v>
      </c>
      <c r="Y64" s="150">
        <f>平成21年度!C16</f>
        <v>42813</v>
      </c>
      <c r="Z64" s="151">
        <f>平成21年度!H16</f>
        <v>75236</v>
      </c>
      <c r="AA64" s="151">
        <f>平成21年度!Z64-平成21年度!AB64-平成21年度!AC64</f>
        <v>43898</v>
      </c>
      <c r="AB64" s="151">
        <f>平成21年度!K16</f>
        <v>26711</v>
      </c>
      <c r="AC64" s="152">
        <f>平成21年度!AD63+平成21年度!AD64</f>
        <v>4627</v>
      </c>
      <c r="AD64" s="153">
        <f>平成21年度!N16</f>
        <v>1411</v>
      </c>
      <c r="AE64" s="151">
        <f>平成21年度!R16</f>
        <v>126983</v>
      </c>
      <c r="AF64" s="150">
        <f>平成21年度!S16</f>
        <v>314489</v>
      </c>
      <c r="AG64" s="154">
        <f>平成21年度!Y64/+平成21年度!AE64</f>
        <v>0.3371553672538844</v>
      </c>
      <c r="AH64" s="155">
        <f>平成21年度!Z64/+平成21年度!AF64</f>
        <v>0.23923253277539119</v>
      </c>
      <c r="AI64" s="156">
        <f>平成21年度!AC64/+平成21年度!Z64</f>
        <v>6.1499813918868627E-2</v>
      </c>
    </row>
    <row r="65" spans="1:35" ht="20.149999999999999" customHeight="1" x14ac:dyDescent="0.2">
      <c r="A65" s="163"/>
      <c r="B65" s="121" t="s">
        <v>1232</v>
      </c>
      <c r="C65" s="121"/>
      <c r="D65" s="122" t="e">
        <f>平成21年度!D64/平成21年度!C64</f>
        <v>#VALUE!</v>
      </c>
      <c r="E65" s="122" t="e">
        <f>平成21年度!E64/平成21年度!D64</f>
        <v>#VALUE!</v>
      </c>
      <c r="F65" s="123" t="e">
        <f>ROUND(+平成21年度!F64/平成21年度!E64,4)</f>
        <v>#VALUE!</v>
      </c>
      <c r="G65" s="123" t="e">
        <f>ROUND(+平成21年度!G64/平成21年度!F64,4)</f>
        <v>#VALUE!</v>
      </c>
      <c r="H65" s="123" t="e">
        <f>ROUND(+平成21年度!H64/平成21年度!G64,4)</f>
        <v>#VALUE!</v>
      </c>
      <c r="W65" s="117"/>
      <c r="X65" s="142"/>
      <c r="Y65" s="143" t="s">
        <v>275</v>
      </c>
      <c r="Z65" s="144"/>
      <c r="AA65" s="144" t="s">
        <v>275</v>
      </c>
      <c r="AB65" s="144"/>
      <c r="AC65" s="157"/>
      <c r="AD65" s="146">
        <f>平成21年度!M17</f>
        <v>3219</v>
      </c>
      <c r="AE65" s="144"/>
      <c r="AF65" s="143"/>
      <c r="AG65" s="158" t="s">
        <v>275</v>
      </c>
      <c r="AH65" s="147" t="s">
        <v>275</v>
      </c>
      <c r="AI65" s="159" t="s">
        <v>275</v>
      </c>
    </row>
    <row r="66" spans="1:35" ht="20.149999999999999" customHeight="1" x14ac:dyDescent="0.25">
      <c r="B66" s="1" t="s">
        <v>486</v>
      </c>
      <c r="C66" s="1" t="e">
        <f>平成10年度!O21</f>
        <v>#VALUE!</v>
      </c>
      <c r="D66" s="1">
        <f>平成11年度!O21</f>
        <v>105725.41666666667</v>
      </c>
      <c r="E66" s="1">
        <f>平成12年度!O21</f>
        <v>27409.75</v>
      </c>
      <c r="F66" s="126">
        <f>平成13年度!O21</f>
        <v>27918.666666666668</v>
      </c>
      <c r="G66" s="126">
        <f>平成14年度!O21</f>
        <v>28534.416666666668</v>
      </c>
      <c r="H66" s="126" t="s">
        <v>275</v>
      </c>
      <c r="W66" s="117"/>
      <c r="X66" s="134" t="s">
        <v>49</v>
      </c>
      <c r="Y66" s="150">
        <f>平成21年度!C17</f>
        <v>42648</v>
      </c>
      <c r="Z66" s="151">
        <f>平成21年度!H17</f>
        <v>74934</v>
      </c>
      <c r="AA66" s="151">
        <f>平成21年度!Z66-平成21年度!AB66-平成21年度!AC66</f>
        <v>43721</v>
      </c>
      <c r="AB66" s="151">
        <f>平成21年度!K17</f>
        <v>26605</v>
      </c>
      <c r="AC66" s="152">
        <f>平成21年度!AD65+平成21年度!AD66</f>
        <v>4608</v>
      </c>
      <c r="AD66" s="153">
        <f>平成21年度!N17</f>
        <v>1389</v>
      </c>
      <c r="AE66" s="151">
        <f>平成21年度!R17</f>
        <v>127011</v>
      </c>
      <c r="AF66" s="150">
        <f>平成21年度!S17</f>
        <v>314374</v>
      </c>
      <c r="AG66" s="154">
        <f>平成21年度!Y66/+平成21年度!AE66</f>
        <v>0.33578194014691642</v>
      </c>
      <c r="AH66" s="155">
        <f>平成21年度!Z66/+平成21年度!AF66</f>
        <v>0.23835940631222685</v>
      </c>
      <c r="AI66" s="156">
        <f>平成21年度!AC66/+平成21年度!Z66</f>
        <v>6.1494114821042514E-2</v>
      </c>
    </row>
    <row r="67" spans="1:35" ht="20.149999999999999" customHeight="1" x14ac:dyDescent="0.2">
      <c r="B67" s="121" t="s">
        <v>1241</v>
      </c>
      <c r="C67" s="122" t="e">
        <f>平成21年度!C66/平成21年度!C64</f>
        <v>#VALUE!</v>
      </c>
      <c r="D67" s="122" t="e">
        <f>平成21年度!D66/平成21年度!D64</f>
        <v>#VALUE!</v>
      </c>
      <c r="E67" s="122" t="e">
        <f>平成21年度!E66/平成21年度!E64</f>
        <v>#VALUE!</v>
      </c>
      <c r="F67" s="122" t="e">
        <f>ROUND(+平成21年度!F66/平成21年度!F64,4)</f>
        <v>#VALUE!</v>
      </c>
      <c r="G67" s="122" t="e">
        <f>ROUND((+平成21年度!E67+平成21年度!F67)/2,4)</f>
        <v>#VALUE!</v>
      </c>
      <c r="W67" s="117"/>
      <c r="X67" s="142"/>
      <c r="Y67" s="143" t="s">
        <v>275</v>
      </c>
      <c r="Z67" s="144" t="s">
        <v>275</v>
      </c>
      <c r="AA67" s="144" t="s">
        <v>275</v>
      </c>
      <c r="AB67" s="144"/>
      <c r="AC67" s="157"/>
      <c r="AD67" s="146">
        <f>平成21年度!M18</f>
        <v>3191</v>
      </c>
      <c r="AE67" s="144"/>
      <c r="AF67" s="143"/>
      <c r="AG67" s="158" t="s">
        <v>275</v>
      </c>
      <c r="AH67" s="147" t="s">
        <v>275</v>
      </c>
      <c r="AI67" s="159" t="s">
        <v>275</v>
      </c>
    </row>
    <row r="68" spans="1:35" ht="20.149999999999999" customHeight="1" x14ac:dyDescent="0.2">
      <c r="B68" s="121" t="s">
        <v>509</v>
      </c>
      <c r="C68" s="121"/>
      <c r="D68" s="122" t="e">
        <f>平成21年度!D66/平成21年度!C66</f>
        <v>#VALUE!</v>
      </c>
      <c r="E68" s="122">
        <f>平成21年度!E66/平成21年度!D66</f>
        <v>0.25925412132844117</v>
      </c>
      <c r="F68" s="122">
        <f>ROUND(+平成21年度!F66/平成21年度!E66,4)</f>
        <v>1.0185999999999999</v>
      </c>
      <c r="G68" s="122">
        <f>ROUND(+平成21年度!G66/平成21年度!F66,4)</f>
        <v>1.0221</v>
      </c>
      <c r="W68" s="117"/>
      <c r="X68" s="134" t="s">
        <v>50</v>
      </c>
      <c r="Y68" s="150">
        <f>平成21年度!C18</f>
        <v>42503</v>
      </c>
      <c r="Z68" s="151">
        <f>平成21年度!H18</f>
        <v>74701</v>
      </c>
      <c r="AA68" s="151">
        <f>平成21年度!Z68-平成21年度!AB68-平成21年度!AC68</f>
        <v>43529</v>
      </c>
      <c r="AB68" s="151">
        <f>平成21年度!K18</f>
        <v>26594</v>
      </c>
      <c r="AC68" s="152">
        <f>平成21年度!AD67+平成21年度!AD68</f>
        <v>4578</v>
      </c>
      <c r="AD68" s="153">
        <f>平成21年度!N18</f>
        <v>1387</v>
      </c>
      <c r="AE68" s="151">
        <f>平成21年度!R18</f>
        <v>126984</v>
      </c>
      <c r="AF68" s="150">
        <f>平成21年度!S18</f>
        <v>314235</v>
      </c>
      <c r="AG68" s="154">
        <f>平成21年度!Y68/+平成21年度!AE68</f>
        <v>0.33471145971145971</v>
      </c>
      <c r="AH68" s="155">
        <f>平成21年度!Z68/+平成21年度!AF68</f>
        <v>0.23772335990580298</v>
      </c>
      <c r="AI68" s="156">
        <f>平成21年度!AC68/+平成21年度!Z68</f>
        <v>6.1284320156356674E-2</v>
      </c>
    </row>
    <row r="69" spans="1:35" ht="20.149999999999999" customHeight="1" x14ac:dyDescent="0.2">
      <c r="W69" s="117"/>
      <c r="X69" s="142"/>
      <c r="Y69" s="143"/>
      <c r="Z69" s="144"/>
      <c r="AA69" s="144" t="s">
        <v>275</v>
      </c>
      <c r="AB69" s="144"/>
      <c r="AC69" s="157"/>
      <c r="AD69" s="146">
        <f>平成21年度!M19</f>
        <v>3145</v>
      </c>
      <c r="AE69" s="144"/>
      <c r="AF69" s="143"/>
      <c r="AG69" s="158" t="s">
        <v>275</v>
      </c>
      <c r="AH69" s="147" t="s">
        <v>275</v>
      </c>
      <c r="AI69" s="159" t="s">
        <v>275</v>
      </c>
    </row>
    <row r="70" spans="1:35" ht="20.149999999999999" customHeight="1" x14ac:dyDescent="0.2">
      <c r="D70" s="1" t="e">
        <f>平成21年度!C67*平成21年度!D64</f>
        <v>#VALUE!</v>
      </c>
      <c r="E70" s="1" t="e">
        <f>平成21年度!D67*平成21年度!E64</f>
        <v>#VALUE!</v>
      </c>
      <c r="F70" s="1" t="e">
        <f>平成21年度!E67*平成21年度!F64</f>
        <v>#VALUE!</v>
      </c>
      <c r="G70" s="1" t="e">
        <f>平成21年度!F67*平成21年度!G64</f>
        <v>#VALUE!</v>
      </c>
      <c r="H70" s="162" t="e">
        <f>IF(+平成21年度!G67*平成21年度!H64&gt;0,ROUNDDOWN(+平成21年度!G67*平成21年度!H64,-2),ROUNDUP(+平成21年度!G67*平成21年度!H64,-2))</f>
        <v>#VALUE!</v>
      </c>
      <c r="W70" s="117"/>
      <c r="X70" s="134" t="s">
        <v>51</v>
      </c>
      <c r="Y70" s="150">
        <f>平成21年度!C19</f>
        <v>42401</v>
      </c>
      <c r="Z70" s="151">
        <f>平成21年度!H19</f>
        <v>74510</v>
      </c>
      <c r="AA70" s="151">
        <f>平成21年度!Z70-平成21年度!AB70-平成21年度!AC70</f>
        <v>43463</v>
      </c>
      <c r="AB70" s="151">
        <f>平成21年度!K19</f>
        <v>26530</v>
      </c>
      <c r="AC70" s="152">
        <f>平成21年度!AD69+平成21年度!AD70</f>
        <v>4517</v>
      </c>
      <c r="AD70" s="153">
        <f>平成21年度!N19</f>
        <v>1372</v>
      </c>
      <c r="AE70" s="151">
        <f>平成21年度!R19</f>
        <v>127082</v>
      </c>
      <c r="AF70" s="150">
        <f>平成21年度!S19</f>
        <v>313890</v>
      </c>
      <c r="AG70" s="154">
        <f>平成21年度!Y70/+平成21年度!AE70</f>
        <v>0.33365071371240618</v>
      </c>
      <c r="AH70" s="155">
        <f>平成21年度!Z70/+平成21年度!AF70</f>
        <v>0.23737615088088185</v>
      </c>
      <c r="AI70" s="156">
        <f>平成21年度!AC70/+平成21年度!Z70</f>
        <v>6.0622735203328414E-2</v>
      </c>
    </row>
    <row r="71" spans="1:35" ht="20.149999999999999" customHeight="1" x14ac:dyDescent="0.2">
      <c r="W71" s="117"/>
      <c r="X71" s="142" t="s">
        <v>69</v>
      </c>
      <c r="Y71" s="143" t="s">
        <v>69</v>
      </c>
      <c r="Z71" s="144" t="s">
        <v>69</v>
      </c>
      <c r="AA71" s="144" t="s">
        <v>69</v>
      </c>
      <c r="AB71" s="144" t="s">
        <v>69</v>
      </c>
      <c r="AC71" s="157" t="s">
        <v>69</v>
      </c>
      <c r="AD71" s="146">
        <f>平成21年度!AD47+平成21年度!AD49+平成21年度!AD51+平成21年度!AD53+平成21年度!AD55+平成21年度!AD57+平成21年度!AD59+平成21年度!AD61+平成21年度!AD63+平成21年度!AD65+平成21年度!AD67+平成21年度!AD69</f>
        <v>38238</v>
      </c>
      <c r="AE71" s="144" t="s">
        <v>69</v>
      </c>
      <c r="AF71" s="143" t="s">
        <v>69</v>
      </c>
      <c r="AG71" s="158" t="s">
        <v>275</v>
      </c>
      <c r="AH71" s="147" t="s">
        <v>275</v>
      </c>
      <c r="AI71" s="159" t="s">
        <v>275</v>
      </c>
    </row>
    <row r="72" spans="1:35" ht="20.149999999999999" customHeight="1" x14ac:dyDescent="0.2">
      <c r="W72" s="117"/>
      <c r="X72" s="134" t="s">
        <v>52</v>
      </c>
      <c r="Y72" s="150">
        <f>SUM(平成21年度!Y48:Y70)</f>
        <v>516376</v>
      </c>
      <c r="Z72" s="151">
        <f>SUM(平成21年度!Z48:Z70)</f>
        <v>910122</v>
      </c>
      <c r="AA72" s="151">
        <f>SUM(平成21年度!AA48:AA70)</f>
        <v>535462</v>
      </c>
      <c r="AB72" s="151">
        <f>SUM(平成21年度!AB48:AB70)</f>
        <v>318875</v>
      </c>
      <c r="AC72" s="152">
        <f>SUM(平成21年度!AC48:AC70)</f>
        <v>55785</v>
      </c>
      <c r="AD72" s="153">
        <f>平成21年度!AD48+平成21年度!AD50+平成21年度!AD52+平成21年度!AD54+平成21年度!AD56+平成21年度!AD58+平成21年度!AD60+平成21年度!AD62+平成21年度!AD64+平成21年度!AD66+平成21年度!AD68+平成21年度!AD70</f>
        <v>17547</v>
      </c>
      <c r="AE72" s="150">
        <f>SUM(平成21年度!AE48:AE70)</f>
        <v>1523361</v>
      </c>
      <c r="AF72" s="151">
        <f>SUM(平成21年度!AF48:AF70)</f>
        <v>3773547</v>
      </c>
      <c r="AG72" s="154">
        <f>平成21年度!Y72/+平成21年度!AE72</f>
        <v>0.33897152414956139</v>
      </c>
      <c r="AH72" s="155">
        <f>平成21年度!Z72/+平成21年度!AF72</f>
        <v>0.24118475270084089</v>
      </c>
      <c r="AI72" s="156">
        <f>平成21年度!AC72/+平成21年度!Z72</f>
        <v>6.1293980367467221E-2</v>
      </c>
    </row>
    <row r="73" spans="1:35" ht="20.149999999999999" customHeight="1" x14ac:dyDescent="0.2">
      <c r="W73" s="117"/>
      <c r="X73" s="142" t="s">
        <v>69</v>
      </c>
      <c r="Y73" s="143" t="s">
        <v>69</v>
      </c>
      <c r="Z73" s="144" t="s">
        <v>69</v>
      </c>
      <c r="AA73" s="144" t="e">
        <f>平成21年度!AA74+平成21年度!AB74</f>
        <v>#VALUE!</v>
      </c>
      <c r="AB73" s="144" t="s">
        <v>69</v>
      </c>
      <c r="AC73" s="157" t="s">
        <v>69</v>
      </c>
      <c r="AD73" s="146" t="e">
        <f>#VALUE!</f>
        <v>#VALUE!</v>
      </c>
      <c r="AE73" s="144" t="s">
        <v>69</v>
      </c>
      <c r="AF73" s="143" t="s">
        <v>69</v>
      </c>
      <c r="AG73" s="158" t="s">
        <v>275</v>
      </c>
      <c r="AH73" s="147" t="s">
        <v>275</v>
      </c>
      <c r="AI73" s="159" t="s">
        <v>275</v>
      </c>
    </row>
    <row r="74" spans="1:35" ht="20.149999999999999" customHeight="1" x14ac:dyDescent="0.2">
      <c r="C74" s="1" t="s">
        <v>477</v>
      </c>
      <c r="D74" s="1" t="s">
        <v>478</v>
      </c>
      <c r="E74" s="1" t="s">
        <v>479</v>
      </c>
      <c r="F74" s="1" t="s">
        <v>480</v>
      </c>
      <c r="G74" s="1" t="s">
        <v>682</v>
      </c>
      <c r="H74" s="1" t="s">
        <v>907</v>
      </c>
      <c r="I74" s="1" t="s">
        <v>1158</v>
      </c>
      <c r="W74" s="117"/>
      <c r="X74" s="164" t="s">
        <v>53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平成21年度!Y74/+平成21年度!AE74</f>
        <v>#VALUE!</v>
      </c>
      <c r="AH74" s="170" t="e">
        <f>平成21年度!Z74/+平成21年度!AF74</f>
        <v>#VALUE!</v>
      </c>
      <c r="AI74" s="171" t="e">
        <f>平成21年度!AC74/+平成21年度!Z74</f>
        <v>#VALUE!</v>
      </c>
    </row>
    <row r="75" spans="1:35" ht="20.149999999999999" customHeight="1" x14ac:dyDescent="0.2">
      <c r="A75" s="1" t="s">
        <v>1336</v>
      </c>
      <c r="B75" s="1">
        <v>1</v>
      </c>
      <c r="C75" s="1">
        <f>平成９年度!H19</f>
        <v>78843</v>
      </c>
      <c r="D75" s="1">
        <f>平成10年度!H19</f>
        <v>81903</v>
      </c>
      <c r="E75" s="1">
        <f>平成11年度!H19</f>
        <v>85006</v>
      </c>
      <c r="F75" s="1">
        <f>平成12年度!H19</f>
        <v>87854</v>
      </c>
      <c r="G75" s="1">
        <f>平成13年度!H19</f>
        <v>91363</v>
      </c>
      <c r="H75" s="1">
        <f>平成14年度!H19</f>
        <v>94728</v>
      </c>
      <c r="W75" s="172" t="s">
        <v>1337</v>
      </c>
      <c r="X75" s="127" t="s">
        <v>69</v>
      </c>
      <c r="Y75" s="173"/>
      <c r="Z75" s="174"/>
      <c r="AA75" s="174"/>
      <c r="AB75" s="174"/>
      <c r="AC75" s="175"/>
      <c r="AD75" s="176">
        <f>平成21年度!M2+平成21年度!AD47+平成21年度!AD49+平成21年度!AD51+平成21年度!AD53+平成21年度!AD55+平成21年度!AD57+平成21年度!AD59+平成21年度!AD61+平成21年度!AD63</f>
        <v>37328</v>
      </c>
      <c r="AE75" s="174"/>
      <c r="AF75" s="173"/>
      <c r="AG75" s="177"/>
      <c r="AH75" s="178"/>
      <c r="AI75" s="179"/>
    </row>
    <row r="76" spans="1:35" ht="20.149999999999999" customHeight="1" x14ac:dyDescent="0.2">
      <c r="A76" s="1" t="s">
        <v>1339</v>
      </c>
      <c r="B76" s="1">
        <v>2</v>
      </c>
      <c r="C76" s="1">
        <f>平成21年度!C75+平成21年度!C77</f>
        <v>478663</v>
      </c>
      <c r="D76" s="1">
        <f>平成21年度!D75+平成21年度!D77</f>
        <v>497118</v>
      </c>
      <c r="E76" s="1">
        <f>平成21年度!E75+平成21年度!E77</f>
        <v>515553</v>
      </c>
      <c r="F76" s="1">
        <f>平成21年度!F75+平成21年度!F77</f>
        <v>534452</v>
      </c>
      <c r="G76" s="1">
        <f>平成21年度!G75+平成21年度!G77</f>
        <v>555972</v>
      </c>
      <c r="H76" s="1">
        <f>平成21年度!H75+平成21年度!H77</f>
        <v>478212</v>
      </c>
      <c r="W76" s="180" t="s">
        <v>593</v>
      </c>
      <c r="X76" s="134" t="s">
        <v>52</v>
      </c>
      <c r="Y76" s="181">
        <f>平成21年度!C2+SUM(平成21年度!Y48:Y64)</f>
        <v>517636</v>
      </c>
      <c r="Z76" s="182">
        <f>平成21年度!H2+SUM(平成21年度!Z48:Z64)</f>
        <v>914879</v>
      </c>
      <c r="AA76" s="182">
        <f>平成21年度!J2+SUM(平成21年度!AA48:AA64)</f>
        <v>542120</v>
      </c>
      <c r="AB76" s="182">
        <f>平成21年度!K2+SUM(平成21年度!AB48:AB64)</f>
        <v>317654</v>
      </c>
      <c r="AC76" s="183">
        <f>平成21年度!L2+SUM(平成21年度!AC48:AC64)</f>
        <v>55105</v>
      </c>
      <c r="AD76" s="184">
        <f>平成21年度!N2+平成21年度!AD48+平成21年度!AD50+平成21年度!AD52+平成21年度!AD54+平成21年度!AD56+平成21年度!AD58+平成21年度!AD60+平成21年度!AD62+平成21年度!AD64</f>
        <v>17777</v>
      </c>
      <c r="AE76" s="181">
        <f>平成21年度!R2+SUM(平成21年度!AE48:AE64)</f>
        <v>1521140</v>
      </c>
      <c r="AF76" s="182">
        <f>平成21年度!S2+SUM(平成21年度!AF48:AF64)</f>
        <v>3774771</v>
      </c>
      <c r="AG76" s="185">
        <f>平成21年度!Y76/+平成21年度!AE76</f>
        <v>0.34029477891581317</v>
      </c>
      <c r="AH76" s="186">
        <f>平成21年度!Z76/+平成21年度!AF76</f>
        <v>0.24236675549324713</v>
      </c>
      <c r="AI76" s="187">
        <f>平成21年度!AC76/+平成21年度!Z76</f>
        <v>6.0232008823024687E-2</v>
      </c>
    </row>
    <row r="77" spans="1:35" ht="20.149999999999999" customHeight="1" x14ac:dyDescent="0.2">
      <c r="A77" s="1" t="s">
        <v>1342</v>
      </c>
      <c r="B77" s="1">
        <v>3</v>
      </c>
      <c r="C77" s="1">
        <f>平成10年度!H27</f>
        <v>399820</v>
      </c>
      <c r="D77" s="1">
        <f>平成11年度!H27</f>
        <v>415215</v>
      </c>
      <c r="E77" s="1">
        <f>平成12年度!H27</f>
        <v>430547</v>
      </c>
      <c r="F77" s="1">
        <f>平成13年度!H27</f>
        <v>446598</v>
      </c>
      <c r="G77" s="1">
        <f>平成14年度!H27</f>
        <v>464609</v>
      </c>
      <c r="H77" s="1">
        <f>平成21年度!H27</f>
        <v>383484</v>
      </c>
      <c r="W77" s="188" t="s">
        <v>1343</v>
      </c>
      <c r="X77" s="142" t="s">
        <v>69</v>
      </c>
      <c r="Y77" s="189"/>
      <c r="Z77" s="190"/>
      <c r="AA77" s="190" t="e">
        <f>平成21年度!AA78+平成21年度!AB78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</row>
    <row r="78" spans="1:35" ht="20.149999999999999" customHeight="1" x14ac:dyDescent="0.2">
      <c r="A78" s="1" t="s">
        <v>486</v>
      </c>
      <c r="B78" s="1">
        <v>4</v>
      </c>
      <c r="C78" s="1">
        <f>平成10年度!H20</f>
        <v>969433</v>
      </c>
      <c r="D78" s="1">
        <f>平成11年度!H20</f>
        <v>1006175</v>
      </c>
      <c r="E78" s="1">
        <f>平成12年度!H20</f>
        <v>1041789</v>
      </c>
      <c r="F78" s="1">
        <f>平成13年度!H20</f>
        <v>1082473</v>
      </c>
      <c r="G78" s="1">
        <f>平成14年度!H20</f>
        <v>1124972</v>
      </c>
      <c r="H78" s="1">
        <f>平成21年度!H20</f>
        <v>910122</v>
      </c>
      <c r="W78" s="196"/>
      <c r="X78" s="164" t="s">
        <v>53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平成21年度!Y78/+平成21年度!AE78</f>
        <v>#VALUE!</v>
      </c>
      <c r="AH78" s="202" t="e">
        <f>平成21年度!Z78/+平成21年度!AF78</f>
        <v>#VALUE!</v>
      </c>
      <c r="AI78" s="203" t="e">
        <f>平成21年度!AC78/+平成21年度!Z78</f>
        <v>#VALUE!</v>
      </c>
    </row>
    <row r="79" spans="1:35" ht="20.149999999999999" customHeight="1" x14ac:dyDescent="0.2">
      <c r="C79" s="1" t="e">
        <f>平成10年度!H21</f>
        <v>#VALUE!</v>
      </c>
      <c r="D79" s="1">
        <f>平成11年度!H21</f>
        <v>83847.916666666672</v>
      </c>
      <c r="E79" s="1" t="e">
        <f>平成12年度!H21</f>
        <v>#VALUE!</v>
      </c>
      <c r="F79" s="1" t="e">
        <f>平成13年度!H21</f>
        <v>#VALUE!</v>
      </c>
      <c r="G79" s="1" t="e">
        <f>平成14年度!H21</f>
        <v>#VALUE!</v>
      </c>
      <c r="H79" s="1" t="e">
        <f>平成21年度!H21</f>
        <v>#VALUE!</v>
      </c>
    </row>
    <row r="80" spans="1:35" ht="20.149999999999999" customHeight="1" x14ac:dyDescent="0.2">
      <c r="A80" s="1" t="s">
        <v>1347</v>
      </c>
      <c r="C80" s="204">
        <f>ROUND(+平成21年度!C78/平成21年度!C76,8)</f>
        <v>2.02529337</v>
      </c>
      <c r="D80" s="204">
        <f>ROUND(+平成21年度!D78/平成21年度!D76,8)</f>
        <v>2.0240164300000001</v>
      </c>
      <c r="E80" s="204">
        <f>ROUND(+平成21年度!E78/平成21年度!E76,8)</f>
        <v>2.02072144</v>
      </c>
      <c r="F80" s="204">
        <f>ROUND(+平成21年度!F78/平成21年度!F76,8)</f>
        <v>2.0253886200000002</v>
      </c>
      <c r="G80" s="204">
        <f>ROUND(+平成21年度!G78/平成21年度!G76,8)</f>
        <v>2.02343283</v>
      </c>
    </row>
    <row r="81" spans="1:8" ht="20.149999999999999" customHeight="1" x14ac:dyDescent="0.2">
      <c r="A81" s="1" t="s">
        <v>1348</v>
      </c>
      <c r="C81" s="204">
        <f>ROUND(+平成21年度!C78/平成21年度!C77,8)</f>
        <v>2.4246736000000002</v>
      </c>
      <c r="D81" s="204">
        <f>ROUND(+平成21年度!D78/平成21年度!D77,8)</f>
        <v>2.4232626499999999</v>
      </c>
      <c r="E81" s="204">
        <f>ROUND(+平成21年度!E78/平成21年度!E77,8)</f>
        <v>2.4196870499999998</v>
      </c>
      <c r="F81" s="204">
        <f>ROUND(+平成21年度!F78/平成21年度!F77,8)</f>
        <v>2.4238196300000001</v>
      </c>
      <c r="G81" s="204">
        <f>ROUND(+平成21年度!G78/平成21年度!G77,8)</f>
        <v>2.42133062</v>
      </c>
    </row>
    <row r="82" spans="1:8" ht="20.149999999999999" customHeight="1" x14ac:dyDescent="0.2">
      <c r="A82" s="1" t="s">
        <v>1349</v>
      </c>
      <c r="D82" s="204">
        <f>ROUND(+平成21年度!D78/平成21年度!C78,8)</f>
        <v>1.0379004999999999</v>
      </c>
      <c r="E82" s="204">
        <f>ROUND(+平成21年度!E78/平成21年度!D78,8)</f>
        <v>1.0353954299999999</v>
      </c>
      <c r="F82" s="204">
        <f>ROUND(+平成21年度!F78/平成21年度!E78,8)</f>
        <v>1.03905205</v>
      </c>
      <c r="G82" s="204">
        <f>ROUND(+平成21年度!G78/平成21年度!F78,8)</f>
        <v>1.03926103</v>
      </c>
      <c r="H82" s="204" t="s">
        <v>275</v>
      </c>
    </row>
    <row r="83" spans="1:8" ht="20.149999999999999" customHeight="1" x14ac:dyDescent="0.2">
      <c r="A83" s="1" t="s">
        <v>1351</v>
      </c>
      <c r="E83" s="1">
        <f>(+平成21年度!C81+平成21年度!D81)/2*平成21年度!E77/12</f>
        <v>86969.35035953125</v>
      </c>
      <c r="F83" s="1">
        <f>(+平成21年度!D81+平成21年度!E81)/2*平成21年度!F77/12</f>
        <v>90118.818755025</v>
      </c>
      <c r="G83" s="1">
        <f>(+平成21年度!E81+平成21年度!F81)/2*平成21年度!G77/12</f>
        <v>93764.033128671654</v>
      </c>
      <c r="H83" s="1">
        <f>(+平成21年度!F81+平成21年度!G81)/2*平成21年度!H77/12</f>
        <v>77418.233269624994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1" t="e">
        <f>(+平成21年度!D82+平成21年度!E82)/2*平成21年度!E79</f>
        <v>#VALUE!</v>
      </c>
      <c r="G86" s="1" t="e">
        <f>(+平成21年度!E82+平成21年度!F82)/2*平成21年度!F79</f>
        <v>#VALUE!</v>
      </c>
      <c r="H86" s="1" t="e">
        <f>(+平成21年度!F82+平成21年度!G82)/2*平成21年度!G79</f>
        <v>#VALUE!</v>
      </c>
    </row>
  </sheetData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R86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N36" sqref="N36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4" ht="20.149999999999999" customHeight="1" x14ac:dyDescent="0.2">
      <c r="B1" s="478" t="s">
        <v>2818</v>
      </c>
      <c r="AJ1" s="478" t="s">
        <v>1032</v>
      </c>
    </row>
    <row r="2" spans="1:44" ht="20.149999999999999" customHeight="1" x14ac:dyDescent="0.2">
      <c r="A2" s="479" t="s">
        <v>815</v>
      </c>
      <c r="C2" s="480">
        <v>127552</v>
      </c>
      <c r="D2" s="480">
        <v>120727</v>
      </c>
      <c r="E2" s="480">
        <v>117951</v>
      </c>
      <c r="F2" s="480">
        <v>2776</v>
      </c>
      <c r="G2" s="480">
        <v>6825</v>
      </c>
      <c r="H2" s="480">
        <v>224145</v>
      </c>
      <c r="I2" s="480">
        <v>210442</v>
      </c>
      <c r="J2" s="480">
        <v>130713</v>
      </c>
      <c r="K2" s="480">
        <v>79729</v>
      </c>
      <c r="L2" s="480">
        <v>13703</v>
      </c>
      <c r="M2" s="480">
        <v>9555</v>
      </c>
      <c r="N2" s="480">
        <v>4148</v>
      </c>
      <c r="O2" s="480">
        <v>77558</v>
      </c>
      <c r="P2" s="480">
        <v>64518</v>
      </c>
      <c r="Q2" s="480">
        <v>13040</v>
      </c>
      <c r="R2" s="480">
        <v>381077</v>
      </c>
      <c r="S2" s="480">
        <v>942499</v>
      </c>
    </row>
    <row r="3" spans="1:44" ht="20.149999999999999" customHeight="1" x14ac:dyDescent="0.2">
      <c r="A3" s="479" t="s">
        <v>816</v>
      </c>
      <c r="B3" s="477"/>
      <c r="C3" s="477" t="s">
        <v>2819</v>
      </c>
      <c r="D3" s="477"/>
      <c r="E3" s="477" t="s">
        <v>1357</v>
      </c>
      <c r="F3" s="477"/>
      <c r="AJ3" s="481"/>
      <c r="AK3" s="482" t="s">
        <v>1038</v>
      </c>
      <c r="AL3" s="483" t="s">
        <v>1039</v>
      </c>
      <c r="AM3" s="484" t="s">
        <v>1040</v>
      </c>
      <c r="AN3" s="484" t="s">
        <v>1041</v>
      </c>
      <c r="AO3" s="484" t="s">
        <v>1042</v>
      </c>
      <c r="AP3" s="485" t="s">
        <v>1043</v>
      </c>
      <c r="AQ3" s="478" t="s">
        <v>1044</v>
      </c>
      <c r="AR3" s="478" t="s">
        <v>1045</v>
      </c>
    </row>
    <row r="4" spans="1:44" ht="20.149999999999999" customHeight="1" x14ac:dyDescent="0.2">
      <c r="A4" s="479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494" t="s">
        <v>1055</v>
      </c>
      <c r="AK4" s="495">
        <v>77914.666666666672</v>
      </c>
      <c r="AL4" s="496">
        <v>39236.083333333336</v>
      </c>
      <c r="AM4" s="497">
        <v>291125.58333333331</v>
      </c>
      <c r="AN4" s="497">
        <v>102724.75</v>
      </c>
      <c r="AO4" s="498">
        <v>0.2676</v>
      </c>
      <c r="AP4" s="499">
        <v>0.38200000000000001</v>
      </c>
    </row>
    <row r="5" spans="1:44" ht="20.149999999999999" customHeight="1" x14ac:dyDescent="0.2">
      <c r="A5" s="479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3" t="s">
        <v>18</v>
      </c>
      <c r="K5" s="505" t="s">
        <v>2817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509" t="s">
        <v>1074</v>
      </c>
      <c r="AK5" s="510">
        <v>80786.083333333328</v>
      </c>
      <c r="AL5" s="511">
        <v>40927.916666666664</v>
      </c>
      <c r="AM5" s="512">
        <v>292298.58333333331</v>
      </c>
      <c r="AN5" s="512">
        <v>104263.83333333333</v>
      </c>
      <c r="AO5" s="513">
        <v>0.27639999999999998</v>
      </c>
      <c r="AP5" s="514">
        <v>0.39250000000000002</v>
      </c>
      <c r="AQ5" s="515">
        <v>8.8000000000000005E-3</v>
      </c>
      <c r="AR5" s="515">
        <v>1.0500000000000001E-2</v>
      </c>
    </row>
    <row r="6" spans="1:44" ht="20.149999999999999" customHeight="1" thickTop="1" x14ac:dyDescent="0.2">
      <c r="A6" s="479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509" t="s">
        <v>1088</v>
      </c>
      <c r="AK6" s="510">
        <v>83847.916666666672</v>
      </c>
      <c r="AL6" s="511">
        <v>42852.25</v>
      </c>
      <c r="AM6" s="512">
        <v>292958.75</v>
      </c>
      <c r="AN6" s="512">
        <v>105725.41666666667</v>
      </c>
      <c r="AO6" s="513">
        <v>0.28620000000000001</v>
      </c>
      <c r="AP6" s="514">
        <v>0.40529999999999999</v>
      </c>
      <c r="AQ6" s="515">
        <v>9.7999999999999997E-3</v>
      </c>
      <c r="AR6" s="515">
        <v>1.2800000000000001E-2</v>
      </c>
    </row>
    <row r="7" spans="1:44" ht="20.149999999999999" customHeight="1" x14ac:dyDescent="0.2">
      <c r="A7" s="479"/>
      <c r="B7" s="524" t="s">
        <v>51</v>
      </c>
      <c r="C7" s="525">
        <v>42401</v>
      </c>
      <c r="D7" s="526">
        <v>40109</v>
      </c>
      <c r="E7" s="526">
        <v>39175</v>
      </c>
      <c r="F7" s="527">
        <v>934</v>
      </c>
      <c r="G7" s="528">
        <v>2292</v>
      </c>
      <c r="H7" s="529">
        <v>74510</v>
      </c>
      <c r="I7" s="760">
        <v>69993</v>
      </c>
      <c r="J7" s="759">
        <v>43463</v>
      </c>
      <c r="K7" s="530">
        <v>26530</v>
      </c>
      <c r="L7" s="526">
        <v>4517</v>
      </c>
      <c r="M7" s="527">
        <v>3145</v>
      </c>
      <c r="N7" s="528">
        <v>1372</v>
      </c>
      <c r="O7" s="525">
        <v>25779</v>
      </c>
      <c r="P7" s="526">
        <v>21483</v>
      </c>
      <c r="Q7" s="531">
        <v>4296</v>
      </c>
      <c r="R7" s="532">
        <v>127082</v>
      </c>
      <c r="S7" s="527">
        <v>313890</v>
      </c>
      <c r="T7" s="533">
        <v>0.33365071371240618</v>
      </c>
      <c r="U7" s="534">
        <v>0.23737615088088185</v>
      </c>
      <c r="V7" s="535">
        <v>6.0622735203328414E-2</v>
      </c>
      <c r="AJ7" s="509" t="s">
        <v>1074</v>
      </c>
      <c r="AK7" s="510">
        <v>81903</v>
      </c>
      <c r="AL7" s="511">
        <v>41659</v>
      </c>
      <c r="AM7" s="512">
        <v>291953</v>
      </c>
      <c r="AN7" s="512">
        <v>104651</v>
      </c>
      <c r="AO7" s="513">
        <v>0.28050000000000003</v>
      </c>
      <c r="AP7" s="514">
        <v>0.39810000000000001</v>
      </c>
      <c r="AQ7" s="515">
        <v>9.9000000000000008E-3</v>
      </c>
      <c r="AR7" s="515">
        <v>1.26E-2</v>
      </c>
    </row>
    <row r="8" spans="1:44" ht="20.149999999999999" customHeight="1" x14ac:dyDescent="0.2">
      <c r="A8" s="479" t="s">
        <v>860</v>
      </c>
      <c r="B8" s="536" t="s">
        <v>40</v>
      </c>
      <c r="C8" s="739">
        <v>43005</v>
      </c>
      <c r="D8" s="526">
        <v>40701</v>
      </c>
      <c r="E8" s="526">
        <v>39782</v>
      </c>
      <c r="F8" s="740">
        <v>919</v>
      </c>
      <c r="G8" s="741">
        <v>2304</v>
      </c>
      <c r="H8" s="529">
        <v>75443</v>
      </c>
      <c r="I8" s="760">
        <v>70589</v>
      </c>
      <c r="J8" s="759">
        <v>43851</v>
      </c>
      <c r="K8" s="742">
        <v>26738</v>
      </c>
      <c r="L8" s="526">
        <v>4854</v>
      </c>
      <c r="M8" s="740">
        <v>3359</v>
      </c>
      <c r="N8" s="741">
        <v>1495</v>
      </c>
      <c r="O8" s="739">
        <v>26502</v>
      </c>
      <c r="P8" s="526">
        <v>22131</v>
      </c>
      <c r="Q8" s="743">
        <v>4371</v>
      </c>
      <c r="R8" s="744">
        <v>127440</v>
      </c>
      <c r="S8" s="745">
        <v>314148</v>
      </c>
      <c r="T8" s="534">
        <v>0.33745291902071561</v>
      </c>
      <c r="U8" s="534">
        <v>0.24015113895361423</v>
      </c>
      <c r="V8" s="535">
        <v>6.43399652717946E-2</v>
      </c>
      <c r="AJ8" s="509" t="s">
        <v>284</v>
      </c>
      <c r="AK8" s="510">
        <v>86815.75</v>
      </c>
      <c r="AL8" s="511">
        <v>44687.75</v>
      </c>
      <c r="AM8" s="512">
        <v>20993.666666666668</v>
      </c>
      <c r="AN8" s="512">
        <v>27409.75</v>
      </c>
      <c r="AO8" s="513">
        <v>4.1353</v>
      </c>
      <c r="AP8" s="514">
        <v>1.6304000000000001</v>
      </c>
      <c r="AQ8" s="515">
        <v>3.8491</v>
      </c>
      <c r="AR8" s="515">
        <v>1.2251000000000001</v>
      </c>
    </row>
    <row r="9" spans="1:44" ht="20.149999999999999" customHeight="1" x14ac:dyDescent="0.2">
      <c r="A9" s="479" t="s">
        <v>862</v>
      </c>
      <c r="B9" s="536" t="s">
        <v>41</v>
      </c>
      <c r="C9" s="739">
        <v>43017</v>
      </c>
      <c r="D9" s="526">
        <v>40689</v>
      </c>
      <c r="E9" s="526">
        <v>39762</v>
      </c>
      <c r="F9" s="740">
        <v>927</v>
      </c>
      <c r="G9" s="741">
        <v>2328</v>
      </c>
      <c r="H9" s="529">
        <v>75410</v>
      </c>
      <c r="I9" s="760">
        <v>70523</v>
      </c>
      <c r="J9" s="759">
        <v>43783</v>
      </c>
      <c r="K9" s="742">
        <v>26740</v>
      </c>
      <c r="L9" s="526">
        <v>4887</v>
      </c>
      <c r="M9" s="740">
        <v>3396</v>
      </c>
      <c r="N9" s="741">
        <v>1491</v>
      </c>
      <c r="O9" s="739">
        <v>26517</v>
      </c>
      <c r="P9" s="526">
        <v>21872</v>
      </c>
      <c r="Q9" s="743">
        <v>4645</v>
      </c>
      <c r="R9" s="746">
        <v>127541</v>
      </c>
      <c r="S9" s="747">
        <v>314210</v>
      </c>
      <c r="T9" s="534">
        <v>0.33727977669925752</v>
      </c>
      <c r="U9" s="534">
        <v>0.23999872696604183</v>
      </c>
      <c r="V9" s="535">
        <v>6.4805728683198519E-2</v>
      </c>
      <c r="AJ9" s="509" t="s">
        <v>607</v>
      </c>
      <c r="AK9" s="510">
        <v>90206.083333333328</v>
      </c>
      <c r="AL9" s="511">
        <v>46751.916666666664</v>
      </c>
      <c r="AM9" s="512">
        <v>21075.166666666668</v>
      </c>
      <c r="AN9" s="512">
        <v>27918.666666666668</v>
      </c>
      <c r="AO9" s="513">
        <v>4.2801999999999998</v>
      </c>
      <c r="AP9" s="514">
        <v>1.6746000000000001</v>
      </c>
      <c r="AQ9" s="515">
        <v>0.1449</v>
      </c>
      <c r="AR9" s="515">
        <v>4.4200000000000003E-2</v>
      </c>
    </row>
    <row r="10" spans="1:44" ht="20.149999999999999" customHeight="1" thickBot="1" x14ac:dyDescent="0.25">
      <c r="A10" s="479" t="s">
        <v>864</v>
      </c>
      <c r="B10" s="537" t="s">
        <v>42</v>
      </c>
      <c r="C10" s="739">
        <v>43019</v>
      </c>
      <c r="D10" s="526">
        <v>40689</v>
      </c>
      <c r="E10" s="526">
        <v>39773</v>
      </c>
      <c r="F10" s="740">
        <v>916</v>
      </c>
      <c r="G10" s="741">
        <v>2330</v>
      </c>
      <c r="H10" s="529">
        <v>75389</v>
      </c>
      <c r="I10" s="760">
        <v>70531</v>
      </c>
      <c r="J10" s="759">
        <v>43737</v>
      </c>
      <c r="K10" s="742">
        <v>26794</v>
      </c>
      <c r="L10" s="526">
        <v>4858</v>
      </c>
      <c r="M10" s="740">
        <v>3379</v>
      </c>
      <c r="N10" s="741">
        <v>1479</v>
      </c>
      <c r="O10" s="739">
        <v>26511</v>
      </c>
      <c r="P10" s="526">
        <v>21894</v>
      </c>
      <c r="Q10" s="743">
        <v>4617</v>
      </c>
      <c r="R10" s="748">
        <v>127669</v>
      </c>
      <c r="S10" s="740">
        <v>314352</v>
      </c>
      <c r="T10" s="534">
        <v>0.33695728798690361</v>
      </c>
      <c r="U10" s="534">
        <v>0.23982350995062859</v>
      </c>
      <c r="V10" s="535">
        <v>6.443910915385534E-2</v>
      </c>
      <c r="AJ10" s="538" t="s">
        <v>817</v>
      </c>
      <c r="AK10" s="539">
        <v>93747.666666666672</v>
      </c>
      <c r="AL10" s="540">
        <v>48834.416666666664</v>
      </c>
      <c r="AM10" s="541">
        <v>21390.083333333332</v>
      </c>
      <c r="AN10" s="541">
        <v>28534.416666666668</v>
      </c>
      <c r="AO10" s="542">
        <v>4.3827999999999996</v>
      </c>
      <c r="AP10" s="543">
        <v>1.7114</v>
      </c>
      <c r="AQ10" s="515">
        <v>0.1026</v>
      </c>
      <c r="AR10" s="515">
        <v>3.6799999999999999E-2</v>
      </c>
    </row>
    <row r="11" spans="1:44" ht="20.149999999999999" customHeight="1" thickTop="1" thickBot="1" x14ac:dyDescent="0.25">
      <c r="A11" s="479" t="s">
        <v>866</v>
      </c>
      <c r="B11" s="537" t="s">
        <v>43</v>
      </c>
      <c r="C11" s="739">
        <v>42995</v>
      </c>
      <c r="D11" s="526">
        <v>40653</v>
      </c>
      <c r="E11" s="526">
        <v>39737</v>
      </c>
      <c r="F11" s="740">
        <v>916</v>
      </c>
      <c r="G11" s="741">
        <v>2342</v>
      </c>
      <c r="H11" s="529">
        <v>75234</v>
      </c>
      <c r="I11" s="760">
        <v>70378</v>
      </c>
      <c r="J11" s="759">
        <v>43615</v>
      </c>
      <c r="K11" s="742">
        <v>26763</v>
      </c>
      <c r="L11" s="526">
        <v>4856</v>
      </c>
      <c r="M11" s="740">
        <v>3380</v>
      </c>
      <c r="N11" s="741">
        <v>1476</v>
      </c>
      <c r="O11" s="739">
        <v>26545</v>
      </c>
      <c r="P11" s="526">
        <v>21926</v>
      </c>
      <c r="Q11" s="743">
        <v>4619</v>
      </c>
      <c r="R11" s="748">
        <v>127729</v>
      </c>
      <c r="S11" s="740">
        <v>314396</v>
      </c>
      <c r="T11" s="534">
        <v>0.33661110632667601</v>
      </c>
      <c r="U11" s="534">
        <v>0.23929693762007151</v>
      </c>
      <c r="V11" s="535">
        <v>6.454528537629263E-2</v>
      </c>
      <c r="AJ11" s="544" t="s">
        <v>907</v>
      </c>
      <c r="AK11" s="545">
        <v>74672.333333333328</v>
      </c>
      <c r="AL11" s="546">
        <v>42740.416666666664</v>
      </c>
      <c r="AM11" s="547">
        <v>314340.33333333331</v>
      </c>
      <c r="AN11" s="547">
        <v>127828.08333333333</v>
      </c>
      <c r="AO11" s="548">
        <v>0.23760000000000001</v>
      </c>
      <c r="AP11" s="549">
        <v>0.33439999999999998</v>
      </c>
      <c r="AQ11" s="515">
        <v>-4.1452</v>
      </c>
      <c r="AR11" s="515">
        <v>-1.377</v>
      </c>
    </row>
    <row r="12" spans="1:44" ht="20.149999999999999" customHeight="1" thickTop="1" thickBot="1" x14ac:dyDescent="0.25">
      <c r="A12" s="479" t="s">
        <v>868</v>
      </c>
      <c r="B12" s="537" t="s">
        <v>44</v>
      </c>
      <c r="C12" s="739">
        <v>42901</v>
      </c>
      <c r="D12" s="526">
        <v>40494</v>
      </c>
      <c r="E12" s="526">
        <v>39544</v>
      </c>
      <c r="F12" s="740">
        <v>950</v>
      </c>
      <c r="G12" s="741">
        <v>2407</v>
      </c>
      <c r="H12" s="529">
        <v>74969</v>
      </c>
      <c r="I12" s="760">
        <v>70040</v>
      </c>
      <c r="J12" s="759">
        <v>43351</v>
      </c>
      <c r="K12" s="742">
        <v>26689</v>
      </c>
      <c r="L12" s="526">
        <v>4929</v>
      </c>
      <c r="M12" s="740">
        <v>3474</v>
      </c>
      <c r="N12" s="741">
        <v>1455</v>
      </c>
      <c r="O12" s="739">
        <v>26497</v>
      </c>
      <c r="P12" s="526">
        <v>21796</v>
      </c>
      <c r="Q12" s="743">
        <v>4701</v>
      </c>
      <c r="R12" s="748">
        <v>127741</v>
      </c>
      <c r="S12" s="740">
        <v>314356</v>
      </c>
      <c r="T12" s="534">
        <v>0.33584362107702304</v>
      </c>
      <c r="U12" s="534">
        <v>0.23848439349018311</v>
      </c>
      <c r="V12" s="535">
        <v>6.5747175499206334E-2</v>
      </c>
      <c r="AJ12" s="478" t="s">
        <v>1103</v>
      </c>
    </row>
    <row r="13" spans="1:44" ht="20.149999999999999" customHeight="1" thickTop="1" thickBot="1" x14ac:dyDescent="0.25">
      <c r="A13" s="550" t="s">
        <v>275</v>
      </c>
      <c r="B13" s="536" t="s">
        <v>45</v>
      </c>
      <c r="C13" s="739">
        <v>42812</v>
      </c>
      <c r="D13" s="526">
        <v>40377</v>
      </c>
      <c r="E13" s="526">
        <v>39411</v>
      </c>
      <c r="F13" s="740">
        <v>966</v>
      </c>
      <c r="G13" s="741">
        <v>2435</v>
      </c>
      <c r="H13" s="529">
        <v>74759</v>
      </c>
      <c r="I13" s="760">
        <v>69762</v>
      </c>
      <c r="J13" s="759">
        <v>43147</v>
      </c>
      <c r="K13" s="742">
        <v>26615</v>
      </c>
      <c r="L13" s="526">
        <v>4997</v>
      </c>
      <c r="M13" s="740">
        <v>3510</v>
      </c>
      <c r="N13" s="741">
        <v>1487</v>
      </c>
      <c r="O13" s="739">
        <v>26481</v>
      </c>
      <c r="P13" s="526">
        <v>21808</v>
      </c>
      <c r="Q13" s="743">
        <v>4673</v>
      </c>
      <c r="R13" s="748">
        <v>127820</v>
      </c>
      <c r="S13" s="740">
        <v>314393</v>
      </c>
      <c r="T13" s="534">
        <v>0.33493975903614459</v>
      </c>
      <c r="U13" s="534">
        <v>0.2377883731508017</v>
      </c>
      <c r="V13" s="535">
        <v>6.6841450527695662E-2</v>
      </c>
      <c r="AJ13" s="544" t="s">
        <v>1106</v>
      </c>
      <c r="AK13" s="551">
        <v>1.2032094941474434</v>
      </c>
      <c r="AL13" s="552">
        <v>1.2446302616851408</v>
      </c>
      <c r="AM13" s="552">
        <v>7.3473732842098211E-2</v>
      </c>
      <c r="AN13" s="552">
        <v>0.2777754792945874</v>
      </c>
      <c r="AO13" s="553">
        <v>16.378176382660687</v>
      </c>
      <c r="AP13" s="549">
        <v>4.4801047120418849</v>
      </c>
    </row>
    <row r="14" spans="1:44" ht="20.149999999999999" customHeight="1" thickTop="1" x14ac:dyDescent="0.2">
      <c r="A14" s="550" t="s">
        <v>275</v>
      </c>
      <c r="B14" s="536" t="s">
        <v>46</v>
      </c>
      <c r="C14" s="739">
        <v>42771</v>
      </c>
      <c r="D14" s="526">
        <v>40319</v>
      </c>
      <c r="E14" s="526">
        <v>39356</v>
      </c>
      <c r="F14" s="740">
        <v>963</v>
      </c>
      <c r="G14" s="741">
        <v>2452</v>
      </c>
      <c r="H14" s="529">
        <v>74573</v>
      </c>
      <c r="I14" s="760">
        <v>69580</v>
      </c>
      <c r="J14" s="759">
        <v>43056</v>
      </c>
      <c r="K14" s="742">
        <v>26524</v>
      </c>
      <c r="L14" s="526">
        <v>4993</v>
      </c>
      <c r="M14" s="740">
        <v>3511</v>
      </c>
      <c r="N14" s="741">
        <v>1482</v>
      </c>
      <c r="O14" s="739">
        <v>26498</v>
      </c>
      <c r="P14" s="526">
        <v>21744</v>
      </c>
      <c r="Q14" s="743">
        <v>4754</v>
      </c>
      <c r="R14" s="748">
        <v>127928</v>
      </c>
      <c r="S14" s="740">
        <v>314416</v>
      </c>
      <c r="T14" s="534">
        <v>0.33433650178225249</v>
      </c>
      <c r="U14" s="534">
        <v>0.2371794056282123</v>
      </c>
      <c r="V14" s="535">
        <v>6.6954527778150266E-2</v>
      </c>
    </row>
    <row r="15" spans="1:44" ht="20.149999999999999" customHeight="1" x14ac:dyDescent="0.2">
      <c r="A15" s="550" t="s">
        <v>2813</v>
      </c>
      <c r="B15" s="537" t="s">
        <v>47</v>
      </c>
      <c r="C15" s="739">
        <v>42615</v>
      </c>
      <c r="D15" s="526">
        <v>40185</v>
      </c>
      <c r="E15" s="526">
        <v>39223</v>
      </c>
      <c r="F15" s="740">
        <v>962</v>
      </c>
      <c r="G15" s="741">
        <v>2430</v>
      </c>
      <c r="H15" s="529">
        <v>74327</v>
      </c>
      <c r="I15" s="760">
        <v>69399</v>
      </c>
      <c r="J15" s="759">
        <v>42988</v>
      </c>
      <c r="K15" s="742">
        <v>26411</v>
      </c>
      <c r="L15" s="526">
        <v>4928</v>
      </c>
      <c r="M15" s="740">
        <v>3474</v>
      </c>
      <c r="N15" s="741">
        <v>1454</v>
      </c>
      <c r="O15" s="739">
        <v>26456</v>
      </c>
      <c r="P15" s="526">
        <v>21757</v>
      </c>
      <c r="Q15" s="743">
        <v>4699</v>
      </c>
      <c r="R15" s="744">
        <v>127916</v>
      </c>
      <c r="S15" s="745">
        <v>314428</v>
      </c>
      <c r="T15" s="534">
        <v>0.33314831608242912</v>
      </c>
      <c r="U15" s="534">
        <v>0.23638798071418576</v>
      </c>
      <c r="V15" s="535">
        <v>6.6301613141926896E-2</v>
      </c>
      <c r="AJ15" s="478" t="s">
        <v>1111</v>
      </c>
    </row>
    <row r="16" spans="1:44" ht="20.149999999999999" customHeight="1" thickBot="1" x14ac:dyDescent="0.25">
      <c r="A16" s="477" t="s">
        <v>275</v>
      </c>
      <c r="B16" s="536" t="s">
        <v>48</v>
      </c>
      <c r="C16" s="739">
        <v>42579</v>
      </c>
      <c r="D16" s="526">
        <v>40182</v>
      </c>
      <c r="E16" s="526">
        <v>39211</v>
      </c>
      <c r="F16" s="740">
        <v>971</v>
      </c>
      <c r="G16" s="741">
        <v>2397</v>
      </c>
      <c r="H16" s="529">
        <v>74215</v>
      </c>
      <c r="I16" s="760">
        <v>69349</v>
      </c>
      <c r="J16" s="759">
        <v>42976</v>
      </c>
      <c r="K16" s="742">
        <v>26373</v>
      </c>
      <c r="L16" s="526">
        <v>4866</v>
      </c>
      <c r="M16" s="740">
        <v>3434</v>
      </c>
      <c r="N16" s="741">
        <v>1432</v>
      </c>
      <c r="O16" s="739">
        <v>26464</v>
      </c>
      <c r="P16" s="526">
        <v>21823</v>
      </c>
      <c r="Q16" s="743">
        <v>4641</v>
      </c>
      <c r="R16" s="744">
        <v>128003</v>
      </c>
      <c r="S16" s="749">
        <v>314525</v>
      </c>
      <c r="T16" s="554">
        <v>0.33264064123497106</v>
      </c>
      <c r="U16" s="534">
        <v>0.23595898577219618</v>
      </c>
      <c r="V16" s="535">
        <v>6.556626018998854E-2</v>
      </c>
    </row>
    <row r="17" spans="1:44" ht="20.149999999999999" customHeight="1" thickTop="1" thickBot="1" x14ac:dyDescent="0.25">
      <c r="B17" s="536" t="s">
        <v>49</v>
      </c>
      <c r="C17" s="739">
        <v>42491</v>
      </c>
      <c r="D17" s="526">
        <v>40052</v>
      </c>
      <c r="E17" s="526">
        <v>39075</v>
      </c>
      <c r="F17" s="740">
        <v>977</v>
      </c>
      <c r="G17" s="754">
        <v>2439</v>
      </c>
      <c r="H17" s="595">
        <v>74063</v>
      </c>
      <c r="I17" s="760">
        <v>68972</v>
      </c>
      <c r="J17" s="759">
        <v>42773</v>
      </c>
      <c r="K17" s="742">
        <v>26199</v>
      </c>
      <c r="L17" s="526">
        <v>5091</v>
      </c>
      <c r="M17" s="740">
        <v>3581</v>
      </c>
      <c r="N17" s="741">
        <v>1510</v>
      </c>
      <c r="O17" s="739">
        <v>26348</v>
      </c>
      <c r="P17" s="526">
        <v>21611</v>
      </c>
      <c r="Q17" s="743">
        <v>4737</v>
      </c>
      <c r="R17" s="750">
        <v>127958</v>
      </c>
      <c r="S17" s="751">
        <v>314378</v>
      </c>
      <c r="T17" s="533">
        <v>0.33206989793525998</v>
      </c>
      <c r="U17" s="534">
        <v>0.23558582343548212</v>
      </c>
      <c r="V17" s="535">
        <v>6.8738776447078834E-2</v>
      </c>
      <c r="AJ17" s="481"/>
      <c r="AK17" s="482" t="s">
        <v>1038</v>
      </c>
      <c r="AL17" s="483" t="s">
        <v>1039</v>
      </c>
      <c r="AM17" s="484" t="s">
        <v>1040</v>
      </c>
      <c r="AN17" s="484" t="s">
        <v>1041</v>
      </c>
      <c r="AO17" s="484" t="s">
        <v>1042</v>
      </c>
      <c r="AP17" s="485" t="s">
        <v>1043</v>
      </c>
      <c r="AQ17" s="478" t="s">
        <v>1044</v>
      </c>
      <c r="AR17" s="478" t="s">
        <v>1045</v>
      </c>
    </row>
    <row r="18" spans="1:44" ht="20.149999999999999" customHeight="1" thickTop="1" x14ac:dyDescent="0.2">
      <c r="B18" s="537" t="s">
        <v>50</v>
      </c>
      <c r="C18" s="739">
        <v>42311</v>
      </c>
      <c r="D18" s="526">
        <v>39911</v>
      </c>
      <c r="E18" s="526">
        <v>38948</v>
      </c>
      <c r="F18" s="740">
        <v>963</v>
      </c>
      <c r="G18" s="754">
        <v>2400</v>
      </c>
      <c r="H18" s="529">
        <v>73832</v>
      </c>
      <c r="I18" s="760">
        <v>68836</v>
      </c>
      <c r="J18" s="759">
        <v>42668</v>
      </c>
      <c r="K18" s="742">
        <v>26168</v>
      </c>
      <c r="L18" s="526">
        <v>4996</v>
      </c>
      <c r="M18" s="740">
        <v>3523</v>
      </c>
      <c r="N18" s="741">
        <v>1473</v>
      </c>
      <c r="O18" s="739">
        <v>26279</v>
      </c>
      <c r="P18" s="526">
        <v>21592</v>
      </c>
      <c r="Q18" s="743">
        <v>4687</v>
      </c>
      <c r="R18" s="752">
        <v>127939</v>
      </c>
      <c r="S18" s="753">
        <v>314320</v>
      </c>
      <c r="T18" s="533">
        <v>0.33071229257693119</v>
      </c>
      <c r="U18" s="534">
        <v>0.23489437515907355</v>
      </c>
      <c r="V18" s="535">
        <v>6.7667136201105219E-2</v>
      </c>
      <c r="AJ18" s="494" t="s">
        <v>1055</v>
      </c>
      <c r="AK18" s="555">
        <v>78843</v>
      </c>
      <c r="AL18" s="496">
        <v>39808</v>
      </c>
      <c r="AM18" s="497">
        <v>291366</v>
      </c>
      <c r="AN18" s="497">
        <v>103255</v>
      </c>
      <c r="AO18" s="498">
        <v>0.27060000000000001</v>
      </c>
      <c r="AP18" s="499">
        <v>0.38550000000000001</v>
      </c>
    </row>
    <row r="19" spans="1:44" ht="20.149999999999999" customHeight="1" x14ac:dyDescent="0.2">
      <c r="B19" s="537" t="s">
        <v>51</v>
      </c>
      <c r="C19" s="739">
        <v>42369</v>
      </c>
      <c r="D19" s="526">
        <v>39981</v>
      </c>
      <c r="E19" s="526">
        <v>39027</v>
      </c>
      <c r="F19" s="740">
        <v>954</v>
      </c>
      <c r="G19" s="754">
        <v>2388</v>
      </c>
      <c r="H19" s="529">
        <v>73854</v>
      </c>
      <c r="I19" s="760">
        <v>68903</v>
      </c>
      <c r="J19" s="759">
        <v>42776</v>
      </c>
      <c r="K19" s="742">
        <v>26127</v>
      </c>
      <c r="L19" s="526">
        <v>4951</v>
      </c>
      <c r="M19" s="740">
        <v>3500</v>
      </c>
      <c r="N19" s="741">
        <v>1451</v>
      </c>
      <c r="O19" s="739">
        <v>26313</v>
      </c>
      <c r="P19" s="526">
        <v>21666</v>
      </c>
      <c r="Q19" s="743">
        <v>4647</v>
      </c>
      <c r="R19" s="756">
        <v>128253</v>
      </c>
      <c r="S19" s="757">
        <v>314162</v>
      </c>
      <c r="T19" s="533">
        <v>0.33035484550069005</v>
      </c>
      <c r="U19" s="534">
        <v>0.23508253703503287</v>
      </c>
      <c r="V19" s="535">
        <v>6.7037668914344511E-2</v>
      </c>
      <c r="AJ19" s="509" t="s">
        <v>1074</v>
      </c>
      <c r="AK19" s="510">
        <v>81903</v>
      </c>
      <c r="AL19" s="511">
        <v>41659</v>
      </c>
      <c r="AM19" s="512">
        <v>291953</v>
      </c>
      <c r="AN19" s="512">
        <v>104651</v>
      </c>
      <c r="AO19" s="513">
        <v>0.28050000000000003</v>
      </c>
      <c r="AP19" s="514">
        <v>0.39810000000000001</v>
      </c>
      <c r="AQ19" s="515">
        <v>9.9000000000000008E-3</v>
      </c>
      <c r="AR19" s="515">
        <v>1.26E-2</v>
      </c>
    </row>
    <row r="20" spans="1:44" s="566" customFormat="1" ht="20.149999999999999" customHeight="1" x14ac:dyDescent="0.2">
      <c r="A20" s="556"/>
      <c r="B20" s="557" t="s">
        <v>52</v>
      </c>
      <c r="C20" s="558">
        <v>512885</v>
      </c>
      <c r="D20" s="559">
        <v>484233</v>
      </c>
      <c r="E20" s="559">
        <v>472849</v>
      </c>
      <c r="F20" s="559">
        <v>11384</v>
      </c>
      <c r="G20" s="575">
        <v>28652</v>
      </c>
      <c r="H20" s="558">
        <v>896068</v>
      </c>
      <c r="I20" s="559">
        <v>836862</v>
      </c>
      <c r="J20" s="559">
        <v>518721</v>
      </c>
      <c r="K20" s="559">
        <v>318141</v>
      </c>
      <c r="L20" s="559">
        <v>59206</v>
      </c>
      <c r="M20" s="559">
        <v>41521</v>
      </c>
      <c r="N20" s="560">
        <v>17685</v>
      </c>
      <c r="O20" s="558">
        <v>317411</v>
      </c>
      <c r="P20" s="559">
        <v>261620</v>
      </c>
      <c r="Q20" s="560">
        <v>55791</v>
      </c>
      <c r="R20" s="561">
        <v>1533937</v>
      </c>
      <c r="S20" s="562">
        <v>3772084</v>
      </c>
      <c r="T20" s="563">
        <v>0.33435858187135459</v>
      </c>
      <c r="U20" s="564">
        <v>0.23755250413299386</v>
      </c>
      <c r="V20" s="565">
        <v>6.6073110522862105E-2</v>
      </c>
      <c r="AJ20" s="567" t="s">
        <v>1088</v>
      </c>
      <c r="AK20" s="568">
        <v>85006</v>
      </c>
      <c r="AL20" s="569">
        <v>43579</v>
      </c>
      <c r="AM20" s="570">
        <v>292833</v>
      </c>
      <c r="AN20" s="570">
        <v>106170</v>
      </c>
      <c r="AO20" s="571">
        <v>0.2903</v>
      </c>
      <c r="AP20" s="572">
        <v>0.41049999999999998</v>
      </c>
      <c r="AQ20" s="573">
        <v>9.7999999999999997E-3</v>
      </c>
      <c r="AR20" s="573">
        <v>1.24E-2</v>
      </c>
    </row>
    <row r="21" spans="1:44" s="566" customFormat="1" ht="20.149999999999999" customHeight="1" x14ac:dyDescent="0.2">
      <c r="A21" s="556"/>
      <c r="B21" s="557" t="s">
        <v>53</v>
      </c>
      <c r="C21" s="562">
        <v>42740.416666666664</v>
      </c>
      <c r="D21" s="562">
        <v>40352.75</v>
      </c>
      <c r="E21" s="560">
        <v>39404.083333333336</v>
      </c>
      <c r="F21" s="560">
        <v>948.66666666666663</v>
      </c>
      <c r="G21" s="575">
        <v>2387.6666666666665</v>
      </c>
      <c r="H21" s="574">
        <v>74672.333333333328</v>
      </c>
      <c r="I21" s="562">
        <v>69738.5</v>
      </c>
      <c r="J21" s="562">
        <v>43226.75</v>
      </c>
      <c r="K21" s="562">
        <v>26511.75</v>
      </c>
      <c r="L21" s="560">
        <v>4933.833333333333</v>
      </c>
      <c r="M21" s="560">
        <v>3460.0833333333335</v>
      </c>
      <c r="N21" s="575">
        <v>1473.75</v>
      </c>
      <c r="O21" s="574">
        <v>26450.916666666668</v>
      </c>
      <c r="P21" s="562">
        <v>21801.666666666668</v>
      </c>
      <c r="Q21" s="562">
        <v>4649.25</v>
      </c>
      <c r="R21" s="574">
        <v>127828.08333333333</v>
      </c>
      <c r="S21" s="560">
        <v>314340.33333333331</v>
      </c>
      <c r="T21" s="563">
        <v>0.33435858187135453</v>
      </c>
      <c r="U21" s="564">
        <v>0.23755250413299386</v>
      </c>
      <c r="V21" s="565">
        <v>6.6073110522862105E-2</v>
      </c>
      <c r="AJ21" s="567" t="s">
        <v>284</v>
      </c>
      <c r="AK21" s="568">
        <v>87854</v>
      </c>
      <c r="AL21" s="569">
        <v>45290</v>
      </c>
      <c r="AM21" s="570">
        <v>20917</v>
      </c>
      <c r="AN21" s="570">
        <v>27178</v>
      </c>
      <c r="AO21" s="571">
        <v>4.2000999999999999</v>
      </c>
      <c r="AP21" s="572">
        <v>1.6664000000000001</v>
      </c>
      <c r="AQ21" s="573">
        <v>3.9098000000000002</v>
      </c>
      <c r="AR21" s="573">
        <v>1.2559</v>
      </c>
    </row>
    <row r="22" spans="1:44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588" t="s">
        <v>607</v>
      </c>
      <c r="AK22" s="589">
        <v>91363</v>
      </c>
      <c r="AL22" s="590">
        <v>47502</v>
      </c>
      <c r="AM22" s="591">
        <v>21019</v>
      </c>
      <c r="AN22" s="591">
        <v>27824</v>
      </c>
      <c r="AO22" s="592">
        <v>4.3467000000000002</v>
      </c>
      <c r="AP22" s="593">
        <v>1.7072000000000001</v>
      </c>
      <c r="AQ22" s="594">
        <v>0.14660000000000001</v>
      </c>
      <c r="AR22" s="594">
        <v>4.0800000000000003E-2</v>
      </c>
    </row>
    <row r="23" spans="1:44" ht="20.149999999999999" customHeight="1" thickBot="1" x14ac:dyDescent="0.25">
      <c r="B23" s="536" t="s">
        <v>54</v>
      </c>
      <c r="C23" s="595">
        <v>43005</v>
      </c>
      <c r="D23" s="526">
        <v>40701</v>
      </c>
      <c r="E23" s="596">
        <v>39782</v>
      </c>
      <c r="F23" s="596">
        <v>919</v>
      </c>
      <c r="G23" s="597">
        <v>2304</v>
      </c>
      <c r="H23" s="595">
        <v>75443</v>
      </c>
      <c r="I23" s="526">
        <v>70589</v>
      </c>
      <c r="J23" s="596">
        <v>43851</v>
      </c>
      <c r="K23" s="596">
        <v>26738</v>
      </c>
      <c r="L23" s="596">
        <v>4854</v>
      </c>
      <c r="M23" s="596">
        <v>3359</v>
      </c>
      <c r="N23" s="597">
        <v>1495</v>
      </c>
      <c r="O23" s="595">
        <v>26502</v>
      </c>
      <c r="P23" s="526">
        <v>22131</v>
      </c>
      <c r="Q23" s="597">
        <v>4371</v>
      </c>
      <c r="R23" s="598">
        <v>127440</v>
      </c>
      <c r="S23" s="526">
        <v>314148</v>
      </c>
      <c r="T23" s="533">
        <v>0.33745291902071561</v>
      </c>
      <c r="U23" s="534">
        <v>0.24015113895361423</v>
      </c>
      <c r="V23" s="535">
        <v>6.43399652717946E-2</v>
      </c>
      <c r="AJ23" s="538" t="s">
        <v>817</v>
      </c>
      <c r="AK23" s="539">
        <v>94728</v>
      </c>
      <c r="AL23" s="540">
        <v>49426</v>
      </c>
      <c r="AM23" s="541">
        <v>21441</v>
      </c>
      <c r="AN23" s="541">
        <v>28446</v>
      </c>
      <c r="AO23" s="542">
        <v>4.4180999999999999</v>
      </c>
      <c r="AP23" s="543">
        <v>1.7375</v>
      </c>
      <c r="AQ23" s="515">
        <v>7.1400000000000005E-2</v>
      </c>
      <c r="AR23" s="515">
        <v>3.0300000000000001E-2</v>
      </c>
    </row>
    <row r="24" spans="1:44" ht="20.149999999999999" customHeight="1" x14ac:dyDescent="0.2">
      <c r="B24" s="537" t="s">
        <v>55</v>
      </c>
      <c r="C24" s="529">
        <v>86022</v>
      </c>
      <c r="D24" s="599">
        <v>81390</v>
      </c>
      <c r="E24" s="600">
        <v>79544</v>
      </c>
      <c r="F24" s="600">
        <v>1846</v>
      </c>
      <c r="G24" s="601">
        <v>4632</v>
      </c>
      <c r="H24" s="529">
        <v>150853</v>
      </c>
      <c r="I24" s="599">
        <v>141112</v>
      </c>
      <c r="J24" s="600">
        <v>87634</v>
      </c>
      <c r="K24" s="600">
        <v>53478</v>
      </c>
      <c r="L24" s="600">
        <v>9741</v>
      </c>
      <c r="M24" s="600">
        <v>6755</v>
      </c>
      <c r="N24" s="601">
        <v>2986</v>
      </c>
      <c r="O24" s="529">
        <v>53019</v>
      </c>
      <c r="P24" s="599">
        <v>44003</v>
      </c>
      <c r="Q24" s="601">
        <v>9016</v>
      </c>
      <c r="R24" s="602">
        <v>254981</v>
      </c>
      <c r="S24" s="599">
        <v>628358</v>
      </c>
      <c r="T24" s="603">
        <v>0.33736631356846197</v>
      </c>
      <c r="U24" s="604">
        <v>0.24007492544059278</v>
      </c>
      <c r="V24" s="605">
        <v>6.4572796033224397E-2</v>
      </c>
      <c r="AJ24" s="544" t="s">
        <v>907</v>
      </c>
      <c r="AK24" s="545">
        <v>74573</v>
      </c>
      <c r="AL24" s="546">
        <v>42771</v>
      </c>
      <c r="AM24" s="547">
        <v>314416</v>
      </c>
      <c r="AN24" s="547">
        <v>127928</v>
      </c>
      <c r="AO24" s="548">
        <v>0.23719999999999999</v>
      </c>
      <c r="AP24" s="549">
        <v>0.33429999999999999</v>
      </c>
      <c r="AQ24" s="515">
        <v>-4.1809000000000003</v>
      </c>
      <c r="AR24" s="515">
        <v>-1.4032</v>
      </c>
    </row>
    <row r="25" spans="1:44" ht="20.149999999999999" customHeight="1" x14ac:dyDescent="0.2">
      <c r="B25" s="537" t="s">
        <v>56</v>
      </c>
      <c r="C25" s="529">
        <v>129041</v>
      </c>
      <c r="D25" s="599">
        <v>122079</v>
      </c>
      <c r="E25" s="600">
        <v>119317</v>
      </c>
      <c r="F25" s="600">
        <v>2762</v>
      </c>
      <c r="G25" s="601">
        <v>6962</v>
      </c>
      <c r="H25" s="529">
        <v>226242</v>
      </c>
      <c r="I25" s="599">
        <v>211643</v>
      </c>
      <c r="J25" s="600">
        <v>131371</v>
      </c>
      <c r="K25" s="600">
        <v>80272</v>
      </c>
      <c r="L25" s="600">
        <v>14599</v>
      </c>
      <c r="M25" s="600">
        <v>10134</v>
      </c>
      <c r="N25" s="601">
        <v>4465</v>
      </c>
      <c r="O25" s="529">
        <v>79530</v>
      </c>
      <c r="P25" s="599">
        <v>65897</v>
      </c>
      <c r="Q25" s="601">
        <v>13633</v>
      </c>
      <c r="R25" s="602">
        <v>382650</v>
      </c>
      <c r="S25" s="599">
        <v>942710</v>
      </c>
      <c r="T25" s="603">
        <v>0.3372298445054227</v>
      </c>
      <c r="U25" s="604">
        <v>0.23999108951851578</v>
      </c>
      <c r="V25" s="605">
        <v>6.4528248512654596E-2</v>
      </c>
      <c r="AJ25" s="478" t="s">
        <v>1137</v>
      </c>
    </row>
    <row r="26" spans="1:44" ht="20.149999999999999" customHeight="1" x14ac:dyDescent="0.2">
      <c r="B26" s="537" t="s">
        <v>57</v>
      </c>
      <c r="C26" s="529">
        <v>172036</v>
      </c>
      <c r="D26" s="599">
        <v>162732</v>
      </c>
      <c r="E26" s="600">
        <v>159054</v>
      </c>
      <c r="F26" s="600">
        <v>3678</v>
      </c>
      <c r="G26" s="601">
        <v>9304</v>
      </c>
      <c r="H26" s="529">
        <v>301476</v>
      </c>
      <c r="I26" s="599">
        <v>282021</v>
      </c>
      <c r="J26" s="600">
        <v>174986</v>
      </c>
      <c r="K26" s="600">
        <v>107035</v>
      </c>
      <c r="L26" s="600">
        <v>19455</v>
      </c>
      <c r="M26" s="600">
        <v>13514</v>
      </c>
      <c r="N26" s="601">
        <v>5941</v>
      </c>
      <c r="O26" s="529">
        <v>106075</v>
      </c>
      <c r="P26" s="599">
        <v>87823</v>
      </c>
      <c r="Q26" s="601">
        <v>18252</v>
      </c>
      <c r="R26" s="602">
        <v>510379</v>
      </c>
      <c r="S26" s="599">
        <v>1257106</v>
      </c>
      <c r="T26" s="603">
        <v>0.33707499720795725</v>
      </c>
      <c r="U26" s="604">
        <v>0.23981748555809931</v>
      </c>
      <c r="V26" s="605">
        <v>6.4532500099510406E-2</v>
      </c>
      <c r="AJ26" s="544" t="s">
        <v>1106</v>
      </c>
      <c r="AK26" s="551">
        <v>1.2014763517369964</v>
      </c>
      <c r="AL26" s="552">
        <v>1.241609726688103</v>
      </c>
      <c r="AM26" s="552">
        <v>7.3587858569634068E-2</v>
      </c>
      <c r="AN26" s="552">
        <v>0.27549271221732602</v>
      </c>
      <c r="AO26" s="553">
        <v>16.327050997782706</v>
      </c>
      <c r="AP26" s="549">
        <v>4.5071335927367056</v>
      </c>
    </row>
    <row r="27" spans="1:44" ht="20.149999999999999" customHeight="1" x14ac:dyDescent="0.2">
      <c r="B27" s="537" t="s">
        <v>58</v>
      </c>
      <c r="C27" s="529">
        <v>214937</v>
      </c>
      <c r="D27" s="599">
        <v>203226</v>
      </c>
      <c r="E27" s="600">
        <v>198598</v>
      </c>
      <c r="F27" s="600">
        <v>4628</v>
      </c>
      <c r="G27" s="601">
        <v>11711</v>
      </c>
      <c r="H27" s="529">
        <v>376445</v>
      </c>
      <c r="I27" s="599">
        <v>352061</v>
      </c>
      <c r="J27" s="600">
        <v>218337</v>
      </c>
      <c r="K27" s="600">
        <v>133724</v>
      </c>
      <c r="L27" s="600">
        <v>24384</v>
      </c>
      <c r="M27" s="600">
        <v>16988</v>
      </c>
      <c r="N27" s="601">
        <v>7396</v>
      </c>
      <c r="O27" s="529">
        <v>132572</v>
      </c>
      <c r="P27" s="599">
        <v>109619</v>
      </c>
      <c r="Q27" s="601">
        <v>22953</v>
      </c>
      <c r="R27" s="602">
        <v>638120</v>
      </c>
      <c r="S27" s="599">
        <v>1571462</v>
      </c>
      <c r="T27" s="603">
        <v>0.33682849620760985</v>
      </c>
      <c r="U27" s="604">
        <v>0.23955081319179211</v>
      </c>
      <c r="V27" s="605">
        <v>6.4774402635179112E-2</v>
      </c>
    </row>
    <row r="28" spans="1:44" ht="20.149999999999999" customHeight="1" x14ac:dyDescent="0.2">
      <c r="B28" s="537" t="s">
        <v>59</v>
      </c>
      <c r="C28" s="529">
        <v>257749</v>
      </c>
      <c r="D28" s="599">
        <v>243603</v>
      </c>
      <c r="E28" s="600">
        <v>238009</v>
      </c>
      <c r="F28" s="600">
        <v>5594</v>
      </c>
      <c r="G28" s="601">
        <v>14146</v>
      </c>
      <c r="H28" s="529">
        <v>451204</v>
      </c>
      <c r="I28" s="599">
        <v>421823</v>
      </c>
      <c r="J28" s="600">
        <v>261484</v>
      </c>
      <c r="K28" s="600">
        <v>160339</v>
      </c>
      <c r="L28" s="600">
        <v>29381</v>
      </c>
      <c r="M28" s="600">
        <v>20498</v>
      </c>
      <c r="N28" s="601">
        <v>8883</v>
      </c>
      <c r="O28" s="529">
        <v>159053</v>
      </c>
      <c r="P28" s="599">
        <v>131427</v>
      </c>
      <c r="Q28" s="601">
        <v>27626</v>
      </c>
      <c r="R28" s="602">
        <v>765940</v>
      </c>
      <c r="S28" s="599">
        <v>1885855</v>
      </c>
      <c r="T28" s="603">
        <v>0.33651330391414469</v>
      </c>
      <c r="U28" s="604">
        <v>0.23925699483788521</v>
      </c>
      <c r="V28" s="605">
        <v>6.5116887261637751E-2</v>
      </c>
    </row>
    <row r="29" spans="1:44" ht="20.149999999999999" customHeight="1" x14ac:dyDescent="0.2">
      <c r="B29" s="537" t="s">
        <v>60</v>
      </c>
      <c r="C29" s="529">
        <v>300520</v>
      </c>
      <c r="D29" s="599">
        <v>283922</v>
      </c>
      <c r="E29" s="600">
        <v>277365</v>
      </c>
      <c r="F29" s="600">
        <v>6557</v>
      </c>
      <c r="G29" s="601">
        <v>16598</v>
      </c>
      <c r="H29" s="529">
        <v>525777</v>
      </c>
      <c r="I29" s="599">
        <v>491403</v>
      </c>
      <c r="J29" s="600">
        <v>304540</v>
      </c>
      <c r="K29" s="600">
        <v>186863</v>
      </c>
      <c r="L29" s="600">
        <v>34374</v>
      </c>
      <c r="M29" s="600">
        <v>24009</v>
      </c>
      <c r="N29" s="601">
        <v>10365</v>
      </c>
      <c r="O29" s="529">
        <v>185551</v>
      </c>
      <c r="P29" s="599">
        <v>153171</v>
      </c>
      <c r="Q29" s="601">
        <v>32380</v>
      </c>
      <c r="R29" s="602">
        <v>893868</v>
      </c>
      <c r="S29" s="599">
        <v>2200271</v>
      </c>
      <c r="T29" s="603">
        <v>0.33620176580882188</v>
      </c>
      <c r="U29" s="604">
        <v>0.23896010991373334</v>
      </c>
      <c r="V29" s="605">
        <v>6.5377526974363651E-2</v>
      </c>
    </row>
    <row r="30" spans="1:44" ht="20.149999999999999" customHeight="1" x14ac:dyDescent="0.2">
      <c r="B30" s="537" t="s">
        <v>61</v>
      </c>
      <c r="C30" s="529">
        <v>343135</v>
      </c>
      <c r="D30" s="599">
        <v>324107</v>
      </c>
      <c r="E30" s="600">
        <v>316588</v>
      </c>
      <c r="F30" s="600">
        <v>7519</v>
      </c>
      <c r="G30" s="601">
        <v>19028</v>
      </c>
      <c r="H30" s="529">
        <v>600104</v>
      </c>
      <c r="I30" s="599">
        <v>560802</v>
      </c>
      <c r="J30" s="600">
        <v>347528</v>
      </c>
      <c r="K30" s="600">
        <v>213274</v>
      </c>
      <c r="L30" s="600">
        <v>39302</v>
      </c>
      <c r="M30" s="600">
        <v>27483</v>
      </c>
      <c r="N30" s="601">
        <v>11819</v>
      </c>
      <c r="O30" s="529">
        <v>212007</v>
      </c>
      <c r="P30" s="599">
        <v>174928</v>
      </c>
      <c r="Q30" s="601">
        <v>37079</v>
      </c>
      <c r="R30" s="602">
        <v>1021784</v>
      </c>
      <c r="S30" s="599">
        <v>2514699</v>
      </c>
      <c r="T30" s="603">
        <v>0.33581950784118758</v>
      </c>
      <c r="U30" s="604">
        <v>0.23863850106911405</v>
      </c>
      <c r="V30" s="605">
        <v>6.5491981389892415E-2</v>
      </c>
    </row>
    <row r="31" spans="1:44" ht="20.149999999999999" customHeight="1" x14ac:dyDescent="0.2">
      <c r="B31" s="537" t="s">
        <v>62</v>
      </c>
      <c r="C31" s="529">
        <v>385714</v>
      </c>
      <c r="D31" s="599">
        <v>364289</v>
      </c>
      <c r="E31" s="600">
        <v>355799</v>
      </c>
      <c r="F31" s="600">
        <v>8490</v>
      </c>
      <c r="G31" s="601">
        <v>21425</v>
      </c>
      <c r="H31" s="529">
        <v>674319</v>
      </c>
      <c r="I31" s="599">
        <v>630151</v>
      </c>
      <c r="J31" s="600">
        <v>390504</v>
      </c>
      <c r="K31" s="600">
        <v>239647</v>
      </c>
      <c r="L31" s="600">
        <v>44168</v>
      </c>
      <c r="M31" s="600">
        <v>30917</v>
      </c>
      <c r="N31" s="601">
        <v>13251</v>
      </c>
      <c r="O31" s="529">
        <v>238471</v>
      </c>
      <c r="P31" s="599">
        <v>196751</v>
      </c>
      <c r="Q31" s="601">
        <v>41720</v>
      </c>
      <c r="R31" s="602">
        <v>1149787</v>
      </c>
      <c r="S31" s="599">
        <v>2829224</v>
      </c>
      <c r="T31" s="603">
        <v>0.335465612326457</v>
      </c>
      <c r="U31" s="604">
        <v>0.23834061919452118</v>
      </c>
      <c r="V31" s="605">
        <v>6.5500156454141145E-2</v>
      </c>
    </row>
    <row r="32" spans="1:44" ht="20.149999999999999" customHeight="1" x14ac:dyDescent="0.2">
      <c r="B32" s="537" t="s">
        <v>63</v>
      </c>
      <c r="C32" s="529">
        <v>428205</v>
      </c>
      <c r="D32" s="599">
        <v>404341</v>
      </c>
      <c r="E32" s="600">
        <v>394874</v>
      </c>
      <c r="F32" s="600">
        <v>9467</v>
      </c>
      <c r="G32" s="601">
        <v>23864</v>
      </c>
      <c r="H32" s="529">
        <v>748382</v>
      </c>
      <c r="I32" s="599">
        <v>699123</v>
      </c>
      <c r="J32" s="600">
        <v>433277</v>
      </c>
      <c r="K32" s="600">
        <v>265846</v>
      </c>
      <c r="L32" s="600">
        <v>49259</v>
      </c>
      <c r="M32" s="600">
        <v>34498</v>
      </c>
      <c r="N32" s="601">
        <v>14761</v>
      </c>
      <c r="O32" s="529">
        <v>264819</v>
      </c>
      <c r="P32" s="599">
        <v>218362</v>
      </c>
      <c r="Q32" s="601">
        <v>46457</v>
      </c>
      <c r="R32" s="602">
        <v>1277745</v>
      </c>
      <c r="S32" s="599">
        <v>3143602</v>
      </c>
      <c r="T32" s="603">
        <v>0.33512555322071308</v>
      </c>
      <c r="U32" s="604">
        <v>0.23806512402015267</v>
      </c>
      <c r="V32" s="605">
        <v>6.5820663778658486E-2</v>
      </c>
    </row>
    <row r="33" spans="1:35" ht="20.149999999999999" customHeight="1" x14ac:dyDescent="0.2">
      <c r="B33" s="537" t="s">
        <v>64</v>
      </c>
      <c r="C33" s="529">
        <v>470516</v>
      </c>
      <c r="D33" s="599">
        <v>444252</v>
      </c>
      <c r="E33" s="600">
        <v>433822</v>
      </c>
      <c r="F33" s="600">
        <v>10430</v>
      </c>
      <c r="G33" s="601">
        <v>26264</v>
      </c>
      <c r="H33" s="529">
        <v>822214</v>
      </c>
      <c r="I33" s="599">
        <v>767959</v>
      </c>
      <c r="J33" s="600">
        <v>475945</v>
      </c>
      <c r="K33" s="600">
        <v>292014</v>
      </c>
      <c r="L33" s="600">
        <v>54255</v>
      </c>
      <c r="M33" s="600">
        <v>38021</v>
      </c>
      <c r="N33" s="601">
        <v>16234</v>
      </c>
      <c r="O33" s="529">
        <v>291098</v>
      </c>
      <c r="P33" s="599">
        <v>239954</v>
      </c>
      <c r="Q33" s="601">
        <v>51144</v>
      </c>
      <c r="R33" s="602">
        <v>1405684</v>
      </c>
      <c r="S33" s="599">
        <v>3457922</v>
      </c>
      <c r="T33" s="603">
        <v>0.33472387819737581</v>
      </c>
      <c r="U33" s="604">
        <v>0.23777690763412246</v>
      </c>
      <c r="V33" s="605">
        <v>6.5986470675517564E-2</v>
      </c>
    </row>
    <row r="34" spans="1:35" ht="20.149999999999999" customHeight="1" thickBot="1" x14ac:dyDescent="0.25">
      <c r="B34" s="606" t="s">
        <v>65</v>
      </c>
      <c r="C34" s="607">
        <v>512885</v>
      </c>
      <c r="D34" s="608">
        <v>484233</v>
      </c>
      <c r="E34" s="609">
        <v>472849</v>
      </c>
      <c r="F34" s="609">
        <v>11384</v>
      </c>
      <c r="G34" s="610">
        <v>28652</v>
      </c>
      <c r="H34" s="607">
        <v>896068</v>
      </c>
      <c r="I34" s="608">
        <v>836862</v>
      </c>
      <c r="J34" s="609">
        <v>518721</v>
      </c>
      <c r="K34" s="609">
        <v>318141</v>
      </c>
      <c r="L34" s="609">
        <v>59206</v>
      </c>
      <c r="M34" s="609">
        <v>41521</v>
      </c>
      <c r="N34" s="610">
        <v>17685</v>
      </c>
      <c r="O34" s="607">
        <v>317411</v>
      </c>
      <c r="P34" s="608">
        <v>261620</v>
      </c>
      <c r="Q34" s="610">
        <v>55791</v>
      </c>
      <c r="R34" s="611">
        <v>1533937</v>
      </c>
      <c r="S34" s="608">
        <v>3772084</v>
      </c>
      <c r="T34" s="612">
        <v>0.33435858187135459</v>
      </c>
      <c r="U34" s="613">
        <v>0.23755250413299386</v>
      </c>
      <c r="V34" s="614">
        <v>6.6073110522862105E-2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v>512917</v>
      </c>
      <c r="D35" s="616">
        <v>484361</v>
      </c>
      <c r="E35" s="616">
        <v>472997</v>
      </c>
      <c r="F35" s="616">
        <v>11364</v>
      </c>
      <c r="G35" s="617">
        <v>28556</v>
      </c>
      <c r="H35" s="618">
        <v>896724</v>
      </c>
      <c r="I35" s="616">
        <v>837952</v>
      </c>
      <c r="J35" s="616">
        <v>519408</v>
      </c>
      <c r="K35" s="616">
        <v>318544</v>
      </c>
      <c r="L35" s="616">
        <v>58772</v>
      </c>
      <c r="M35" s="616">
        <v>41166</v>
      </c>
      <c r="N35" s="619">
        <v>17606</v>
      </c>
      <c r="O35" s="618">
        <v>316877</v>
      </c>
      <c r="P35" s="616">
        <v>261437</v>
      </c>
      <c r="Q35" s="619">
        <v>55440</v>
      </c>
      <c r="R35" s="618">
        <v>1532766</v>
      </c>
      <c r="S35" s="616">
        <v>3771812</v>
      </c>
      <c r="T35" s="620">
        <v>0.33463490187021372</v>
      </c>
      <c r="U35" s="620">
        <v>0.23774355667779837</v>
      </c>
      <c r="V35" s="621">
        <v>6.5540790700371568E-2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v>42743.083333333336</v>
      </c>
      <c r="D36" s="626">
        <v>40363.416666666664</v>
      </c>
      <c r="E36" s="626">
        <v>39416.416666666664</v>
      </c>
      <c r="F36" s="626">
        <v>947</v>
      </c>
      <c r="G36" s="627">
        <v>2379.6666666666665</v>
      </c>
      <c r="H36" s="625">
        <v>74727</v>
      </c>
      <c r="I36" s="626">
        <v>69829.333333333328</v>
      </c>
      <c r="J36" s="626">
        <v>43284</v>
      </c>
      <c r="K36" s="626">
        <v>26545.333333333332</v>
      </c>
      <c r="L36" s="626">
        <v>4897.666666666667</v>
      </c>
      <c r="M36" s="626">
        <v>3430.5</v>
      </c>
      <c r="N36" s="628">
        <v>1467.1666666666667</v>
      </c>
      <c r="O36" s="625">
        <v>26406.416666666668</v>
      </c>
      <c r="P36" s="626">
        <v>21786.416666666668</v>
      </c>
      <c r="Q36" s="628">
        <v>4620</v>
      </c>
      <c r="R36" s="625">
        <v>127730.5</v>
      </c>
      <c r="S36" s="626">
        <v>314317.66666666669</v>
      </c>
      <c r="T36" s="629">
        <v>0.33463490187021372</v>
      </c>
      <c r="U36" s="630">
        <v>0.23774355667779834</v>
      </c>
      <c r="V36" s="631">
        <v>6.5540790700371582E-2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v>513266</v>
      </c>
      <c r="D37" s="635">
        <v>485016</v>
      </c>
      <c r="E37" s="636">
        <v>473750</v>
      </c>
      <c r="F37" s="636">
        <v>11266</v>
      </c>
      <c r="G37" s="637">
        <v>28250</v>
      </c>
      <c r="H37" s="634">
        <v>898464</v>
      </c>
      <c r="I37" s="635">
        <v>840593</v>
      </c>
      <c r="J37" s="636">
        <v>521217</v>
      </c>
      <c r="K37" s="636">
        <v>319376</v>
      </c>
      <c r="L37" s="636">
        <v>57871</v>
      </c>
      <c r="M37" s="636">
        <v>40472</v>
      </c>
      <c r="N37" s="637">
        <v>17399</v>
      </c>
      <c r="O37" s="634">
        <v>316029</v>
      </c>
      <c r="P37" s="638">
        <v>261269</v>
      </c>
      <c r="Q37" s="637">
        <v>54760</v>
      </c>
      <c r="R37" s="634">
        <v>1530864</v>
      </c>
      <c r="S37" s="635">
        <v>3771723</v>
      </c>
      <c r="T37" s="639">
        <v>0.33527864003595353</v>
      </c>
      <c r="U37" s="639">
        <v>0.23821049424891488</v>
      </c>
      <c r="V37" s="640">
        <v>6.4411039284823876E-2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v>42772.166666666664</v>
      </c>
      <c r="D38" s="643">
        <v>40418</v>
      </c>
      <c r="E38" s="644">
        <v>39479.166666666664</v>
      </c>
      <c r="F38" s="644">
        <v>938.83333333333337</v>
      </c>
      <c r="G38" s="645">
        <v>2354.1666666666665</v>
      </c>
      <c r="H38" s="642">
        <v>74872</v>
      </c>
      <c r="I38" s="643">
        <v>70049.416666666672</v>
      </c>
      <c r="J38" s="644">
        <v>43434.75</v>
      </c>
      <c r="K38" s="644">
        <v>26614.666666666668</v>
      </c>
      <c r="L38" s="644">
        <v>4822.583333333333</v>
      </c>
      <c r="M38" s="644">
        <v>3372.6666666666665</v>
      </c>
      <c r="N38" s="645">
        <v>1449.9166666666667</v>
      </c>
      <c r="O38" s="642">
        <v>26335.75</v>
      </c>
      <c r="P38" s="646">
        <v>21772.416666666668</v>
      </c>
      <c r="Q38" s="645">
        <v>4563.333333333333</v>
      </c>
      <c r="R38" s="642">
        <v>127572</v>
      </c>
      <c r="S38" s="643">
        <v>314310.25</v>
      </c>
      <c r="T38" s="647">
        <v>0.33527864003595353</v>
      </c>
      <c r="U38" s="647">
        <v>0.23821049424891488</v>
      </c>
      <c r="V38" s="648">
        <v>6.4411039284823876E-2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ht="20.149999999999999" customHeight="1" x14ac:dyDescent="0.2">
      <c r="B40" s="478" t="s">
        <v>475</v>
      </c>
      <c r="J40" s="478" t="s">
        <v>1152</v>
      </c>
      <c r="R40" s="478">
        <v>29298</v>
      </c>
      <c r="Y40" s="650"/>
      <c r="Z40" s="650"/>
      <c r="AA40" s="650"/>
      <c r="AB40" s="650"/>
      <c r="AC40" s="650"/>
      <c r="AD40" s="650"/>
      <c r="AE40" s="650"/>
      <c r="AF40" s="650"/>
      <c r="AG40" s="650"/>
      <c r="AH40" s="650"/>
      <c r="AI40" s="650"/>
    </row>
    <row r="41" spans="1:35" ht="20.149999999999999" customHeight="1" x14ac:dyDescent="0.2">
      <c r="C41" s="478" t="s">
        <v>682</v>
      </c>
      <c r="D41" s="478" t="s">
        <v>1483</v>
      </c>
      <c r="E41" s="478" t="s">
        <v>1484</v>
      </c>
      <c r="F41" s="478" t="s">
        <v>1485</v>
      </c>
      <c r="K41" s="478" t="s">
        <v>405</v>
      </c>
      <c r="L41" s="478" t="s">
        <v>1160</v>
      </c>
      <c r="M41" s="478" t="s">
        <v>817</v>
      </c>
      <c r="N41" s="478" t="s">
        <v>907</v>
      </c>
      <c r="R41" s="478" t="s">
        <v>1158</v>
      </c>
    </row>
    <row r="42" spans="1:35" ht="20.149999999999999" customHeight="1" x14ac:dyDescent="0.2">
      <c r="J42" s="478" t="s">
        <v>1164</v>
      </c>
      <c r="K42" s="651">
        <v>26128</v>
      </c>
      <c r="L42" s="651">
        <v>26088</v>
      </c>
      <c r="M42" s="651">
        <v>26606</v>
      </c>
      <c r="N42" s="651">
        <v>27066</v>
      </c>
      <c r="O42" s="651"/>
      <c r="P42" s="651"/>
      <c r="Q42" s="651"/>
      <c r="R42" s="477">
        <v>27605</v>
      </c>
      <c r="S42" s="478" t="s">
        <v>1165</v>
      </c>
      <c r="W42" s="650"/>
      <c r="X42" s="650"/>
      <c r="AD42" s="652"/>
    </row>
    <row r="43" spans="1:35" ht="20.149999999999999" customHeight="1" x14ac:dyDescent="0.2">
      <c r="B43" s="478" t="s">
        <v>481</v>
      </c>
      <c r="C43" s="478">
        <v>20106.166666666668</v>
      </c>
      <c r="D43" s="478">
        <v>21676.833333333332</v>
      </c>
      <c r="E43" s="478">
        <v>23223.666666666668</v>
      </c>
      <c r="F43" s="653">
        <v>24752</v>
      </c>
      <c r="G43" s="653">
        <v>26460</v>
      </c>
      <c r="L43" s="478">
        <v>0.99850000000000005</v>
      </c>
      <c r="M43" s="478">
        <v>1.0199</v>
      </c>
      <c r="N43" s="478">
        <v>1.0199</v>
      </c>
      <c r="R43" s="478">
        <v>1.0199</v>
      </c>
      <c r="Y43" s="650"/>
    </row>
    <row r="44" spans="1:35" ht="20.149999999999999" customHeight="1" x14ac:dyDescent="0.2">
      <c r="B44" s="654" t="s">
        <v>482</v>
      </c>
      <c r="C44" s="654"/>
      <c r="D44" s="655">
        <v>1.0781186534811042</v>
      </c>
      <c r="E44" s="655">
        <v>1.0713588239364606</v>
      </c>
      <c r="F44" s="656">
        <v>1.0658000000000001</v>
      </c>
      <c r="G44" s="656">
        <v>1.069</v>
      </c>
      <c r="J44" s="478" t="s">
        <v>1168</v>
      </c>
      <c r="K44" s="478">
        <v>0.99309999999999998</v>
      </c>
      <c r="L44" s="478">
        <v>0.99739999999999995</v>
      </c>
      <c r="M44" s="478">
        <v>1.0001</v>
      </c>
      <c r="N44" s="478">
        <v>1.0001</v>
      </c>
      <c r="R44" s="478">
        <v>1.0001</v>
      </c>
      <c r="W44" s="650"/>
      <c r="X44" s="657" t="s">
        <v>275</v>
      </c>
      <c r="Z44" s="658" t="s">
        <v>2830</v>
      </c>
      <c r="AA44" s="650"/>
      <c r="AB44" s="650"/>
      <c r="AC44" s="650"/>
      <c r="AD44" s="650"/>
      <c r="AE44" s="650"/>
      <c r="AF44" s="650"/>
      <c r="AG44" s="650" t="s">
        <v>275</v>
      </c>
      <c r="AH44" s="652" t="s">
        <v>688</v>
      </c>
    </row>
    <row r="45" spans="1:35" ht="20.149999999999999" customHeight="1" x14ac:dyDescent="0.25">
      <c r="B45" s="478" t="s">
        <v>486</v>
      </c>
      <c r="C45" s="478">
        <v>20475.5</v>
      </c>
      <c r="D45" s="478">
        <v>22050</v>
      </c>
      <c r="E45" s="478">
        <v>23571.333333333332</v>
      </c>
      <c r="F45" s="659">
        <v>25003.416666666668</v>
      </c>
      <c r="G45" s="659">
        <v>26730</v>
      </c>
      <c r="H45" s="659">
        <v>28577.042999999998</v>
      </c>
      <c r="N45" s="477">
        <v>27069</v>
      </c>
      <c r="O45" s="477"/>
      <c r="P45" s="477"/>
      <c r="Q45" s="477"/>
      <c r="R45" s="477">
        <v>27608</v>
      </c>
      <c r="T45" s="651"/>
      <c r="U45" s="651"/>
      <c r="V45" s="651"/>
      <c r="W45" s="651"/>
      <c r="X45" s="660"/>
      <c r="Y45" s="661" t="s">
        <v>11</v>
      </c>
      <c r="Z45" s="662" t="s">
        <v>286</v>
      </c>
      <c r="AA45" s="662" t="s">
        <v>287</v>
      </c>
      <c r="AB45" s="662" t="s">
        <v>288</v>
      </c>
      <c r="AC45" s="662" t="s">
        <v>289</v>
      </c>
      <c r="AD45" s="663" t="s">
        <v>290</v>
      </c>
      <c r="AE45" s="663" t="s">
        <v>6</v>
      </c>
      <c r="AF45" s="663" t="s">
        <v>7</v>
      </c>
      <c r="AG45" s="664" t="s">
        <v>8</v>
      </c>
      <c r="AH45" s="664" t="s">
        <v>9</v>
      </c>
      <c r="AI45" s="665" t="s">
        <v>10</v>
      </c>
    </row>
    <row r="46" spans="1:35" ht="20.149999999999999" customHeight="1" x14ac:dyDescent="0.2">
      <c r="B46" s="654" t="s">
        <v>498</v>
      </c>
      <c r="C46" s="655">
        <v>1.0183691570579507</v>
      </c>
      <c r="D46" s="655">
        <v>1.0172149991157995</v>
      </c>
      <c r="E46" s="655">
        <v>1.0149703606952676</v>
      </c>
      <c r="F46" s="655">
        <v>1.0102</v>
      </c>
      <c r="G46" s="655">
        <v>1.0125999999999999</v>
      </c>
      <c r="J46" s="478" t="s">
        <v>1185</v>
      </c>
      <c r="K46" s="651">
        <v>25949</v>
      </c>
      <c r="L46" s="651">
        <v>26021</v>
      </c>
      <c r="M46" s="651">
        <v>26608</v>
      </c>
      <c r="W46" s="666"/>
      <c r="X46" s="667"/>
      <c r="Y46" s="668" t="s">
        <v>296</v>
      </c>
      <c r="Z46" s="669" t="s">
        <v>297</v>
      </c>
      <c r="AA46" s="670" t="s">
        <v>18</v>
      </c>
      <c r="AB46" s="670" t="s">
        <v>19</v>
      </c>
      <c r="AC46" s="671" t="s">
        <v>503</v>
      </c>
      <c r="AD46" s="672"/>
      <c r="AE46" s="673" t="s">
        <v>302</v>
      </c>
      <c r="AF46" s="673" t="s">
        <v>303</v>
      </c>
      <c r="AG46" s="673" t="s">
        <v>304</v>
      </c>
      <c r="AH46" s="673" t="s">
        <v>305</v>
      </c>
      <c r="AI46" s="674" t="s">
        <v>306</v>
      </c>
    </row>
    <row r="47" spans="1:35" ht="20.149999999999999" customHeight="1" x14ac:dyDescent="0.2">
      <c r="B47" s="654" t="s">
        <v>509</v>
      </c>
      <c r="C47" s="654"/>
      <c r="D47" s="655">
        <v>1.076896779077434</v>
      </c>
      <c r="E47" s="655">
        <v>1.0689947089947089</v>
      </c>
      <c r="F47" s="655">
        <v>1.0608</v>
      </c>
      <c r="G47" s="655">
        <v>1.0690999999999999</v>
      </c>
      <c r="L47" s="478">
        <v>1.0027999999999999</v>
      </c>
      <c r="M47" s="478">
        <v>1.0226</v>
      </c>
      <c r="N47" s="478">
        <v>1.0226</v>
      </c>
      <c r="R47" s="478">
        <v>1.0226</v>
      </c>
      <c r="W47" s="650"/>
      <c r="X47" s="675"/>
      <c r="Y47" s="676"/>
      <c r="Z47" s="677"/>
      <c r="AA47" s="677"/>
      <c r="AB47" s="677"/>
      <c r="AC47" s="678"/>
      <c r="AD47" s="679">
        <v>3359</v>
      </c>
      <c r="AE47" s="677" t="s">
        <v>275</v>
      </c>
      <c r="AF47" s="677"/>
      <c r="AG47" s="680"/>
      <c r="AH47" s="680"/>
      <c r="AI47" s="681"/>
    </row>
    <row r="48" spans="1:35" ht="20.149999999999999" customHeight="1" x14ac:dyDescent="0.2">
      <c r="J48" s="478" t="s">
        <v>1198</v>
      </c>
      <c r="N48" s="477">
        <v>27209</v>
      </c>
      <c r="O48" s="477"/>
      <c r="P48" s="477"/>
      <c r="Q48" s="477"/>
      <c r="R48" s="682">
        <v>27824</v>
      </c>
      <c r="W48" s="650" t="s">
        <v>308</v>
      </c>
      <c r="X48" s="667" t="s">
        <v>40</v>
      </c>
      <c r="Y48" s="683">
        <v>43005</v>
      </c>
      <c r="Z48" s="684">
        <v>75443</v>
      </c>
      <c r="AA48" s="684">
        <v>43851</v>
      </c>
      <c r="AB48" s="684">
        <v>26738</v>
      </c>
      <c r="AC48" s="685">
        <v>4854</v>
      </c>
      <c r="AD48" s="686">
        <v>1495</v>
      </c>
      <c r="AE48" s="684">
        <v>127440</v>
      </c>
      <c r="AF48" s="683">
        <v>314148</v>
      </c>
      <c r="AG48" s="687">
        <v>0.33745291902071561</v>
      </c>
      <c r="AH48" s="688">
        <v>0.24015113895361423</v>
      </c>
      <c r="AI48" s="689">
        <v>6.43399652717946E-2</v>
      </c>
    </row>
    <row r="49" spans="1:35" ht="20.149999999999999" customHeight="1" x14ac:dyDescent="0.2">
      <c r="G49" s="690" t="s">
        <v>940</v>
      </c>
      <c r="H49" s="690" t="s">
        <v>940</v>
      </c>
      <c r="W49" s="650"/>
      <c r="X49" s="675"/>
      <c r="Y49" s="676" t="s">
        <v>275</v>
      </c>
      <c r="Z49" s="677"/>
      <c r="AA49" s="677"/>
      <c r="AB49" s="677"/>
      <c r="AC49" s="691"/>
      <c r="AD49" s="679">
        <v>3396</v>
      </c>
      <c r="AE49" s="677"/>
      <c r="AF49" s="676"/>
      <c r="AG49" s="692"/>
      <c r="AH49" s="680"/>
      <c r="AI49" s="693"/>
    </row>
    <row r="50" spans="1:35" ht="20.149999999999999" customHeight="1" x14ac:dyDescent="0.2">
      <c r="G50" s="694">
        <v>26800</v>
      </c>
      <c r="H50" s="694">
        <v>28600</v>
      </c>
      <c r="W50" s="650"/>
      <c r="X50" s="667" t="s">
        <v>41</v>
      </c>
      <c r="Y50" s="683">
        <v>43017</v>
      </c>
      <c r="Z50" s="684">
        <v>75410</v>
      </c>
      <c r="AA50" s="684">
        <v>43783</v>
      </c>
      <c r="AB50" s="684">
        <v>26740</v>
      </c>
      <c r="AC50" s="685">
        <v>4887</v>
      </c>
      <c r="AD50" s="686">
        <v>1491</v>
      </c>
      <c r="AE50" s="684">
        <v>127541</v>
      </c>
      <c r="AF50" s="683">
        <v>314210</v>
      </c>
      <c r="AG50" s="687">
        <v>0.33727977669925752</v>
      </c>
      <c r="AH50" s="688">
        <v>0.23999872696604183</v>
      </c>
      <c r="AI50" s="689">
        <v>6.4805728683198519E-2</v>
      </c>
    </row>
    <row r="51" spans="1:35" ht="20.149999999999999" customHeight="1" x14ac:dyDescent="0.2">
      <c r="A51" s="695" t="s">
        <v>1205</v>
      </c>
      <c r="K51" s="478" t="s">
        <v>405</v>
      </c>
      <c r="L51" s="478" t="s">
        <v>1160</v>
      </c>
      <c r="M51" s="478" t="s">
        <v>817</v>
      </c>
      <c r="N51" s="478" t="s">
        <v>907</v>
      </c>
      <c r="R51" s="478" t="s">
        <v>1158</v>
      </c>
      <c r="W51" s="650"/>
      <c r="X51" s="675"/>
      <c r="Y51" s="676" t="s">
        <v>275</v>
      </c>
      <c r="Z51" s="677" t="s">
        <v>275</v>
      </c>
      <c r="AA51" s="677" t="s">
        <v>275</v>
      </c>
      <c r="AB51" s="677"/>
      <c r="AC51" s="678"/>
      <c r="AD51" s="679">
        <v>3379</v>
      </c>
      <c r="AE51" s="677"/>
      <c r="AF51" s="677"/>
      <c r="AG51" s="680" t="s">
        <v>275</v>
      </c>
      <c r="AH51" s="680" t="s">
        <v>275</v>
      </c>
      <c r="AI51" s="681" t="s">
        <v>275</v>
      </c>
    </row>
    <row r="52" spans="1:35" ht="20.149999999999999" customHeight="1" x14ac:dyDescent="0.2">
      <c r="A52" s="477" t="s">
        <v>1217</v>
      </c>
      <c r="C52" s="478" t="s">
        <v>477</v>
      </c>
      <c r="D52" s="478" t="s">
        <v>478</v>
      </c>
      <c r="E52" s="478" t="s">
        <v>479</v>
      </c>
      <c r="F52" s="478" t="s">
        <v>480</v>
      </c>
      <c r="G52" s="478" t="s">
        <v>682</v>
      </c>
      <c r="H52" s="478" t="s">
        <v>907</v>
      </c>
      <c r="J52" s="478" t="s">
        <v>1164</v>
      </c>
      <c r="K52" s="651">
        <v>26128</v>
      </c>
      <c r="L52" s="651">
        <v>26088</v>
      </c>
      <c r="M52" s="651">
        <v>26606</v>
      </c>
      <c r="N52" s="651">
        <v>27066</v>
      </c>
      <c r="O52" s="651"/>
      <c r="P52" s="651"/>
      <c r="Q52" s="651"/>
      <c r="W52" s="650"/>
      <c r="X52" s="667" t="s">
        <v>42</v>
      </c>
      <c r="Y52" s="683">
        <v>43019</v>
      </c>
      <c r="Z52" s="684">
        <v>75389</v>
      </c>
      <c r="AA52" s="684">
        <v>43737</v>
      </c>
      <c r="AB52" s="684">
        <v>26794</v>
      </c>
      <c r="AC52" s="685">
        <v>4858</v>
      </c>
      <c r="AD52" s="686">
        <v>1479</v>
      </c>
      <c r="AE52" s="684">
        <v>127669</v>
      </c>
      <c r="AF52" s="683">
        <v>314352</v>
      </c>
      <c r="AG52" s="687">
        <v>0.33695728798690361</v>
      </c>
      <c r="AH52" s="688">
        <v>0.23982350995062859</v>
      </c>
      <c r="AI52" s="689">
        <v>6.443910915385534E-2</v>
      </c>
    </row>
    <row r="53" spans="1:35" ht="20.149999999999999" customHeight="1" x14ac:dyDescent="0.2">
      <c r="K53" s="478">
        <v>48779</v>
      </c>
      <c r="L53" s="478">
        <v>48738</v>
      </c>
      <c r="M53" s="478">
        <v>49951</v>
      </c>
      <c r="N53" s="478">
        <v>50707</v>
      </c>
      <c r="W53" s="650"/>
      <c r="X53" s="675"/>
      <c r="Y53" s="676"/>
      <c r="Z53" s="677"/>
      <c r="AA53" s="677" t="s">
        <v>275</v>
      </c>
      <c r="AB53" s="677"/>
      <c r="AC53" s="691"/>
      <c r="AD53" s="679">
        <v>3380</v>
      </c>
      <c r="AE53" s="677"/>
      <c r="AF53" s="676"/>
      <c r="AG53" s="692" t="s">
        <v>275</v>
      </c>
      <c r="AH53" s="680" t="s">
        <v>275</v>
      </c>
      <c r="AI53" s="693" t="s">
        <v>275</v>
      </c>
    </row>
    <row r="54" spans="1:35" ht="20.149999999999999" customHeight="1" x14ac:dyDescent="0.2">
      <c r="B54" s="478" t="s">
        <v>1230</v>
      </c>
      <c r="C54" s="478" t="e">
        <v>#VALUE!</v>
      </c>
      <c r="D54" s="478" t="e">
        <v>#VALUE!</v>
      </c>
      <c r="E54" s="478" t="e">
        <v>#VALUE!</v>
      </c>
      <c r="F54" s="653" t="e">
        <v>#VALUE!</v>
      </c>
      <c r="G54" s="653" t="e">
        <v>#VALUE!</v>
      </c>
      <c r="H54" s="478" t="e">
        <v>#VALUE!</v>
      </c>
      <c r="W54" s="650"/>
      <c r="X54" s="667" t="s">
        <v>43</v>
      </c>
      <c r="Y54" s="683">
        <v>42995</v>
      </c>
      <c r="Z54" s="684">
        <v>75234</v>
      </c>
      <c r="AA54" s="684">
        <v>43615</v>
      </c>
      <c r="AB54" s="684">
        <v>26763</v>
      </c>
      <c r="AC54" s="685">
        <v>4856</v>
      </c>
      <c r="AD54" s="686">
        <v>1476</v>
      </c>
      <c r="AE54" s="684">
        <v>127729</v>
      </c>
      <c r="AF54" s="683">
        <v>314396</v>
      </c>
      <c r="AG54" s="687">
        <v>0.33661110632667601</v>
      </c>
      <c r="AH54" s="688">
        <v>0.23929693762007151</v>
      </c>
      <c r="AI54" s="689">
        <v>6.454528537629263E-2</v>
      </c>
    </row>
    <row r="55" spans="1:35" ht="20.149999999999999" customHeight="1" x14ac:dyDescent="0.2">
      <c r="B55" s="654" t="s">
        <v>1232</v>
      </c>
      <c r="C55" s="654"/>
      <c r="D55" s="655" t="e">
        <v>#VALUE!</v>
      </c>
      <c r="E55" s="655" t="e">
        <v>#VALUE!</v>
      </c>
      <c r="F55" s="656" t="e">
        <v>#VALUE!</v>
      </c>
      <c r="G55" s="656" t="e">
        <v>#VALUE!</v>
      </c>
      <c r="H55" s="656" t="e">
        <v>#VALUE!</v>
      </c>
      <c r="J55" s="478" t="s">
        <v>1185</v>
      </c>
      <c r="K55" s="651">
        <v>25949</v>
      </c>
      <c r="L55" s="651">
        <v>26021</v>
      </c>
      <c r="M55" s="651">
        <v>26608</v>
      </c>
      <c r="N55" s="478">
        <v>27209</v>
      </c>
      <c r="W55" s="650"/>
      <c r="X55" s="675"/>
      <c r="Y55" s="676"/>
      <c r="Z55" s="677"/>
      <c r="AA55" s="677" t="s">
        <v>275</v>
      </c>
      <c r="AB55" s="677"/>
      <c r="AC55" s="678"/>
      <c r="AD55" s="679">
        <v>3474</v>
      </c>
      <c r="AE55" s="677"/>
      <c r="AF55" s="677"/>
      <c r="AG55" s="680" t="s">
        <v>275</v>
      </c>
      <c r="AH55" s="680" t="s">
        <v>275</v>
      </c>
      <c r="AI55" s="681" t="s">
        <v>275</v>
      </c>
    </row>
    <row r="56" spans="1:35" ht="20.149999999999999" customHeight="1" x14ac:dyDescent="0.25">
      <c r="B56" s="478" t="s">
        <v>486</v>
      </c>
      <c r="C56" s="478">
        <v>292298.58333333331</v>
      </c>
      <c r="D56" s="478">
        <v>292958.75</v>
      </c>
      <c r="E56" s="478">
        <v>20993.666666666668</v>
      </c>
      <c r="F56" s="659">
        <v>21075.166666666668</v>
      </c>
      <c r="G56" s="659">
        <v>21390.083333333332</v>
      </c>
      <c r="H56" s="659" t="s">
        <v>275</v>
      </c>
      <c r="K56" s="478">
        <v>48708</v>
      </c>
      <c r="L56" s="478">
        <v>49113</v>
      </c>
      <c r="M56" s="478">
        <v>50246</v>
      </c>
      <c r="N56" s="478">
        <v>51407</v>
      </c>
      <c r="W56" s="650"/>
      <c r="X56" s="667" t="s">
        <v>44</v>
      </c>
      <c r="Y56" s="683">
        <v>42901</v>
      </c>
      <c r="Z56" s="684">
        <v>74969</v>
      </c>
      <c r="AA56" s="684">
        <v>43351</v>
      </c>
      <c r="AB56" s="684">
        <v>26689</v>
      </c>
      <c r="AC56" s="685">
        <v>4929</v>
      </c>
      <c r="AD56" s="686">
        <v>1455</v>
      </c>
      <c r="AE56" s="684">
        <v>127741</v>
      </c>
      <c r="AF56" s="683">
        <v>314356</v>
      </c>
      <c r="AG56" s="687">
        <v>0.33584362107702304</v>
      </c>
      <c r="AH56" s="688">
        <v>0.23848439349018311</v>
      </c>
      <c r="AI56" s="689">
        <v>6.5747175499206334E-2</v>
      </c>
    </row>
    <row r="57" spans="1:35" ht="20.149999999999999" customHeight="1" x14ac:dyDescent="0.2">
      <c r="B57" s="654" t="s">
        <v>1241</v>
      </c>
      <c r="C57" s="655" t="e">
        <v>#VALUE!</v>
      </c>
      <c r="D57" s="655" t="e">
        <v>#VALUE!</v>
      </c>
      <c r="E57" s="655" t="e">
        <v>#VALUE!</v>
      </c>
      <c r="F57" s="655" t="e">
        <v>#VALUE!</v>
      </c>
      <c r="G57" s="655" t="e">
        <v>#VALUE!</v>
      </c>
      <c r="J57" s="478" t="s">
        <v>1242</v>
      </c>
      <c r="K57" s="478" t="s">
        <v>1243</v>
      </c>
      <c r="L57" s="478" t="s">
        <v>1244</v>
      </c>
      <c r="M57" s="478" t="s">
        <v>1245</v>
      </c>
      <c r="N57" s="478" t="s">
        <v>1246</v>
      </c>
      <c r="R57" s="478" t="s">
        <v>1247</v>
      </c>
      <c r="S57" s="478" t="s">
        <v>1248</v>
      </c>
      <c r="W57" s="650"/>
      <c r="X57" s="675"/>
      <c r="Y57" s="676"/>
      <c r="Z57" s="677"/>
      <c r="AA57" s="677" t="s">
        <v>275</v>
      </c>
      <c r="AB57" s="677"/>
      <c r="AC57" s="678"/>
      <c r="AD57" s="679">
        <v>3510</v>
      </c>
      <c r="AE57" s="677"/>
      <c r="AF57" s="677"/>
      <c r="AG57" s="680" t="s">
        <v>275</v>
      </c>
      <c r="AH57" s="680" t="s">
        <v>275</v>
      </c>
      <c r="AI57" s="681" t="s">
        <v>275</v>
      </c>
    </row>
    <row r="58" spans="1:35" ht="20.149999999999999" customHeight="1" x14ac:dyDescent="0.2">
      <c r="B58" s="654" t="s">
        <v>509</v>
      </c>
      <c r="C58" s="654"/>
      <c r="D58" s="655">
        <v>1.0022585352933915</v>
      </c>
      <c r="E58" s="655">
        <v>7.1660828245159666E-2</v>
      </c>
      <c r="F58" s="655">
        <v>1.0039</v>
      </c>
      <c r="G58" s="655">
        <v>1.0148999999999999</v>
      </c>
      <c r="I58" s="478" t="s">
        <v>1254</v>
      </c>
      <c r="J58" s="651">
        <v>26128</v>
      </c>
      <c r="K58" s="651">
        <v>25949</v>
      </c>
      <c r="L58" s="651">
        <v>26088</v>
      </c>
      <c r="M58" s="651">
        <v>26021</v>
      </c>
      <c r="N58" s="651">
        <v>26606</v>
      </c>
      <c r="O58" s="651"/>
      <c r="P58" s="651"/>
      <c r="Q58" s="651"/>
      <c r="R58" s="651">
        <v>26608</v>
      </c>
      <c r="S58" s="651">
        <v>27066</v>
      </c>
      <c r="W58" s="650"/>
      <c r="X58" s="667" t="s">
        <v>45</v>
      </c>
      <c r="Y58" s="683">
        <v>42812</v>
      </c>
      <c r="Z58" s="684">
        <v>74759</v>
      </c>
      <c r="AA58" s="684">
        <v>43147</v>
      </c>
      <c r="AB58" s="684">
        <v>26615</v>
      </c>
      <c r="AC58" s="685">
        <v>4997</v>
      </c>
      <c r="AD58" s="686">
        <v>1487</v>
      </c>
      <c r="AE58" s="684">
        <v>127820</v>
      </c>
      <c r="AF58" s="683">
        <v>314393</v>
      </c>
      <c r="AG58" s="687">
        <v>0.33493975903614459</v>
      </c>
      <c r="AH58" s="688">
        <v>0.2377883731508017</v>
      </c>
      <c r="AI58" s="689">
        <v>6.6841450527695662E-2</v>
      </c>
    </row>
    <row r="59" spans="1:35" ht="20.149999999999999" customHeight="1" x14ac:dyDescent="0.2">
      <c r="J59" s="515">
        <v>1</v>
      </c>
      <c r="K59" s="515">
        <v>0.99309999999999998</v>
      </c>
      <c r="L59" s="515">
        <v>1.0054000000000001</v>
      </c>
      <c r="M59" s="515">
        <v>0.99739999999999995</v>
      </c>
      <c r="N59" s="515">
        <v>1.0225</v>
      </c>
      <c r="O59" s="515"/>
      <c r="P59" s="515"/>
      <c r="Q59" s="515"/>
      <c r="R59" s="515">
        <v>1.0001</v>
      </c>
      <c r="S59" s="515">
        <v>1.0172000000000001</v>
      </c>
      <c r="V59" s="478" t="s">
        <v>275</v>
      </c>
      <c r="W59" s="650"/>
      <c r="X59" s="675"/>
      <c r="Y59" s="676"/>
      <c r="Z59" s="677"/>
      <c r="AA59" s="677" t="s">
        <v>275</v>
      </c>
      <c r="AB59" s="677"/>
      <c r="AC59" s="678"/>
      <c r="AD59" s="679">
        <v>3511</v>
      </c>
      <c r="AE59" s="677"/>
      <c r="AF59" s="677"/>
      <c r="AG59" s="680" t="s">
        <v>275</v>
      </c>
      <c r="AH59" s="680" t="s">
        <v>275</v>
      </c>
      <c r="AI59" s="681" t="s">
        <v>275</v>
      </c>
    </row>
    <row r="60" spans="1:35" ht="20.149999999999999" customHeight="1" x14ac:dyDescent="0.2">
      <c r="D60" s="478" t="e">
        <v>#VALUE!</v>
      </c>
      <c r="E60" s="478" t="e">
        <v>#VALUE!</v>
      </c>
      <c r="F60" s="478" t="e">
        <v>#VALUE!</v>
      </c>
      <c r="G60" s="478" t="e">
        <v>#VALUE!</v>
      </c>
      <c r="H60" s="696" t="e">
        <v>#VALUE!</v>
      </c>
      <c r="I60" s="478" t="s">
        <v>18</v>
      </c>
      <c r="J60" s="478">
        <v>48779</v>
      </c>
      <c r="K60" s="478">
        <v>48708</v>
      </c>
      <c r="L60" s="478">
        <v>48738</v>
      </c>
      <c r="M60" s="478">
        <v>49113</v>
      </c>
      <c r="N60" s="478">
        <v>49951</v>
      </c>
      <c r="R60" s="478">
        <v>50246</v>
      </c>
      <c r="S60" s="478">
        <v>50707</v>
      </c>
      <c r="W60" s="650"/>
      <c r="X60" s="667" t="s">
        <v>46</v>
      </c>
      <c r="Y60" s="683">
        <v>42771</v>
      </c>
      <c r="Z60" s="684">
        <v>74573</v>
      </c>
      <c r="AA60" s="684">
        <v>43056</v>
      </c>
      <c r="AB60" s="684">
        <v>26524</v>
      </c>
      <c r="AC60" s="685">
        <v>4993</v>
      </c>
      <c r="AD60" s="686">
        <v>1482</v>
      </c>
      <c r="AE60" s="684">
        <v>127928</v>
      </c>
      <c r="AF60" s="683">
        <v>314416</v>
      </c>
      <c r="AG60" s="687">
        <v>0.33433650178225249</v>
      </c>
      <c r="AH60" s="688">
        <v>0.2371794056282123</v>
      </c>
      <c r="AI60" s="689">
        <v>6.6954527778150266E-2</v>
      </c>
    </row>
    <row r="61" spans="1:35" ht="20.149999999999999" customHeight="1" x14ac:dyDescent="0.2">
      <c r="J61" s="515">
        <v>1</v>
      </c>
      <c r="K61" s="515">
        <v>0.99850000000000005</v>
      </c>
      <c r="L61" s="515">
        <v>1.0005999999999999</v>
      </c>
      <c r="M61" s="515">
        <v>1.0077</v>
      </c>
      <c r="N61" s="515">
        <v>1.0170999999999999</v>
      </c>
      <c r="O61" s="515"/>
      <c r="P61" s="515"/>
      <c r="Q61" s="515"/>
      <c r="R61" s="515">
        <v>1.0059</v>
      </c>
      <c r="S61" s="515">
        <v>1.0092000000000001</v>
      </c>
      <c r="W61" s="650"/>
      <c r="X61" s="675"/>
      <c r="Y61" s="676"/>
      <c r="Z61" s="677"/>
      <c r="AA61" s="677" t="s">
        <v>275</v>
      </c>
      <c r="AB61" s="677"/>
      <c r="AC61" s="678"/>
      <c r="AD61" s="679">
        <v>3474</v>
      </c>
      <c r="AE61" s="677"/>
      <c r="AF61" s="677"/>
      <c r="AG61" s="680" t="s">
        <v>275</v>
      </c>
      <c r="AH61" s="680" t="s">
        <v>275</v>
      </c>
      <c r="AI61" s="681" t="s">
        <v>275</v>
      </c>
    </row>
    <row r="62" spans="1:35" ht="20.149999999999999" customHeight="1" x14ac:dyDescent="0.2">
      <c r="A62" s="477" t="s">
        <v>11</v>
      </c>
      <c r="C62" s="478" t="s">
        <v>477</v>
      </c>
      <c r="D62" s="478" t="s">
        <v>478</v>
      </c>
      <c r="E62" s="478" t="s">
        <v>479</v>
      </c>
      <c r="F62" s="478" t="s">
        <v>480</v>
      </c>
      <c r="G62" s="478" t="s">
        <v>682</v>
      </c>
      <c r="H62" s="478" t="s">
        <v>907</v>
      </c>
      <c r="I62" s="478" t="s">
        <v>1274</v>
      </c>
      <c r="J62" s="478">
        <v>76171</v>
      </c>
      <c r="K62" s="478">
        <v>76694</v>
      </c>
      <c r="L62" s="478">
        <v>77805</v>
      </c>
      <c r="M62" s="478">
        <v>78843</v>
      </c>
      <c r="N62" s="478">
        <v>80862</v>
      </c>
      <c r="R62" s="478">
        <v>81903</v>
      </c>
      <c r="S62" s="478">
        <v>83699</v>
      </c>
      <c r="W62" s="650"/>
      <c r="X62" s="667" t="s">
        <v>47</v>
      </c>
      <c r="Y62" s="683">
        <v>42615</v>
      </c>
      <c r="Z62" s="684">
        <v>74327</v>
      </c>
      <c r="AA62" s="684">
        <v>42988</v>
      </c>
      <c r="AB62" s="684">
        <v>26411</v>
      </c>
      <c r="AC62" s="685">
        <v>4928</v>
      </c>
      <c r="AD62" s="686">
        <v>1454</v>
      </c>
      <c r="AE62" s="684">
        <v>127916</v>
      </c>
      <c r="AF62" s="683">
        <v>314428</v>
      </c>
      <c r="AG62" s="687">
        <v>0.33314831608242912</v>
      </c>
      <c r="AH62" s="688">
        <v>0.23638798071418576</v>
      </c>
      <c r="AI62" s="689">
        <v>6.6301613141926896E-2</v>
      </c>
    </row>
    <row r="63" spans="1:35" ht="20.149999999999999" customHeight="1" x14ac:dyDescent="0.2">
      <c r="J63" s="515">
        <v>1</v>
      </c>
      <c r="K63" s="515">
        <v>1.0068999999999999</v>
      </c>
      <c r="L63" s="515">
        <v>1.0145</v>
      </c>
      <c r="M63" s="515">
        <v>1.0133000000000001</v>
      </c>
      <c r="N63" s="515">
        <v>1.0256000000000001</v>
      </c>
      <c r="O63" s="515"/>
      <c r="P63" s="515"/>
      <c r="Q63" s="515"/>
      <c r="R63" s="515">
        <v>1.0128999999999999</v>
      </c>
      <c r="S63" s="515">
        <v>1.0219</v>
      </c>
      <c r="W63" s="650"/>
      <c r="X63" s="675"/>
      <c r="Y63" s="676" t="s">
        <v>275</v>
      </c>
      <c r="Z63" s="677"/>
      <c r="AA63" s="677" t="s">
        <v>275</v>
      </c>
      <c r="AB63" s="677"/>
      <c r="AC63" s="691"/>
      <c r="AD63" s="679">
        <v>3434</v>
      </c>
      <c r="AE63" s="677"/>
      <c r="AF63" s="676"/>
      <c r="AG63" s="692" t="s">
        <v>275</v>
      </c>
      <c r="AH63" s="680" t="s">
        <v>275</v>
      </c>
      <c r="AI63" s="693" t="s">
        <v>275</v>
      </c>
    </row>
    <row r="64" spans="1:35" ht="20.149999999999999" customHeight="1" x14ac:dyDescent="0.2">
      <c r="B64" s="478" t="s">
        <v>1230</v>
      </c>
      <c r="C64" s="478" t="e">
        <v>#VALUE!</v>
      </c>
      <c r="D64" s="478" t="e">
        <v>#VALUE!</v>
      </c>
      <c r="E64" s="478" t="e">
        <v>#VALUE!</v>
      </c>
      <c r="F64" s="653" t="e">
        <v>#VALUE!</v>
      </c>
      <c r="G64" s="653" t="e">
        <v>#VALUE!</v>
      </c>
      <c r="H64" s="478" t="e">
        <v>#VALUE!</v>
      </c>
      <c r="W64" s="650"/>
      <c r="X64" s="667" t="s">
        <v>48</v>
      </c>
      <c r="Y64" s="683">
        <v>42579</v>
      </c>
      <c r="Z64" s="684">
        <v>74215</v>
      </c>
      <c r="AA64" s="684">
        <v>42976</v>
      </c>
      <c r="AB64" s="684">
        <v>26373</v>
      </c>
      <c r="AC64" s="685">
        <v>4866</v>
      </c>
      <c r="AD64" s="686">
        <v>1432</v>
      </c>
      <c r="AE64" s="684">
        <v>128003</v>
      </c>
      <c r="AF64" s="683">
        <v>314525</v>
      </c>
      <c r="AG64" s="687">
        <v>0.33264064123497106</v>
      </c>
      <c r="AH64" s="688">
        <v>0.23595898577219618</v>
      </c>
      <c r="AI64" s="689">
        <v>6.556626018998854E-2</v>
      </c>
    </row>
    <row r="65" spans="1:35" ht="20.149999999999999" customHeight="1" x14ac:dyDescent="0.2">
      <c r="A65" s="697"/>
      <c r="B65" s="654" t="s">
        <v>1232</v>
      </c>
      <c r="C65" s="654"/>
      <c r="D65" s="655" t="e">
        <v>#VALUE!</v>
      </c>
      <c r="E65" s="655" t="e">
        <v>#VALUE!</v>
      </c>
      <c r="F65" s="656" t="e">
        <v>#VALUE!</v>
      </c>
      <c r="G65" s="656" t="e">
        <v>#VALUE!</v>
      </c>
      <c r="H65" s="656" t="e">
        <v>#VALUE!</v>
      </c>
      <c r="W65" s="650"/>
      <c r="X65" s="675"/>
      <c r="Y65" s="676" t="s">
        <v>275</v>
      </c>
      <c r="Z65" s="677"/>
      <c r="AA65" s="677" t="s">
        <v>275</v>
      </c>
      <c r="AB65" s="677"/>
      <c r="AC65" s="691"/>
      <c r="AD65" s="679">
        <v>3581</v>
      </c>
      <c r="AE65" s="677"/>
      <c r="AF65" s="676"/>
      <c r="AG65" s="692" t="s">
        <v>275</v>
      </c>
      <c r="AH65" s="680" t="s">
        <v>275</v>
      </c>
      <c r="AI65" s="693" t="s">
        <v>275</v>
      </c>
    </row>
    <row r="66" spans="1:35" ht="20.149999999999999" customHeight="1" x14ac:dyDescent="0.25">
      <c r="B66" s="478" t="s">
        <v>486</v>
      </c>
      <c r="C66" s="478">
        <v>104263.83333333333</v>
      </c>
      <c r="D66" s="478">
        <v>105725.41666666667</v>
      </c>
      <c r="E66" s="478">
        <v>27409.75</v>
      </c>
      <c r="F66" s="659">
        <v>27918.666666666668</v>
      </c>
      <c r="G66" s="659">
        <v>28534.416666666668</v>
      </c>
      <c r="H66" s="659" t="s">
        <v>275</v>
      </c>
      <c r="W66" s="650"/>
      <c r="X66" s="667" t="s">
        <v>49</v>
      </c>
      <c r="Y66" s="683">
        <v>42491</v>
      </c>
      <c r="Z66" s="684">
        <v>74063</v>
      </c>
      <c r="AA66" s="684">
        <v>42773</v>
      </c>
      <c r="AB66" s="684">
        <v>26199</v>
      </c>
      <c r="AC66" s="685">
        <v>5091</v>
      </c>
      <c r="AD66" s="686">
        <v>1510</v>
      </c>
      <c r="AE66" s="684">
        <v>127958</v>
      </c>
      <c r="AF66" s="683">
        <v>314378</v>
      </c>
      <c r="AG66" s="687">
        <v>0.33206989793525998</v>
      </c>
      <c r="AH66" s="688">
        <v>0.23558582343548212</v>
      </c>
      <c r="AI66" s="689">
        <v>6.8738776447078834E-2</v>
      </c>
    </row>
    <row r="67" spans="1:35" ht="20.149999999999999" customHeight="1" x14ac:dyDescent="0.2">
      <c r="B67" s="654" t="s">
        <v>1241</v>
      </c>
      <c r="C67" s="655" t="e">
        <v>#VALUE!</v>
      </c>
      <c r="D67" s="655" t="e">
        <v>#VALUE!</v>
      </c>
      <c r="E67" s="655" t="e">
        <v>#VALUE!</v>
      </c>
      <c r="F67" s="655" t="e">
        <v>#VALUE!</v>
      </c>
      <c r="G67" s="655" t="e">
        <v>#VALUE!</v>
      </c>
      <c r="W67" s="650"/>
      <c r="X67" s="675"/>
      <c r="Y67" s="676" t="s">
        <v>275</v>
      </c>
      <c r="Z67" s="677" t="s">
        <v>275</v>
      </c>
      <c r="AA67" s="677" t="s">
        <v>275</v>
      </c>
      <c r="AB67" s="677"/>
      <c r="AC67" s="691"/>
      <c r="AD67" s="679">
        <v>3523</v>
      </c>
      <c r="AE67" s="677"/>
      <c r="AF67" s="676"/>
      <c r="AG67" s="692" t="s">
        <v>275</v>
      </c>
      <c r="AH67" s="680" t="s">
        <v>275</v>
      </c>
      <c r="AI67" s="693" t="s">
        <v>275</v>
      </c>
    </row>
    <row r="68" spans="1:35" ht="20.149999999999999" customHeight="1" x14ac:dyDescent="0.2">
      <c r="B68" s="654" t="s">
        <v>509</v>
      </c>
      <c r="C68" s="654"/>
      <c r="D68" s="655">
        <v>1.0140181238940318</v>
      </c>
      <c r="E68" s="655">
        <v>0.25925412132844117</v>
      </c>
      <c r="F68" s="655">
        <v>1.0185999999999999</v>
      </c>
      <c r="G68" s="655">
        <v>1.0221</v>
      </c>
      <c r="W68" s="650"/>
      <c r="X68" s="667" t="s">
        <v>50</v>
      </c>
      <c r="Y68" s="683">
        <v>42311</v>
      </c>
      <c r="Z68" s="684">
        <v>73832</v>
      </c>
      <c r="AA68" s="684">
        <v>42668</v>
      </c>
      <c r="AB68" s="684">
        <v>26168</v>
      </c>
      <c r="AC68" s="685">
        <v>4996</v>
      </c>
      <c r="AD68" s="686">
        <v>1473</v>
      </c>
      <c r="AE68" s="684">
        <v>127939</v>
      </c>
      <c r="AF68" s="683">
        <v>314320</v>
      </c>
      <c r="AG68" s="687">
        <v>0.33071229257693119</v>
      </c>
      <c r="AH68" s="688">
        <v>0.23489437515907355</v>
      </c>
      <c r="AI68" s="689">
        <v>6.7667136201105219E-2</v>
      </c>
    </row>
    <row r="69" spans="1:35" ht="20.149999999999999" customHeight="1" x14ac:dyDescent="0.2">
      <c r="W69" s="650"/>
      <c r="X69" s="675"/>
      <c r="Y69" s="676"/>
      <c r="Z69" s="677"/>
      <c r="AA69" s="677" t="s">
        <v>275</v>
      </c>
      <c r="AB69" s="677"/>
      <c r="AC69" s="691"/>
      <c r="AD69" s="679">
        <v>3500</v>
      </c>
      <c r="AE69" s="677"/>
      <c r="AF69" s="676"/>
      <c r="AG69" s="692" t="s">
        <v>275</v>
      </c>
      <c r="AH69" s="680" t="s">
        <v>275</v>
      </c>
      <c r="AI69" s="693" t="s">
        <v>275</v>
      </c>
    </row>
    <row r="70" spans="1:35" ht="20.149999999999999" customHeight="1" x14ac:dyDescent="0.2">
      <c r="D70" s="478" t="e">
        <v>#VALUE!</v>
      </c>
      <c r="E70" s="478" t="e">
        <v>#VALUE!</v>
      </c>
      <c r="F70" s="478" t="e">
        <v>#VALUE!</v>
      </c>
      <c r="G70" s="478" t="e">
        <v>#VALUE!</v>
      </c>
      <c r="H70" s="696" t="e">
        <v>#VALUE!</v>
      </c>
      <c r="W70" s="650"/>
      <c r="X70" s="667" t="s">
        <v>51</v>
      </c>
      <c r="Y70" s="683">
        <v>42369</v>
      </c>
      <c r="Z70" s="684">
        <v>73854</v>
      </c>
      <c r="AA70" s="684">
        <v>42776</v>
      </c>
      <c r="AB70" s="684">
        <v>26127</v>
      </c>
      <c r="AC70" s="685">
        <v>4951</v>
      </c>
      <c r="AD70" s="686">
        <v>1451</v>
      </c>
      <c r="AE70" s="684">
        <v>128253</v>
      </c>
      <c r="AF70" s="683">
        <v>314162</v>
      </c>
      <c r="AG70" s="687">
        <v>0.33035484550069005</v>
      </c>
      <c r="AH70" s="688">
        <v>0.23508253703503287</v>
      </c>
      <c r="AI70" s="689">
        <v>6.7037668914344511E-2</v>
      </c>
    </row>
    <row r="71" spans="1:35" ht="20.149999999999999" customHeight="1" x14ac:dyDescent="0.2">
      <c r="W71" s="650"/>
      <c r="X71" s="675" t="s">
        <v>69</v>
      </c>
      <c r="Y71" s="676" t="s">
        <v>69</v>
      </c>
      <c r="Z71" s="677" t="s">
        <v>69</v>
      </c>
      <c r="AA71" s="677" t="s">
        <v>69</v>
      </c>
      <c r="AB71" s="677" t="s">
        <v>69</v>
      </c>
      <c r="AC71" s="691" t="s">
        <v>69</v>
      </c>
      <c r="AD71" s="679">
        <v>41521</v>
      </c>
      <c r="AE71" s="677" t="s">
        <v>69</v>
      </c>
      <c r="AF71" s="676" t="s">
        <v>69</v>
      </c>
      <c r="AG71" s="692" t="s">
        <v>275</v>
      </c>
      <c r="AH71" s="680" t="s">
        <v>275</v>
      </c>
      <c r="AI71" s="693" t="s">
        <v>275</v>
      </c>
    </row>
    <row r="72" spans="1:35" ht="20.149999999999999" customHeight="1" x14ac:dyDescent="0.2">
      <c r="W72" s="650"/>
      <c r="X72" s="667" t="s">
        <v>52</v>
      </c>
      <c r="Y72" s="683">
        <v>512885</v>
      </c>
      <c r="Z72" s="684">
        <v>896068</v>
      </c>
      <c r="AA72" s="684">
        <v>518721</v>
      </c>
      <c r="AB72" s="684">
        <v>318141</v>
      </c>
      <c r="AC72" s="685">
        <v>59206</v>
      </c>
      <c r="AD72" s="686">
        <v>17685</v>
      </c>
      <c r="AE72" s="683">
        <v>1533937</v>
      </c>
      <c r="AF72" s="684">
        <v>3772084</v>
      </c>
      <c r="AG72" s="687">
        <v>0.33435858187135459</v>
      </c>
      <c r="AH72" s="688">
        <v>0.23755250413299386</v>
      </c>
      <c r="AI72" s="689">
        <v>6.6073110522862105E-2</v>
      </c>
    </row>
    <row r="73" spans="1:35" ht="20.149999999999999" customHeight="1" x14ac:dyDescent="0.2">
      <c r="W73" s="650"/>
      <c r="X73" s="675" t="s">
        <v>69</v>
      </c>
      <c r="Y73" s="676" t="s">
        <v>69</v>
      </c>
      <c r="Z73" s="677" t="s">
        <v>69</v>
      </c>
      <c r="AA73" s="677">
        <v>69738.5</v>
      </c>
      <c r="AB73" s="677" t="s">
        <v>69</v>
      </c>
      <c r="AC73" s="691" t="s">
        <v>69</v>
      </c>
      <c r="AD73" s="679">
        <v>3460.0833333333335</v>
      </c>
      <c r="AE73" s="677" t="s">
        <v>69</v>
      </c>
      <c r="AF73" s="676" t="s">
        <v>69</v>
      </c>
      <c r="AG73" s="692" t="s">
        <v>275</v>
      </c>
      <c r="AH73" s="680" t="s">
        <v>275</v>
      </c>
      <c r="AI73" s="693" t="s">
        <v>275</v>
      </c>
    </row>
    <row r="74" spans="1:35" ht="20.149999999999999" customHeight="1" x14ac:dyDescent="0.2">
      <c r="C74" s="478" t="s">
        <v>477</v>
      </c>
      <c r="D74" s="478" t="s">
        <v>478</v>
      </c>
      <c r="E74" s="478" t="s">
        <v>479</v>
      </c>
      <c r="F74" s="478" t="s">
        <v>480</v>
      </c>
      <c r="G74" s="478" t="s">
        <v>682</v>
      </c>
      <c r="H74" s="478" t="s">
        <v>907</v>
      </c>
      <c r="I74" s="478" t="s">
        <v>1158</v>
      </c>
      <c r="W74" s="650"/>
      <c r="X74" s="698" t="s">
        <v>53</v>
      </c>
      <c r="Y74" s="699">
        <v>42740.416666666664</v>
      </c>
      <c r="Z74" s="700">
        <v>74672.333333333328</v>
      </c>
      <c r="AA74" s="700">
        <v>43226.75</v>
      </c>
      <c r="AB74" s="700">
        <v>26511.75</v>
      </c>
      <c r="AC74" s="701">
        <v>4933.833333333333</v>
      </c>
      <c r="AD74" s="702">
        <v>1473.75</v>
      </c>
      <c r="AE74" s="699">
        <v>127828.08333333333</v>
      </c>
      <c r="AF74" s="700">
        <v>314340.33333333331</v>
      </c>
      <c r="AG74" s="703">
        <v>0.33435858187135453</v>
      </c>
      <c r="AH74" s="704">
        <v>0.23755250413299386</v>
      </c>
      <c r="AI74" s="705">
        <v>6.6073110522862105E-2</v>
      </c>
    </row>
    <row r="75" spans="1:35" ht="20.149999999999999" customHeight="1" x14ac:dyDescent="0.2">
      <c r="A75" s="477" t="s">
        <v>1336</v>
      </c>
      <c r="B75" s="478">
        <v>1</v>
      </c>
      <c r="C75" s="478">
        <v>78843</v>
      </c>
      <c r="D75" s="478">
        <v>81903</v>
      </c>
      <c r="E75" s="478">
        <v>85006</v>
      </c>
      <c r="F75" s="478">
        <v>87854</v>
      </c>
      <c r="G75" s="478">
        <v>91363</v>
      </c>
      <c r="H75" s="478">
        <v>94728</v>
      </c>
      <c r="W75" s="706" t="s">
        <v>1337</v>
      </c>
      <c r="X75" s="660" t="s">
        <v>69</v>
      </c>
      <c r="Y75" s="707"/>
      <c r="Z75" s="708"/>
      <c r="AA75" s="708"/>
      <c r="AB75" s="708"/>
      <c r="AC75" s="709"/>
      <c r="AD75" s="710">
        <v>40472</v>
      </c>
      <c r="AE75" s="708"/>
      <c r="AF75" s="707"/>
      <c r="AG75" s="711"/>
      <c r="AH75" s="712"/>
      <c r="AI75" s="713"/>
    </row>
    <row r="76" spans="1:35" ht="20.149999999999999" customHeight="1" x14ac:dyDescent="0.2">
      <c r="A76" s="477" t="s">
        <v>1339</v>
      </c>
      <c r="B76" s="478">
        <v>2</v>
      </c>
      <c r="C76" s="478">
        <v>478663</v>
      </c>
      <c r="D76" s="478">
        <v>497118</v>
      </c>
      <c r="E76" s="478">
        <v>515553</v>
      </c>
      <c r="F76" s="478">
        <v>534452</v>
      </c>
      <c r="G76" s="478">
        <v>555972</v>
      </c>
      <c r="H76" s="478">
        <v>471173</v>
      </c>
      <c r="W76" s="714" t="s">
        <v>593</v>
      </c>
      <c r="X76" s="667" t="s">
        <v>52</v>
      </c>
      <c r="Y76" s="715">
        <v>513266</v>
      </c>
      <c r="Z76" s="716">
        <v>898464</v>
      </c>
      <c r="AA76" s="716">
        <v>521217</v>
      </c>
      <c r="AB76" s="716">
        <v>319376</v>
      </c>
      <c r="AC76" s="717">
        <v>57871</v>
      </c>
      <c r="AD76" s="718">
        <v>17399</v>
      </c>
      <c r="AE76" s="715">
        <v>1530864</v>
      </c>
      <c r="AF76" s="716">
        <v>3771723</v>
      </c>
      <c r="AG76" s="719">
        <v>0.33527864003595353</v>
      </c>
      <c r="AH76" s="720">
        <v>0.23821049424891488</v>
      </c>
      <c r="AI76" s="721">
        <v>6.4411039284823876E-2</v>
      </c>
    </row>
    <row r="77" spans="1:35" ht="20.149999999999999" customHeight="1" x14ac:dyDescent="0.2">
      <c r="A77" s="477" t="s">
        <v>1342</v>
      </c>
      <c r="B77" s="478">
        <v>3</v>
      </c>
      <c r="C77" s="478">
        <v>399820</v>
      </c>
      <c r="D77" s="478">
        <v>415215</v>
      </c>
      <c r="E77" s="478">
        <v>430547</v>
      </c>
      <c r="F77" s="478">
        <v>446598</v>
      </c>
      <c r="G77" s="478">
        <v>464609</v>
      </c>
      <c r="H77" s="478">
        <v>376445</v>
      </c>
      <c r="W77" s="722" t="s">
        <v>1343</v>
      </c>
      <c r="X77" s="675" t="s">
        <v>69</v>
      </c>
      <c r="Y77" s="723"/>
      <c r="Z77" s="724"/>
      <c r="AA77" s="724">
        <v>70049.416666666672</v>
      </c>
      <c r="AB77" s="724"/>
      <c r="AC77" s="725"/>
      <c r="AD77" s="726">
        <v>3372.6666666666665</v>
      </c>
      <c r="AE77" s="724"/>
      <c r="AF77" s="723"/>
      <c r="AG77" s="727"/>
      <c r="AH77" s="728"/>
      <c r="AI77" s="729"/>
    </row>
    <row r="78" spans="1:35" ht="20.149999999999999" customHeight="1" x14ac:dyDescent="0.2">
      <c r="A78" s="477" t="s">
        <v>486</v>
      </c>
      <c r="B78" s="478">
        <v>4</v>
      </c>
      <c r="C78" s="478">
        <v>969433</v>
      </c>
      <c r="D78" s="478">
        <v>1006175</v>
      </c>
      <c r="E78" s="478">
        <v>1041789</v>
      </c>
      <c r="F78" s="478">
        <v>1082473</v>
      </c>
      <c r="G78" s="478">
        <v>1124972</v>
      </c>
      <c r="H78" s="478">
        <v>896068</v>
      </c>
      <c r="W78" s="730"/>
      <c r="X78" s="698" t="s">
        <v>53</v>
      </c>
      <c r="Y78" s="731">
        <v>42772.166666666664</v>
      </c>
      <c r="Z78" s="732">
        <v>74872</v>
      </c>
      <c r="AA78" s="732">
        <v>43434.75</v>
      </c>
      <c r="AB78" s="732">
        <v>26614.666666666668</v>
      </c>
      <c r="AC78" s="733">
        <v>4822.583333333333</v>
      </c>
      <c r="AD78" s="734">
        <v>1449.9166666666667</v>
      </c>
      <c r="AE78" s="731">
        <v>127572</v>
      </c>
      <c r="AF78" s="732">
        <v>314310.25</v>
      </c>
      <c r="AG78" s="735">
        <v>0.33527864003595353</v>
      </c>
      <c r="AH78" s="736">
        <v>0.23821049424891488</v>
      </c>
      <c r="AI78" s="737">
        <v>6.4411039284823876E-2</v>
      </c>
    </row>
    <row r="79" spans="1:35" ht="20.149999999999999" customHeight="1" x14ac:dyDescent="0.2">
      <c r="C79" s="478">
        <v>80786.083333333328</v>
      </c>
      <c r="D79" s="478">
        <v>83847.916666666672</v>
      </c>
      <c r="E79" s="478">
        <v>86815.75</v>
      </c>
      <c r="F79" s="478">
        <v>90206.083333333328</v>
      </c>
      <c r="G79" s="478">
        <v>93747.666666666672</v>
      </c>
      <c r="H79" s="478">
        <v>74672.333333333328</v>
      </c>
    </row>
    <row r="80" spans="1:35" ht="20.149999999999999" customHeight="1" x14ac:dyDescent="0.2">
      <c r="A80" s="477" t="s">
        <v>1347</v>
      </c>
      <c r="C80" s="738">
        <v>2.02529337</v>
      </c>
      <c r="D80" s="738">
        <v>2.0240164300000001</v>
      </c>
      <c r="E80" s="738">
        <v>2.02072144</v>
      </c>
      <c r="F80" s="738">
        <v>2.0253886200000002</v>
      </c>
      <c r="G80" s="738">
        <v>2.02343283</v>
      </c>
    </row>
    <row r="81" spans="1:8" ht="20.149999999999999" customHeight="1" x14ac:dyDescent="0.2">
      <c r="A81" s="477" t="s">
        <v>1348</v>
      </c>
      <c r="C81" s="738">
        <v>2.4246736000000002</v>
      </c>
      <c r="D81" s="738">
        <v>2.4232626499999999</v>
      </c>
      <c r="E81" s="738">
        <v>2.4196870499999998</v>
      </c>
      <c r="F81" s="738">
        <v>2.4238196300000001</v>
      </c>
      <c r="G81" s="738">
        <v>2.42133062</v>
      </c>
    </row>
    <row r="82" spans="1:8" ht="20.149999999999999" customHeight="1" x14ac:dyDescent="0.2">
      <c r="A82" s="477" t="s">
        <v>1349</v>
      </c>
      <c r="D82" s="738">
        <v>1.0379004999999999</v>
      </c>
      <c r="E82" s="738">
        <v>1.0353954299999999</v>
      </c>
      <c r="F82" s="738">
        <v>1.03905205</v>
      </c>
      <c r="G82" s="738">
        <v>1.03926103</v>
      </c>
      <c r="H82" s="738" t="s">
        <v>275</v>
      </c>
    </row>
    <row r="83" spans="1:8" ht="20.149999999999999" customHeight="1" x14ac:dyDescent="0.2">
      <c r="A83" s="477" t="s">
        <v>1351</v>
      </c>
      <c r="E83" s="478">
        <v>86969.35035953125</v>
      </c>
      <c r="F83" s="478">
        <v>90118.818755025</v>
      </c>
      <c r="G83" s="478">
        <v>93764.033128671654</v>
      </c>
      <c r="H83" s="478">
        <v>75997.191077552081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478">
        <v>89997.370567448728</v>
      </c>
      <c r="G86" s="478">
        <v>93563.891125751659</v>
      </c>
      <c r="H86" s="478">
        <v>97418.500926406676</v>
      </c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R86"/>
  <sheetViews>
    <sheetView zoomScale="75" workbookViewId="0">
      <pane xSplit="2" ySplit="6" topLeftCell="C7" activePane="bottomRight" state="frozen"/>
      <selection activeCell="C36" sqref="C36"/>
      <selection pane="topRight" activeCell="C36" sqref="C36"/>
      <selection pane="bottomLeft" activeCell="C36" sqref="C36"/>
      <selection pane="bottomRight" activeCell="L36" sqref="L36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4" ht="20.149999999999999" customHeight="1" x14ac:dyDescent="0.2">
      <c r="B1" s="478" t="s">
        <v>2828</v>
      </c>
      <c r="AJ1" s="478" t="s">
        <v>1032</v>
      </c>
    </row>
    <row r="2" spans="1:44" ht="20.149999999999999" customHeight="1" x14ac:dyDescent="0.2">
      <c r="A2" s="479" t="s">
        <v>815</v>
      </c>
      <c r="C2" s="480">
        <f>SUM(平成22年度!C17:C19)</f>
        <v>127171</v>
      </c>
      <c r="D2" s="480">
        <f>SUM(平成22年度!D17:D19)</f>
        <v>119944</v>
      </c>
      <c r="E2" s="480">
        <f>SUM(平成22年度!E17:E19)</f>
        <v>117050</v>
      </c>
      <c r="F2" s="480">
        <f>SUM(平成22年度!F17:F19)</f>
        <v>2894</v>
      </c>
      <c r="G2" s="480">
        <f>SUM(平成22年度!G17:G19)</f>
        <v>7227</v>
      </c>
      <c r="H2" s="480">
        <f>SUM(平成22年度!H17:H19)</f>
        <v>221749</v>
      </c>
      <c r="I2" s="480">
        <f>SUM(平成22年度!I17:I19)</f>
        <v>206711</v>
      </c>
      <c r="J2" s="480">
        <f>SUM(平成22年度!J17:J19)</f>
        <v>128217</v>
      </c>
      <c r="K2" s="480">
        <f>SUM(平成22年度!K17:K19)</f>
        <v>78494</v>
      </c>
      <c r="L2" s="480">
        <f>SUM(平成22年度!L17:L19)</f>
        <v>15038</v>
      </c>
      <c r="M2" s="480">
        <f>SUM(平成22年度!M17:M19)</f>
        <v>10604</v>
      </c>
      <c r="N2" s="480">
        <f>SUM(平成22年度!N17:N19)</f>
        <v>4434</v>
      </c>
      <c r="O2" s="480">
        <f>SUM(平成22年度!O17:O19)</f>
        <v>78940</v>
      </c>
      <c r="P2" s="480">
        <f>SUM(平成22年度!P17:P19)</f>
        <v>64869</v>
      </c>
      <c r="Q2" s="480">
        <f>SUM(平成22年度!Q17:Q19)</f>
        <v>14071</v>
      </c>
      <c r="R2" s="480">
        <f>SUM(平成22年度!R17:R19)</f>
        <v>384150</v>
      </c>
      <c r="S2" s="480">
        <f>SUM(平成22年度!S17:S19)</f>
        <v>942860</v>
      </c>
    </row>
    <row r="3" spans="1:44" ht="20.149999999999999" customHeight="1" x14ac:dyDescent="0.2">
      <c r="A3" s="479" t="s">
        <v>816</v>
      </c>
      <c r="B3" s="477"/>
      <c r="C3" s="477" t="s">
        <v>2829</v>
      </c>
      <c r="D3" s="477"/>
      <c r="E3" s="477" t="s">
        <v>1357</v>
      </c>
      <c r="F3" s="477"/>
      <c r="AJ3" s="481"/>
      <c r="AK3" s="482" t="s">
        <v>1038</v>
      </c>
      <c r="AL3" s="483" t="s">
        <v>1039</v>
      </c>
      <c r="AM3" s="484" t="s">
        <v>1040</v>
      </c>
      <c r="AN3" s="484" t="s">
        <v>1041</v>
      </c>
      <c r="AO3" s="484" t="s">
        <v>1042</v>
      </c>
      <c r="AP3" s="485" t="s">
        <v>1043</v>
      </c>
      <c r="AQ3" s="478" t="s">
        <v>1044</v>
      </c>
      <c r="AR3" s="478" t="s">
        <v>1045</v>
      </c>
    </row>
    <row r="4" spans="1:44" ht="20.149999999999999" customHeight="1" x14ac:dyDescent="0.2">
      <c r="A4" s="479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494" t="s">
        <v>1055</v>
      </c>
      <c r="AK4" s="495" t="e">
        <f>平成９年度!H21</f>
        <v>#VALUE!</v>
      </c>
      <c r="AL4" s="496" t="e">
        <f>平成９年度!C21</f>
        <v>#VALUE!</v>
      </c>
      <c r="AM4" s="497" t="e">
        <f>平成９年度!P21</f>
        <v>#VALUE!</v>
      </c>
      <c r="AN4" s="497" t="e">
        <f>平成９年度!O21</f>
        <v>#VALUE!</v>
      </c>
      <c r="AO4" s="498" t="e">
        <f>ROUND(+平成23年度!AK4/平成23年度!AM4,4)</f>
        <v>#VALUE!</v>
      </c>
      <c r="AP4" s="499" t="e">
        <f>ROUND(+平成23年度!AL4/平成23年度!AN4,4)</f>
        <v>#VALUE!</v>
      </c>
    </row>
    <row r="5" spans="1:44" ht="20.149999999999999" customHeight="1" x14ac:dyDescent="0.2">
      <c r="A5" s="479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3" t="s">
        <v>18</v>
      </c>
      <c r="K5" s="761" t="s">
        <v>2817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509" t="s">
        <v>1074</v>
      </c>
      <c r="AK5" s="510" t="e">
        <f>平成10年度!H21</f>
        <v>#VALUE!</v>
      </c>
      <c r="AL5" s="511" t="e">
        <f>平成10年度!C21</f>
        <v>#VALUE!</v>
      </c>
      <c r="AM5" s="512" t="e">
        <f>平成10年度!P21</f>
        <v>#VALUE!</v>
      </c>
      <c r="AN5" s="512" t="e">
        <f>平成10年度!O21</f>
        <v>#VALUE!</v>
      </c>
      <c r="AO5" s="513" t="e">
        <f>ROUND(+平成23年度!AK5/平成23年度!AM5,4)</f>
        <v>#VALUE!</v>
      </c>
      <c r="AP5" s="514" t="e">
        <f>ROUND(+平成23年度!AL5/平成23年度!AN5,4)</f>
        <v>#VALUE!</v>
      </c>
      <c r="AQ5" s="515" t="e">
        <f>ROUND((+平成23年度!AO5-平成23年度!AO4),4)</f>
        <v>#VALUE!</v>
      </c>
      <c r="AR5" s="515" t="e">
        <f>ROUND((+平成23年度!AP5-平成23年度!AP4),4)</f>
        <v>#VALUE!</v>
      </c>
    </row>
    <row r="6" spans="1:44" ht="20.149999999999999" customHeight="1" thickTop="1" x14ac:dyDescent="0.2">
      <c r="A6" s="479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509" t="s">
        <v>1088</v>
      </c>
      <c r="AK6" s="510">
        <f>平成11年度!H21</f>
        <v>83847.916666666672</v>
      </c>
      <c r="AL6" s="511">
        <f>平成11年度!C21</f>
        <v>42852.25</v>
      </c>
      <c r="AM6" s="512">
        <f>平成11年度!P21</f>
        <v>292958.75</v>
      </c>
      <c r="AN6" s="512">
        <f>平成11年度!O21</f>
        <v>105725.41666666667</v>
      </c>
      <c r="AO6" s="513">
        <f>ROUND(+平成23年度!AK6/平成23年度!AM6,4)</f>
        <v>0.28620000000000001</v>
      </c>
      <c r="AP6" s="514">
        <f>ROUND(+平成23年度!AL6/平成23年度!AN6,4)</f>
        <v>0.40529999999999999</v>
      </c>
      <c r="AQ6" s="515" t="e">
        <f>ROUND((+平成23年度!AO6-平成23年度!AO5),4)</f>
        <v>#VALUE!</v>
      </c>
      <c r="AR6" s="515" t="e">
        <f>ROUND((+平成23年度!AP6-平成23年度!AP5),4)</f>
        <v>#VALUE!</v>
      </c>
    </row>
    <row r="7" spans="1:44" ht="20.149999999999999" customHeight="1" x14ac:dyDescent="0.2">
      <c r="B7" s="758" t="s">
        <v>51</v>
      </c>
      <c r="C7" s="739">
        <v>42369</v>
      </c>
      <c r="D7" s="526">
        <v>39981</v>
      </c>
      <c r="E7" s="526">
        <v>39027</v>
      </c>
      <c r="F7" s="740">
        <v>954</v>
      </c>
      <c r="G7" s="754">
        <v>2388</v>
      </c>
      <c r="H7" s="529">
        <v>73854</v>
      </c>
      <c r="I7" s="527">
        <v>68903</v>
      </c>
      <c r="J7" s="759">
        <v>42776</v>
      </c>
      <c r="K7" s="742">
        <v>26127</v>
      </c>
      <c r="L7" s="526">
        <v>4951</v>
      </c>
      <c r="M7" s="740">
        <v>3500</v>
      </c>
      <c r="N7" s="741">
        <v>1451</v>
      </c>
      <c r="O7" s="739">
        <v>26313</v>
      </c>
      <c r="P7" s="526">
        <v>21666</v>
      </c>
      <c r="Q7" s="743">
        <v>4647</v>
      </c>
      <c r="R7" s="756">
        <v>128253</v>
      </c>
      <c r="S7" s="757">
        <v>314162</v>
      </c>
      <c r="T7" s="533">
        <v>0.33035484550069005</v>
      </c>
      <c r="U7" s="534">
        <v>0.23508253703503287</v>
      </c>
      <c r="V7" s="535">
        <v>6.7037668914344511E-2</v>
      </c>
      <c r="AJ7" s="509" t="s">
        <v>1074</v>
      </c>
      <c r="AK7" s="510">
        <f>平成10年度!H7</f>
        <v>0</v>
      </c>
      <c r="AL7" s="511">
        <f>平成10年度!C7</f>
        <v>0</v>
      </c>
      <c r="AM7" s="512">
        <f>平成10年度!P7</f>
        <v>0</v>
      </c>
      <c r="AN7" s="512">
        <f>平成10年度!O7</f>
        <v>0</v>
      </c>
      <c r="AO7" s="513">
        <f>ROUND(+平成22年度!AK7/平成22年度!AM7,4)</f>
        <v>0.28050000000000003</v>
      </c>
      <c r="AP7" s="514">
        <f>ROUND(+平成22年度!AL7/平成22年度!AN7,4)</f>
        <v>0.39810000000000001</v>
      </c>
      <c r="AQ7" s="515">
        <f>ROUND((+平成22年度!AO7-平成22年度!AO6),4)</f>
        <v>-5.7000000000000002E-3</v>
      </c>
      <c r="AR7" s="515">
        <f>ROUND((+平成22年度!AP7-平成22年度!AP6),4)</f>
        <v>-7.1999999999999998E-3</v>
      </c>
    </row>
    <row r="8" spans="1:44" ht="20.149999999999999" customHeight="1" x14ac:dyDescent="0.2">
      <c r="A8" s="479" t="s">
        <v>860</v>
      </c>
      <c r="B8" s="536" t="s">
        <v>40</v>
      </c>
      <c r="C8" s="739">
        <v>42957</v>
      </c>
      <c r="D8" s="526">
        <f>平成23年度!E8+平成23年度!F8</f>
        <v>40310</v>
      </c>
      <c r="E8" s="526">
        <f>平成23年度!C8-平成23年度!G8-平成23年度!F8</f>
        <v>39316</v>
      </c>
      <c r="F8" s="740">
        <v>994</v>
      </c>
      <c r="G8" s="741">
        <v>2647</v>
      </c>
      <c r="H8" s="529">
        <f>I8+L8</f>
        <v>74775</v>
      </c>
      <c r="I8" s="527">
        <v>69310</v>
      </c>
      <c r="J8" s="759">
        <v>43024</v>
      </c>
      <c r="K8" s="742">
        <v>26286</v>
      </c>
      <c r="L8" s="526">
        <f>平成23年度!M8+平成23年度!N8</f>
        <v>5465</v>
      </c>
      <c r="M8" s="740">
        <v>3827</v>
      </c>
      <c r="N8" s="741">
        <v>1638</v>
      </c>
      <c r="O8" s="739">
        <v>27118</v>
      </c>
      <c r="P8" s="526">
        <f t="shared" ref="P8:P19" si="0">O8-Q8</f>
        <v>21965</v>
      </c>
      <c r="Q8" s="743">
        <v>5153</v>
      </c>
      <c r="R8" s="744">
        <v>128558</v>
      </c>
      <c r="S8" s="745">
        <v>314405</v>
      </c>
      <c r="T8" s="534">
        <f>平成23年度!C8/平成23年度!R8</f>
        <v>0.33414489957840043</v>
      </c>
      <c r="U8" s="534">
        <f>平成23年度!H8/平成23年度!S8</f>
        <v>0.23783018717895707</v>
      </c>
      <c r="V8" s="535">
        <f>平成23年度!L8/平成23年度!H8</f>
        <v>7.3085924439986627E-2</v>
      </c>
      <c r="AJ8" s="509" t="s">
        <v>284</v>
      </c>
      <c r="AK8" s="510" t="e">
        <f>平成12年度!H21</f>
        <v>#VALUE!</v>
      </c>
      <c r="AL8" s="511">
        <f>平成12年度!C21</f>
        <v>44687.75</v>
      </c>
      <c r="AM8" s="512" t="e">
        <f>平成12年度!P21</f>
        <v>#VALUE!</v>
      </c>
      <c r="AN8" s="512">
        <f>平成12年度!O21</f>
        <v>27409.75</v>
      </c>
      <c r="AO8" s="513" t="e">
        <f>ROUND(+平成23年度!AK8/平成23年度!AM8,4)</f>
        <v>#VALUE!</v>
      </c>
      <c r="AP8" s="514">
        <f>ROUND(+平成23年度!AL8/平成23年度!AN8,4)</f>
        <v>1.6304000000000001</v>
      </c>
      <c r="AQ8" s="515" t="e">
        <f>ROUND((+平成23年度!AO8-平成23年度!AO6),4)</f>
        <v>#VALUE!</v>
      </c>
      <c r="AR8" s="515">
        <f>ROUND((+平成23年度!AP8-平成23年度!AP6),4)</f>
        <v>1.2251000000000001</v>
      </c>
    </row>
    <row r="9" spans="1:44" ht="20.149999999999999" customHeight="1" x14ac:dyDescent="0.2">
      <c r="A9" s="479" t="s">
        <v>862</v>
      </c>
      <c r="B9" s="536" t="s">
        <v>41</v>
      </c>
      <c r="C9" s="739">
        <v>42937</v>
      </c>
      <c r="D9" s="526">
        <f>平成23年度!E9+平成23年度!F9</f>
        <v>40272</v>
      </c>
      <c r="E9" s="526">
        <f>平成23年度!C9-平成23年度!G9-平成23年度!F9</f>
        <v>39279</v>
      </c>
      <c r="F9" s="740">
        <v>993</v>
      </c>
      <c r="G9" s="741">
        <v>2665</v>
      </c>
      <c r="H9" s="529">
        <f t="shared" ref="H9:H19" si="1">I9+L9</f>
        <v>74578</v>
      </c>
      <c r="I9" s="527">
        <v>69100</v>
      </c>
      <c r="J9" s="759">
        <v>42857</v>
      </c>
      <c r="K9" s="742">
        <v>26243</v>
      </c>
      <c r="L9" s="526">
        <f>平成23年度!M9+平成23年度!N9</f>
        <v>5478</v>
      </c>
      <c r="M9" s="740">
        <v>3843</v>
      </c>
      <c r="N9" s="741">
        <v>1635</v>
      </c>
      <c r="O9" s="739">
        <v>27123</v>
      </c>
      <c r="P9" s="526">
        <f t="shared" si="0"/>
        <v>21965</v>
      </c>
      <c r="Q9" s="743">
        <v>5158</v>
      </c>
      <c r="R9" s="746">
        <v>128700</v>
      </c>
      <c r="S9" s="747">
        <v>314490</v>
      </c>
      <c r="T9" s="534">
        <f>平成23年度!C9/平成23年度!R9</f>
        <v>0.33362082362082363</v>
      </c>
      <c r="U9" s="534">
        <f>平成23年度!H9/平成23年度!S9</f>
        <v>0.23713949569143694</v>
      </c>
      <c r="V9" s="535">
        <f>平成23年度!L9/平成23年度!H9</f>
        <v>7.3453297219019012E-2</v>
      </c>
      <c r="AJ9" s="509" t="s">
        <v>607</v>
      </c>
      <c r="AK9" s="510" t="e">
        <f>平成13年度!H21</f>
        <v>#VALUE!</v>
      </c>
      <c r="AL9" s="511">
        <f>平成13年度!C21</f>
        <v>46751.916666666664</v>
      </c>
      <c r="AM9" s="512" t="e">
        <f>平成13年度!P21</f>
        <v>#VALUE!</v>
      </c>
      <c r="AN9" s="512">
        <f>平成13年度!O21</f>
        <v>27918.666666666668</v>
      </c>
      <c r="AO9" s="513" t="e">
        <f>ROUND(+平成23年度!AK9/平成23年度!AM9,4)</f>
        <v>#VALUE!</v>
      </c>
      <c r="AP9" s="514">
        <f>ROUND(+平成23年度!AL9/平成23年度!AN9,4)</f>
        <v>1.6746000000000001</v>
      </c>
      <c r="AQ9" s="515" t="e">
        <f>ROUND((+平成23年度!AO9-平成23年度!AO8),4)</f>
        <v>#VALUE!</v>
      </c>
      <c r="AR9" s="515">
        <f>ROUND((+平成23年度!AP9-平成23年度!AP8),4)</f>
        <v>4.4200000000000003E-2</v>
      </c>
    </row>
    <row r="10" spans="1:44" ht="20.149999999999999" customHeight="1" thickBot="1" x14ac:dyDescent="0.25">
      <c r="A10" s="479" t="s">
        <v>864</v>
      </c>
      <c r="B10" s="537" t="s">
        <v>42</v>
      </c>
      <c r="C10" s="739">
        <v>42932</v>
      </c>
      <c r="D10" s="526">
        <f>平成23年度!E10+平成23年度!F10</f>
        <v>40245</v>
      </c>
      <c r="E10" s="526">
        <f>平成23年度!C10-平成23年度!G10-平成23年度!F10</f>
        <v>39266</v>
      </c>
      <c r="F10" s="740">
        <v>979</v>
      </c>
      <c r="G10" s="741">
        <v>2687</v>
      </c>
      <c r="H10" s="529">
        <f t="shared" si="1"/>
        <v>74522</v>
      </c>
      <c r="I10" s="527">
        <v>69034</v>
      </c>
      <c r="J10" s="759">
        <v>42811</v>
      </c>
      <c r="K10" s="742">
        <v>26223</v>
      </c>
      <c r="L10" s="526">
        <f>平成23年度!M10+平成23年度!N10</f>
        <v>5488</v>
      </c>
      <c r="M10" s="740">
        <v>3847</v>
      </c>
      <c r="N10" s="741">
        <v>1641</v>
      </c>
      <c r="O10" s="739">
        <v>27139</v>
      </c>
      <c r="P10" s="526">
        <f t="shared" si="0"/>
        <v>21987</v>
      </c>
      <c r="Q10" s="743">
        <v>5152</v>
      </c>
      <c r="R10" s="748">
        <v>128786</v>
      </c>
      <c r="S10" s="740">
        <v>314572</v>
      </c>
      <c r="T10" s="534">
        <f>平成23年度!C10/平成23年度!R10</f>
        <v>0.33335921606385788</v>
      </c>
      <c r="U10" s="534">
        <f>平成23年度!H10/平成23年度!S10</f>
        <v>0.23689966049107994</v>
      </c>
      <c r="V10" s="535">
        <f>平成23年度!L10/平成23年度!H10</f>
        <v>7.3642682697726849E-2</v>
      </c>
      <c r="AJ10" s="538" t="s">
        <v>817</v>
      </c>
      <c r="AK10" s="539" t="e">
        <f>平成14年度!H21</f>
        <v>#VALUE!</v>
      </c>
      <c r="AL10" s="540">
        <f>平成14年度!C21</f>
        <v>48834.416666666664</v>
      </c>
      <c r="AM10" s="541" t="e">
        <f>平成14年度!P21</f>
        <v>#VALUE!</v>
      </c>
      <c r="AN10" s="541">
        <f>平成14年度!O21</f>
        <v>28534.416666666668</v>
      </c>
      <c r="AO10" s="542" t="e">
        <f>ROUND(+平成23年度!AK10/平成23年度!AM10,4)</f>
        <v>#VALUE!</v>
      </c>
      <c r="AP10" s="543">
        <f>ROUND(+平成23年度!AL10/平成23年度!AN10,4)</f>
        <v>1.7114</v>
      </c>
      <c r="AQ10" s="515" t="e">
        <f>ROUND((+平成23年度!AO10-平成23年度!AO9),4)</f>
        <v>#VALUE!</v>
      </c>
      <c r="AR10" s="515">
        <f>ROUND((+平成23年度!AP10-平成23年度!AP9),4)</f>
        <v>3.6799999999999999E-2</v>
      </c>
    </row>
    <row r="11" spans="1:44" ht="20.149999999999999" customHeight="1" thickTop="1" thickBot="1" x14ac:dyDescent="0.25">
      <c r="A11" s="479" t="s">
        <v>866</v>
      </c>
      <c r="B11" s="537" t="s">
        <v>43</v>
      </c>
      <c r="C11" s="739">
        <v>42957</v>
      </c>
      <c r="D11" s="526">
        <f>平成23年度!E11+平成23年度!F11</f>
        <v>40235</v>
      </c>
      <c r="E11" s="526">
        <f>平成23年度!C11-平成23年度!G11-平成23年度!F11</f>
        <v>39234</v>
      </c>
      <c r="F11" s="740">
        <v>1001</v>
      </c>
      <c r="G11" s="741">
        <v>2722</v>
      </c>
      <c r="H11" s="529">
        <f t="shared" si="1"/>
        <v>74602</v>
      </c>
      <c r="I11" s="527">
        <v>69025</v>
      </c>
      <c r="J11" s="759">
        <f t="shared" ref="J11:J19" si="2">I11-K11</f>
        <v>42776</v>
      </c>
      <c r="K11" s="742">
        <v>26249</v>
      </c>
      <c r="L11" s="526">
        <f>平成23年度!M11+平成23年度!N11</f>
        <v>5577</v>
      </c>
      <c r="M11" s="740">
        <v>3912</v>
      </c>
      <c r="N11" s="741">
        <v>1665</v>
      </c>
      <c r="O11" s="739">
        <v>27171</v>
      </c>
      <c r="P11" s="526">
        <f t="shared" si="0"/>
        <v>21958</v>
      </c>
      <c r="Q11" s="743">
        <v>5213</v>
      </c>
      <c r="R11" s="748">
        <v>128814</v>
      </c>
      <c r="S11" s="740">
        <v>314542</v>
      </c>
      <c r="T11" s="534">
        <f>平成23年度!C11/平成23年度!R11</f>
        <v>0.33348083282872981</v>
      </c>
      <c r="U11" s="534">
        <f>平成23年度!H11/平成23年度!S11</f>
        <v>0.23717659326894341</v>
      </c>
      <c r="V11" s="535">
        <f>平成23年度!L11/平成23年度!H11</f>
        <v>7.4756708935417276E-2</v>
      </c>
      <c r="AJ11" s="544" t="s">
        <v>907</v>
      </c>
      <c r="AK11" s="545" t="e">
        <f>平成23年度!H21</f>
        <v>#VALUE!</v>
      </c>
      <c r="AL11" s="546" t="e">
        <f>平成23年度!C21</f>
        <v>#VALUE!</v>
      </c>
      <c r="AM11" s="547" t="e">
        <f>平成23年度!S21</f>
        <v>#VALUE!</v>
      </c>
      <c r="AN11" s="547" t="e">
        <f>平成23年度!R21</f>
        <v>#VALUE!</v>
      </c>
      <c r="AO11" s="548" t="e">
        <f>ROUND(+平成23年度!AK11/平成23年度!AM11,4)</f>
        <v>#VALUE!</v>
      </c>
      <c r="AP11" s="549" t="e">
        <f>ROUND(+平成23年度!AL11/平成23年度!AN11,4)</f>
        <v>#VALUE!</v>
      </c>
      <c r="AQ11" s="515" t="e">
        <f>ROUND((+平成23年度!AO11-平成23年度!AO10),4)</f>
        <v>#VALUE!</v>
      </c>
      <c r="AR11" s="515" t="e">
        <f>ROUND((+平成23年度!AP11-平成23年度!AP10),4)</f>
        <v>#VALUE!</v>
      </c>
    </row>
    <row r="12" spans="1:44" ht="20.149999999999999" customHeight="1" thickTop="1" thickBot="1" x14ac:dyDescent="0.25">
      <c r="A12" s="479" t="s">
        <v>868</v>
      </c>
      <c r="B12" s="537" t="s">
        <v>44</v>
      </c>
      <c r="C12" s="739">
        <v>42891</v>
      </c>
      <c r="D12" s="526">
        <f>平成23年度!E12+平成23年度!F12</f>
        <v>40131</v>
      </c>
      <c r="E12" s="526">
        <f>平成23年度!C12-平成23年度!G12-平成23年度!F12</f>
        <v>39066</v>
      </c>
      <c r="F12" s="740">
        <v>1065</v>
      </c>
      <c r="G12" s="741">
        <v>2760</v>
      </c>
      <c r="H12" s="529">
        <f t="shared" si="1"/>
        <v>74403</v>
      </c>
      <c r="I12" s="527">
        <v>68732</v>
      </c>
      <c r="J12" s="759">
        <f t="shared" si="2"/>
        <v>42479</v>
      </c>
      <c r="K12" s="742">
        <v>26253</v>
      </c>
      <c r="L12" s="526">
        <f>平成23年度!M12+平成23年度!N12</f>
        <v>5671</v>
      </c>
      <c r="M12" s="740">
        <v>4024</v>
      </c>
      <c r="N12" s="741">
        <v>1647</v>
      </c>
      <c r="O12" s="739">
        <v>27067</v>
      </c>
      <c r="P12" s="526">
        <f t="shared" si="0"/>
        <v>21766</v>
      </c>
      <c r="Q12" s="743">
        <v>5301</v>
      </c>
      <c r="R12" s="748">
        <v>128958</v>
      </c>
      <c r="S12" s="740">
        <v>314721</v>
      </c>
      <c r="T12" s="534">
        <f>平成23年度!C12/平成23年度!R12</f>
        <v>0.33259665937747174</v>
      </c>
      <c r="U12" s="534">
        <f>平成23年度!H12/平成23年度!S12</f>
        <v>0.23640939117504076</v>
      </c>
      <c r="V12" s="535">
        <f>平成23年度!L12/平成23年度!H12</f>
        <v>7.6220044890663016E-2</v>
      </c>
      <c r="AJ12" s="478" t="s">
        <v>1103</v>
      </c>
    </row>
    <row r="13" spans="1:44" ht="20.149999999999999" customHeight="1" thickTop="1" thickBot="1" x14ac:dyDescent="0.25">
      <c r="A13" s="550" t="s">
        <v>275</v>
      </c>
      <c r="B13" s="536" t="s">
        <v>45</v>
      </c>
      <c r="C13" s="739">
        <v>42804</v>
      </c>
      <c r="D13" s="526">
        <f>平成23年度!E13+平成23年度!F13</f>
        <v>40092</v>
      </c>
      <c r="E13" s="526">
        <f>平成23年度!C13-平成23年度!G13-平成23年度!F13</f>
        <v>39023</v>
      </c>
      <c r="F13" s="740">
        <v>1069</v>
      </c>
      <c r="G13" s="741">
        <v>2712</v>
      </c>
      <c r="H13" s="529">
        <f t="shared" si="1"/>
        <v>74218</v>
      </c>
      <c r="I13" s="527">
        <v>68629</v>
      </c>
      <c r="J13" s="759">
        <f t="shared" si="2"/>
        <v>42366</v>
      </c>
      <c r="K13" s="742">
        <v>26263</v>
      </c>
      <c r="L13" s="526">
        <f>平成23年度!M13+平成23年度!N13</f>
        <v>5589</v>
      </c>
      <c r="M13" s="740">
        <v>3977</v>
      </c>
      <c r="N13" s="741">
        <v>1612</v>
      </c>
      <c r="O13" s="739">
        <v>26975</v>
      </c>
      <c r="P13" s="526">
        <f t="shared" si="0"/>
        <v>21756</v>
      </c>
      <c r="Q13" s="743">
        <v>5219</v>
      </c>
      <c r="R13" s="748">
        <v>128968</v>
      </c>
      <c r="S13" s="740">
        <v>314623</v>
      </c>
      <c r="T13" s="534">
        <f>平成23年度!C13/平成23年度!R13</f>
        <v>0.33189628434960611</v>
      </c>
      <c r="U13" s="534">
        <f>平成23年度!H13/平成23年度!S13</f>
        <v>0.23589502356788919</v>
      </c>
      <c r="V13" s="535">
        <f>平成23年度!L13/平成23年度!H13</f>
        <v>7.5305182031313159E-2</v>
      </c>
      <c r="AJ13" s="544" t="s">
        <v>1106</v>
      </c>
      <c r="AK13" s="551" t="e">
        <f>平成23年度!AK10/平成23年度!AK4</f>
        <v>#VALUE!</v>
      </c>
      <c r="AL13" s="552" t="e">
        <f>平成23年度!AL10/平成23年度!AL4</f>
        <v>#VALUE!</v>
      </c>
      <c r="AM13" s="552" t="e">
        <f>平成23年度!AM10/平成23年度!AM4</f>
        <v>#VALUE!</v>
      </c>
      <c r="AN13" s="552" t="e">
        <f>平成23年度!AN10/平成23年度!AN4</f>
        <v>#VALUE!</v>
      </c>
      <c r="AO13" s="553" t="e">
        <f>平成23年度!AO10/平成23年度!AO4</f>
        <v>#VALUE!</v>
      </c>
      <c r="AP13" s="549" t="e">
        <f>平成23年度!AP10/平成23年度!AP4</f>
        <v>#VALUE!</v>
      </c>
    </row>
    <row r="14" spans="1:44" ht="20.149999999999999" customHeight="1" thickTop="1" x14ac:dyDescent="0.2">
      <c r="A14" s="550" t="s">
        <v>275</v>
      </c>
      <c r="B14" s="536" t="s">
        <v>46</v>
      </c>
      <c r="C14" s="739">
        <v>42820</v>
      </c>
      <c r="D14" s="526">
        <f>平成23年度!E14+平成23年度!F14</f>
        <v>40067</v>
      </c>
      <c r="E14" s="526">
        <f>平成23年度!C14-平成23年度!G14-平成23年度!F14</f>
        <v>39005</v>
      </c>
      <c r="F14" s="740">
        <v>1062</v>
      </c>
      <c r="G14" s="741">
        <v>2753</v>
      </c>
      <c r="H14" s="529">
        <f t="shared" si="1"/>
        <v>74259</v>
      </c>
      <c r="I14" s="527">
        <v>68621</v>
      </c>
      <c r="J14" s="759">
        <f t="shared" si="2"/>
        <v>42296</v>
      </c>
      <c r="K14" s="742">
        <v>26325</v>
      </c>
      <c r="L14" s="526">
        <f>平成23年度!M14+平成23年度!N14</f>
        <v>5638</v>
      </c>
      <c r="M14" s="740">
        <v>4020</v>
      </c>
      <c r="N14" s="741">
        <v>1618</v>
      </c>
      <c r="O14" s="739">
        <v>26965</v>
      </c>
      <c r="P14" s="526">
        <f t="shared" si="0"/>
        <v>21703</v>
      </c>
      <c r="Q14" s="743">
        <v>5262</v>
      </c>
      <c r="R14" s="748">
        <v>128979</v>
      </c>
      <c r="S14" s="740">
        <v>314576</v>
      </c>
      <c r="T14" s="534">
        <f>平成23年度!C14/平成23年度!R14</f>
        <v>0.33199202971026293</v>
      </c>
      <c r="U14" s="534">
        <f>平成23年度!H14/平成23年度!S14</f>
        <v>0.2360606022074157</v>
      </c>
      <c r="V14" s="535">
        <f>平成23年度!L14/平成23年度!H14</f>
        <v>7.5923457089376367E-2</v>
      </c>
    </row>
    <row r="15" spans="1:44" ht="20.149999999999999" customHeight="1" x14ac:dyDescent="0.2">
      <c r="A15" s="550" t="s">
        <v>2827</v>
      </c>
      <c r="B15" s="537" t="s">
        <v>47</v>
      </c>
      <c r="C15" s="739">
        <v>42793</v>
      </c>
      <c r="D15" s="526">
        <f>平成23年度!E15+平成23年度!F15</f>
        <v>40095</v>
      </c>
      <c r="E15" s="526">
        <f>平成23年度!C15-平成23年度!G15-平成23年度!F15</f>
        <v>39039</v>
      </c>
      <c r="F15" s="740">
        <v>1056</v>
      </c>
      <c r="G15" s="741">
        <v>2698</v>
      </c>
      <c r="H15" s="529">
        <f t="shared" si="1"/>
        <v>74113</v>
      </c>
      <c r="I15" s="527">
        <v>68574</v>
      </c>
      <c r="J15" s="759">
        <f t="shared" si="2"/>
        <v>42168</v>
      </c>
      <c r="K15" s="742">
        <v>26406</v>
      </c>
      <c r="L15" s="526">
        <f>平成23年度!M15+平成23年度!N15</f>
        <v>5539</v>
      </c>
      <c r="M15" s="740">
        <v>3951</v>
      </c>
      <c r="N15" s="741">
        <v>1588</v>
      </c>
      <c r="O15" s="739">
        <v>26869</v>
      </c>
      <c r="P15" s="526">
        <f t="shared" si="0"/>
        <v>21693</v>
      </c>
      <c r="Q15" s="743">
        <v>5176</v>
      </c>
      <c r="R15" s="744">
        <v>129035</v>
      </c>
      <c r="S15" s="745">
        <v>314509</v>
      </c>
      <c r="T15" s="534">
        <f>平成23年度!C15/平成23年度!R15</f>
        <v>0.33163870267756812</v>
      </c>
      <c r="U15" s="534">
        <f>平成23年度!H15/平成23年度!S15</f>
        <v>0.23564667465795891</v>
      </c>
      <c r="V15" s="535">
        <f>平成23年度!L15/平成23年度!H15</f>
        <v>7.4737225587953524E-2</v>
      </c>
      <c r="AJ15" s="478" t="s">
        <v>1111</v>
      </c>
    </row>
    <row r="16" spans="1:44" ht="20.149999999999999" customHeight="1" thickBot="1" x14ac:dyDescent="0.25">
      <c r="A16" s="477" t="s">
        <v>275</v>
      </c>
      <c r="B16" s="536" t="s">
        <v>48</v>
      </c>
      <c r="C16" s="739">
        <v>42725</v>
      </c>
      <c r="D16" s="526">
        <f>平成23年度!E16+平成23年度!F16</f>
        <v>40071</v>
      </c>
      <c r="E16" s="526">
        <f>平成23年度!C16-平成23年度!G16-平成23年度!F16</f>
        <v>39011</v>
      </c>
      <c r="F16" s="740">
        <v>1060</v>
      </c>
      <c r="G16" s="741">
        <v>2654</v>
      </c>
      <c r="H16" s="529">
        <f t="shared" si="1"/>
        <v>73987</v>
      </c>
      <c r="I16" s="527">
        <v>68508</v>
      </c>
      <c r="J16" s="759">
        <f t="shared" si="2"/>
        <v>42041</v>
      </c>
      <c r="K16" s="742">
        <v>26467</v>
      </c>
      <c r="L16" s="526">
        <f>平成23年度!M16+平成23年度!N16</f>
        <v>5479</v>
      </c>
      <c r="M16" s="740">
        <v>3905</v>
      </c>
      <c r="N16" s="741">
        <v>1574</v>
      </c>
      <c r="O16" s="739">
        <v>26758</v>
      </c>
      <c r="P16" s="526">
        <f t="shared" si="0"/>
        <v>21658</v>
      </c>
      <c r="Q16" s="743">
        <v>5100</v>
      </c>
      <c r="R16" s="744">
        <v>129003</v>
      </c>
      <c r="S16" s="749">
        <v>314453</v>
      </c>
      <c r="T16" s="554">
        <f>平成23年度!C16/平成23年度!R16</f>
        <v>0.33119384820508052</v>
      </c>
      <c r="U16" s="534">
        <f>平成23年度!H16/平成23年度!S16</f>
        <v>0.23528794446228848</v>
      </c>
      <c r="V16" s="535">
        <f>平成23年度!L16/平成23年度!H16</f>
        <v>7.4053549947963829E-2</v>
      </c>
    </row>
    <row r="17" spans="1:44" ht="20.149999999999999" customHeight="1" thickTop="1" thickBot="1" x14ac:dyDescent="0.25">
      <c r="B17" s="536" t="s">
        <v>49</v>
      </c>
      <c r="C17" s="739">
        <v>42592</v>
      </c>
      <c r="D17" s="526">
        <f>平成23年度!E17+平成23年度!F17</f>
        <v>39951</v>
      </c>
      <c r="E17" s="526">
        <f>平成23年度!C17-平成23年度!G17-平成23年度!F17</f>
        <v>38889</v>
      </c>
      <c r="F17" s="740">
        <v>1062</v>
      </c>
      <c r="G17" s="754">
        <v>2641</v>
      </c>
      <c r="H17" s="595">
        <f t="shared" si="1"/>
        <v>73765</v>
      </c>
      <c r="I17" s="527">
        <v>68289</v>
      </c>
      <c r="J17" s="759">
        <f t="shared" si="2"/>
        <v>41924</v>
      </c>
      <c r="K17" s="742">
        <v>26365</v>
      </c>
      <c r="L17" s="526">
        <f>平成23年度!M17+平成23年度!N17</f>
        <v>5476</v>
      </c>
      <c r="M17" s="740">
        <v>3902</v>
      </c>
      <c r="N17" s="741">
        <v>1574</v>
      </c>
      <c r="O17" s="739">
        <v>26637</v>
      </c>
      <c r="P17" s="526">
        <f t="shared" si="0"/>
        <v>21576</v>
      </c>
      <c r="Q17" s="743">
        <v>5061</v>
      </c>
      <c r="R17" s="750">
        <v>128957</v>
      </c>
      <c r="S17" s="751">
        <v>314226</v>
      </c>
      <c r="T17" s="533">
        <f>平成23年度!C17/平成23年度!R17</f>
        <v>0.33028063618105258</v>
      </c>
      <c r="U17" s="534">
        <f>平成23年度!H17/平成23年度!S17</f>
        <v>0.23475142095179902</v>
      </c>
      <c r="V17" s="535">
        <f>平成23年度!L17/平成23年度!H17</f>
        <v>7.4235748661289236E-2</v>
      </c>
      <c r="AJ17" s="481"/>
      <c r="AK17" s="482" t="s">
        <v>1038</v>
      </c>
      <c r="AL17" s="483" t="s">
        <v>1039</v>
      </c>
      <c r="AM17" s="484" t="s">
        <v>1040</v>
      </c>
      <c r="AN17" s="484" t="s">
        <v>1041</v>
      </c>
      <c r="AO17" s="484" t="s">
        <v>1042</v>
      </c>
      <c r="AP17" s="485" t="s">
        <v>1043</v>
      </c>
      <c r="AQ17" s="478" t="s">
        <v>1044</v>
      </c>
      <c r="AR17" s="478" t="s">
        <v>1045</v>
      </c>
    </row>
    <row r="18" spans="1:44" ht="20.149999999999999" customHeight="1" thickTop="1" x14ac:dyDescent="0.2">
      <c r="B18" s="537" t="s">
        <v>50</v>
      </c>
      <c r="C18" s="739">
        <v>42469</v>
      </c>
      <c r="D18" s="526">
        <f>平成23年度!E18+平成23年度!F18</f>
        <v>39879</v>
      </c>
      <c r="E18" s="526">
        <f>平成23年度!C18-平成23年度!G18-平成23年度!F18</f>
        <v>38838</v>
      </c>
      <c r="F18" s="740">
        <v>1041</v>
      </c>
      <c r="G18" s="754">
        <v>2590</v>
      </c>
      <c r="H18" s="529">
        <f t="shared" si="1"/>
        <v>73572</v>
      </c>
      <c r="I18" s="527">
        <v>68207</v>
      </c>
      <c r="J18" s="759">
        <f t="shared" si="2"/>
        <v>41798</v>
      </c>
      <c r="K18" s="742">
        <v>26409</v>
      </c>
      <c r="L18" s="526">
        <f>平成23年度!M18+平成23年度!N18</f>
        <v>5365</v>
      </c>
      <c r="M18" s="740">
        <v>3822</v>
      </c>
      <c r="N18" s="741">
        <v>1543</v>
      </c>
      <c r="O18" s="739">
        <v>26534</v>
      </c>
      <c r="P18" s="526">
        <f t="shared" si="0"/>
        <v>21577</v>
      </c>
      <c r="Q18" s="743">
        <v>4957</v>
      </c>
      <c r="R18" s="765">
        <v>128936</v>
      </c>
      <c r="S18" s="766">
        <v>314089</v>
      </c>
      <c r="T18" s="533">
        <f>平成23年度!C18/平成23年度!R18</f>
        <v>0.32938046782900043</v>
      </c>
      <c r="U18" s="534">
        <f>平成23年度!H18/平成23年度!S18</f>
        <v>0.23423933980495973</v>
      </c>
      <c r="V18" s="535">
        <f>平成23年度!L18/平成23年度!H18</f>
        <v>7.2921763714456592E-2</v>
      </c>
      <c r="AJ18" s="494" t="s">
        <v>1055</v>
      </c>
      <c r="AK18" s="555">
        <f>平成９年度!H19</f>
        <v>78843</v>
      </c>
      <c r="AL18" s="496">
        <f>平成９年度!C19</f>
        <v>39808</v>
      </c>
      <c r="AM18" s="497">
        <f>平成９年度!P19</f>
        <v>291366</v>
      </c>
      <c r="AN18" s="497">
        <f>平成９年度!O19</f>
        <v>103255</v>
      </c>
      <c r="AO18" s="498">
        <f>ROUND(+平成23年度!AK18/平成23年度!AM18,4)</f>
        <v>0.27060000000000001</v>
      </c>
      <c r="AP18" s="499">
        <f>ROUND(+平成23年度!AL18/平成23年度!AN18,4)</f>
        <v>0.38550000000000001</v>
      </c>
    </row>
    <row r="19" spans="1:44" ht="20.149999999999999" customHeight="1" x14ac:dyDescent="0.2">
      <c r="B19" s="537" t="s">
        <v>51</v>
      </c>
      <c r="C19" s="739">
        <v>42494</v>
      </c>
      <c r="D19" s="526">
        <f>平成23年度!E19+平成23年度!F19</f>
        <v>39966</v>
      </c>
      <c r="E19" s="526">
        <f>平成23年度!C19-平成23年度!G19-平成23年度!F19</f>
        <v>38939</v>
      </c>
      <c r="F19" s="740">
        <v>1027</v>
      </c>
      <c r="G19" s="754">
        <v>2528</v>
      </c>
      <c r="H19" s="529">
        <f t="shared" si="1"/>
        <v>73464</v>
      </c>
      <c r="I19" s="527">
        <v>68218</v>
      </c>
      <c r="J19" s="759">
        <f t="shared" si="2"/>
        <v>41748</v>
      </c>
      <c r="K19" s="742">
        <v>26470</v>
      </c>
      <c r="L19" s="526">
        <f>平成23年度!M19+平成23年度!N19</f>
        <v>5246</v>
      </c>
      <c r="M19" s="740">
        <v>3743</v>
      </c>
      <c r="N19" s="741">
        <v>1503</v>
      </c>
      <c r="O19" s="739">
        <v>26437</v>
      </c>
      <c r="P19" s="526">
        <f t="shared" si="0"/>
        <v>21588</v>
      </c>
      <c r="Q19" s="743">
        <v>4849</v>
      </c>
      <c r="R19" s="756">
        <v>129102</v>
      </c>
      <c r="S19" s="757">
        <v>313683</v>
      </c>
      <c r="T19" s="533">
        <f>平成23年度!C19/平成23年度!R19</f>
        <v>0.32915059410388686</v>
      </c>
      <c r="U19" s="534">
        <f>平成23年度!H19/平成23年度!S19</f>
        <v>0.23419821922131578</v>
      </c>
      <c r="V19" s="535">
        <f>平成23年度!L19/平成23年度!H19</f>
        <v>7.140912555809649E-2</v>
      </c>
      <c r="AJ19" s="509" t="s">
        <v>1074</v>
      </c>
      <c r="AK19" s="510">
        <f>平成10年度!H19</f>
        <v>81903</v>
      </c>
      <c r="AL19" s="511">
        <f>平成10年度!C19</f>
        <v>41659</v>
      </c>
      <c r="AM19" s="512">
        <f>平成10年度!P19</f>
        <v>291953</v>
      </c>
      <c r="AN19" s="512">
        <f>平成10年度!O19</f>
        <v>104651</v>
      </c>
      <c r="AO19" s="513">
        <f>ROUND(+平成23年度!AK19/平成23年度!AM19,4)</f>
        <v>0.28050000000000003</v>
      </c>
      <c r="AP19" s="514">
        <f>ROUND(+平成23年度!AL19/平成23年度!AN19,4)</f>
        <v>0.39810000000000001</v>
      </c>
      <c r="AQ19" s="515">
        <f>ROUND((+平成23年度!AO19-平成23年度!AO18),4)</f>
        <v>9.9000000000000008E-3</v>
      </c>
      <c r="AR19" s="515">
        <f>ROUND((+平成23年度!AP19-平成23年度!AP18),4)</f>
        <v>1.26E-2</v>
      </c>
    </row>
    <row r="20" spans="1:44" s="566" customFormat="1" ht="20.149999999999999" customHeight="1" x14ac:dyDescent="0.2">
      <c r="A20" s="556"/>
      <c r="B20" s="762" t="s">
        <v>52</v>
      </c>
      <c r="C20" s="763">
        <f t="shared" ref="C20:S20" si="3">SUM(C8:C19)</f>
        <v>513371</v>
      </c>
      <c r="D20" s="559">
        <f t="shared" si="3"/>
        <v>481314</v>
      </c>
      <c r="E20" s="559">
        <f t="shared" si="3"/>
        <v>468905</v>
      </c>
      <c r="F20" s="559">
        <f t="shared" si="3"/>
        <v>12409</v>
      </c>
      <c r="G20" s="575">
        <f t="shared" si="3"/>
        <v>32057</v>
      </c>
      <c r="H20" s="558">
        <f t="shared" si="3"/>
        <v>890258</v>
      </c>
      <c r="I20" s="559">
        <f t="shared" si="3"/>
        <v>824247</v>
      </c>
      <c r="J20" s="559">
        <f t="shared" si="3"/>
        <v>508288</v>
      </c>
      <c r="K20" s="559">
        <f t="shared" si="3"/>
        <v>315959</v>
      </c>
      <c r="L20" s="559">
        <f t="shared" si="3"/>
        <v>66011</v>
      </c>
      <c r="M20" s="559">
        <f t="shared" si="3"/>
        <v>46773</v>
      </c>
      <c r="N20" s="560">
        <f t="shared" si="3"/>
        <v>19238</v>
      </c>
      <c r="O20" s="558">
        <f t="shared" si="3"/>
        <v>322793</v>
      </c>
      <c r="P20" s="559">
        <f t="shared" si="3"/>
        <v>261192</v>
      </c>
      <c r="Q20" s="560">
        <f t="shared" si="3"/>
        <v>61601</v>
      </c>
      <c r="R20" s="561">
        <f t="shared" si="3"/>
        <v>1546796</v>
      </c>
      <c r="S20" s="562">
        <f t="shared" si="3"/>
        <v>3772889</v>
      </c>
      <c r="T20" s="563">
        <f>平成23年度!C20/平成23年度!R20</f>
        <v>0.33189315203814851</v>
      </c>
      <c r="U20" s="564">
        <f>平成23年度!H20/平成23年度!S20</f>
        <v>0.23596188491100586</v>
      </c>
      <c r="V20" s="565">
        <f>平成23年度!L20/平成23年度!H20</f>
        <v>7.4148168283800872E-2</v>
      </c>
      <c r="AJ20" s="567" t="s">
        <v>1088</v>
      </c>
      <c r="AK20" s="568">
        <f>平成11年度!H19</f>
        <v>85006</v>
      </c>
      <c r="AL20" s="569">
        <f>平成11年度!C19</f>
        <v>43579</v>
      </c>
      <c r="AM20" s="570">
        <f>平成11年度!P19</f>
        <v>292833</v>
      </c>
      <c r="AN20" s="570">
        <f>平成11年度!O19</f>
        <v>106170</v>
      </c>
      <c r="AO20" s="571">
        <f>ROUND(+平成23年度!AK20/平成23年度!AM20,4)</f>
        <v>0.2903</v>
      </c>
      <c r="AP20" s="572">
        <f>ROUND(+平成23年度!AL20/平成23年度!AN20,4)</f>
        <v>0.41049999999999998</v>
      </c>
      <c r="AQ20" s="573">
        <f>ROUND((+平成23年度!AO20-平成23年度!AO19),4)</f>
        <v>9.7999999999999997E-3</v>
      </c>
      <c r="AR20" s="573">
        <f>ROUND((+平成23年度!AP20-平成23年度!AP19),4)</f>
        <v>1.24E-2</v>
      </c>
    </row>
    <row r="21" spans="1:44" s="566" customFormat="1" ht="20.149999999999999" customHeight="1" x14ac:dyDescent="0.2">
      <c r="A21" s="556"/>
      <c r="B21" s="762" t="s">
        <v>53</v>
      </c>
      <c r="C21" s="764" t="e">
        <f>#VALUE!</f>
        <v>#VALUE!</v>
      </c>
      <c r="D21" s="562" t="e">
        <f>#VALUE!</f>
        <v>#VALUE!</v>
      </c>
      <c r="E21" s="560" t="e">
        <f>#VALUE!</f>
        <v>#VALUE!</v>
      </c>
      <c r="F21" s="560" t="e">
        <f>#VALUE!</f>
        <v>#VALUE!</v>
      </c>
      <c r="G21" s="575" t="e">
        <f>#VALUE!</f>
        <v>#VALUE!</v>
      </c>
      <c r="H21" s="574" t="e">
        <f>#VALUE!</f>
        <v>#VALUE!</v>
      </c>
      <c r="I21" s="562" t="e">
        <f>#VALUE!</f>
        <v>#VALUE!</v>
      </c>
      <c r="J21" s="562" t="e">
        <f>#VALUE!</f>
        <v>#VALUE!</v>
      </c>
      <c r="K21" s="562" t="e">
        <f>#VALUE!</f>
        <v>#VALUE!</v>
      </c>
      <c r="L21" s="560" t="e">
        <f>#VALUE!</f>
        <v>#VALUE!</v>
      </c>
      <c r="M21" s="560" t="e">
        <f>#VALUE!</f>
        <v>#VALUE!</v>
      </c>
      <c r="N21" s="575" t="e">
        <f>#VALUE!</f>
        <v>#VALUE!</v>
      </c>
      <c r="O21" s="574" t="e">
        <f>#VALUE!</f>
        <v>#VALUE!</v>
      </c>
      <c r="P21" s="562" t="e">
        <f>#VALUE!</f>
        <v>#VALUE!</v>
      </c>
      <c r="Q21" s="562" t="e">
        <f>#VALUE!</f>
        <v>#VALUE!</v>
      </c>
      <c r="R21" s="574" t="e">
        <f>#VALUE!</f>
        <v>#VALUE!</v>
      </c>
      <c r="S21" s="560" t="e">
        <f>#VALUE!</f>
        <v>#VALUE!</v>
      </c>
      <c r="T21" s="563" t="e">
        <f>平成23年度!C21/平成23年度!R21</f>
        <v>#VALUE!</v>
      </c>
      <c r="U21" s="564" t="e">
        <f>平成23年度!H21/平成23年度!S21</f>
        <v>#VALUE!</v>
      </c>
      <c r="V21" s="565" t="e">
        <f>平成23年度!L21/平成23年度!H21</f>
        <v>#VALUE!</v>
      </c>
      <c r="AJ21" s="567" t="s">
        <v>284</v>
      </c>
      <c r="AK21" s="568">
        <f>平成12年度!H19</f>
        <v>87854</v>
      </c>
      <c r="AL21" s="569">
        <f>平成12年度!C19</f>
        <v>45290</v>
      </c>
      <c r="AM21" s="570">
        <f>平成12年度!P19</f>
        <v>20917</v>
      </c>
      <c r="AN21" s="570">
        <f>平成12年度!O19</f>
        <v>27178</v>
      </c>
      <c r="AO21" s="571">
        <f>ROUND(+平成23年度!AK21/平成23年度!AM21,4)</f>
        <v>4.2000999999999999</v>
      </c>
      <c r="AP21" s="572">
        <f>ROUND(+平成23年度!AL21/平成23年度!AN21,4)</f>
        <v>1.6664000000000001</v>
      </c>
      <c r="AQ21" s="573">
        <f>ROUND((+平成23年度!AO21-平成23年度!AO20),4)</f>
        <v>3.9098000000000002</v>
      </c>
      <c r="AR21" s="573">
        <f>ROUND((+平成23年度!AP21-平成23年度!AP20),4)</f>
        <v>1.2559</v>
      </c>
    </row>
    <row r="22" spans="1:44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588" t="s">
        <v>607</v>
      </c>
      <c r="AK22" s="589">
        <f>平成13年度!H19</f>
        <v>91363</v>
      </c>
      <c r="AL22" s="590">
        <f>平成13年度!C19</f>
        <v>47502</v>
      </c>
      <c r="AM22" s="591">
        <f>平成13年度!P19</f>
        <v>21019</v>
      </c>
      <c r="AN22" s="591">
        <f>平成13年度!O19</f>
        <v>27824</v>
      </c>
      <c r="AO22" s="592">
        <f>ROUND(+平成23年度!AK22/平成23年度!AM22,4)</f>
        <v>4.3467000000000002</v>
      </c>
      <c r="AP22" s="593">
        <f>ROUND(+平成23年度!AL22/平成23年度!AN22,4)</f>
        <v>1.7072000000000001</v>
      </c>
      <c r="AQ22" s="594">
        <f>ROUND((+平成23年度!AO22-平成23年度!AO21),4)</f>
        <v>0.14660000000000001</v>
      </c>
      <c r="AR22" s="594">
        <f>ROUND((+平成23年度!AP22-平成23年度!AP21),4)</f>
        <v>4.0800000000000003E-2</v>
      </c>
    </row>
    <row r="23" spans="1:44" ht="20.149999999999999" customHeight="1" thickBot="1" x14ac:dyDescent="0.25">
      <c r="B23" s="536" t="s">
        <v>54</v>
      </c>
      <c r="C23" s="595">
        <f>平成23年度!C8</f>
        <v>42957</v>
      </c>
      <c r="D23" s="526">
        <f>平成23年度!D8</f>
        <v>40310</v>
      </c>
      <c r="E23" s="596">
        <f>平成23年度!E8</f>
        <v>39316</v>
      </c>
      <c r="F23" s="596">
        <f>平成23年度!F8</f>
        <v>994</v>
      </c>
      <c r="G23" s="597">
        <f>平成23年度!G8</f>
        <v>2647</v>
      </c>
      <c r="H23" s="595">
        <f>平成23年度!H8</f>
        <v>74775</v>
      </c>
      <c r="I23" s="526">
        <f>平成23年度!I8</f>
        <v>69310</v>
      </c>
      <c r="J23" s="596">
        <f>平成23年度!J8</f>
        <v>43024</v>
      </c>
      <c r="K23" s="596">
        <f>平成23年度!K8</f>
        <v>26286</v>
      </c>
      <c r="L23" s="596">
        <f>平成23年度!L8</f>
        <v>5465</v>
      </c>
      <c r="M23" s="596">
        <f>平成23年度!M8</f>
        <v>3827</v>
      </c>
      <c r="N23" s="597">
        <f>平成23年度!N8</f>
        <v>1638</v>
      </c>
      <c r="O23" s="595">
        <f>平成23年度!O8</f>
        <v>27118</v>
      </c>
      <c r="P23" s="526">
        <f>平成23年度!P8</f>
        <v>21965</v>
      </c>
      <c r="Q23" s="597">
        <f>平成23年度!Q8</f>
        <v>5153</v>
      </c>
      <c r="R23" s="598">
        <f>平成23年度!R8</f>
        <v>128558</v>
      </c>
      <c r="S23" s="526">
        <f>平成23年度!S8</f>
        <v>314405</v>
      </c>
      <c r="T23" s="533">
        <f>平成23年度!C23/平成23年度!R23</f>
        <v>0.33414489957840043</v>
      </c>
      <c r="U23" s="534">
        <f>平成23年度!H23/平成23年度!S23</f>
        <v>0.23783018717895707</v>
      </c>
      <c r="V23" s="535">
        <f>平成23年度!L23/平成23年度!H23</f>
        <v>7.3085924439986627E-2</v>
      </c>
      <c r="AJ23" s="538" t="s">
        <v>817</v>
      </c>
      <c r="AK23" s="539">
        <f>平成14年度!H19</f>
        <v>94728</v>
      </c>
      <c r="AL23" s="540">
        <f>平成14年度!C19</f>
        <v>49426</v>
      </c>
      <c r="AM23" s="541">
        <f>平成14年度!P19</f>
        <v>21441</v>
      </c>
      <c r="AN23" s="541">
        <f>平成14年度!O19</f>
        <v>28446</v>
      </c>
      <c r="AO23" s="542">
        <f>ROUND(+平成23年度!AK23/平成23年度!AM23,4)</f>
        <v>4.4180999999999999</v>
      </c>
      <c r="AP23" s="543">
        <f>ROUND(+平成23年度!AL23/平成23年度!AN23,4)</f>
        <v>1.7375</v>
      </c>
      <c r="AQ23" s="515">
        <f>ROUND((+平成23年度!AO23-平成23年度!AO22),4)</f>
        <v>7.1400000000000005E-2</v>
      </c>
      <c r="AR23" s="515">
        <f>ROUND((+平成23年度!AP23-平成23年度!AP22),4)</f>
        <v>3.0300000000000001E-2</v>
      </c>
    </row>
    <row r="24" spans="1:44" ht="20.149999999999999" customHeight="1" x14ac:dyDescent="0.2">
      <c r="B24" s="537" t="s">
        <v>55</v>
      </c>
      <c r="C24" s="529">
        <f>SUM(平成23年度!C8:C9)</f>
        <v>85894</v>
      </c>
      <c r="D24" s="599">
        <f>SUM(平成23年度!D8:D9)</f>
        <v>80582</v>
      </c>
      <c r="E24" s="600">
        <f>SUM(平成23年度!E8:E9)</f>
        <v>78595</v>
      </c>
      <c r="F24" s="600">
        <f>SUM(平成23年度!F8:F9)</f>
        <v>1987</v>
      </c>
      <c r="G24" s="601">
        <f>SUM(平成23年度!G8:G9)</f>
        <v>5312</v>
      </c>
      <c r="H24" s="529">
        <f>SUM(平成23年度!H8:H9)</f>
        <v>149353</v>
      </c>
      <c r="I24" s="599">
        <f>SUM(平成23年度!I8:I9)</f>
        <v>138410</v>
      </c>
      <c r="J24" s="600">
        <f>SUM(平成23年度!J8:J9)</f>
        <v>85881</v>
      </c>
      <c r="K24" s="600">
        <f>SUM(平成23年度!K8:K9)</f>
        <v>52529</v>
      </c>
      <c r="L24" s="600">
        <f>SUM(平成23年度!L8:L9)</f>
        <v>10943</v>
      </c>
      <c r="M24" s="600">
        <f>SUM(平成23年度!M8:M9)</f>
        <v>7670</v>
      </c>
      <c r="N24" s="601">
        <f>SUM(平成23年度!N8:N9)</f>
        <v>3273</v>
      </c>
      <c r="O24" s="529">
        <f>SUM(平成23年度!O8:O9)</f>
        <v>54241</v>
      </c>
      <c r="P24" s="599">
        <f>SUM(平成23年度!P8:P9)</f>
        <v>43930</v>
      </c>
      <c r="Q24" s="601">
        <f>SUM(平成23年度!Q8:Q9)</f>
        <v>10311</v>
      </c>
      <c r="R24" s="602">
        <f>SUM(平成23年度!R8:R9)</f>
        <v>257258</v>
      </c>
      <c r="S24" s="599">
        <f>SUM(平成23年度!S8:S9)</f>
        <v>628895</v>
      </c>
      <c r="T24" s="603">
        <f>平成23年度!C24/平成23年度!R24</f>
        <v>0.33388271696118293</v>
      </c>
      <c r="U24" s="604">
        <f>平成23年度!H24/平成23年度!S24</f>
        <v>0.23748479475906153</v>
      </c>
      <c r="V24" s="605">
        <f>平成23年度!L24/平成23年度!H24</f>
        <v>7.3269368542982063E-2</v>
      </c>
      <c r="AJ24" s="544" t="s">
        <v>907</v>
      </c>
      <c r="AK24" s="545">
        <f>平成23年度!H14</f>
        <v>74259</v>
      </c>
      <c r="AL24" s="546">
        <f>平成23年度!C14</f>
        <v>42820</v>
      </c>
      <c r="AM24" s="547">
        <f>平成23年度!S14</f>
        <v>314576</v>
      </c>
      <c r="AN24" s="547">
        <f>平成23年度!R14</f>
        <v>128979</v>
      </c>
      <c r="AO24" s="548">
        <f>ROUND(+平成23年度!AK24/平成23年度!AM24,4)</f>
        <v>0.2361</v>
      </c>
      <c r="AP24" s="549">
        <f>ROUND(+平成23年度!AL24/平成23年度!AN24,4)</f>
        <v>0.33200000000000002</v>
      </c>
      <c r="AQ24" s="515">
        <f>ROUND((+平成23年度!AO24-平成23年度!AO23),4)</f>
        <v>-4.1820000000000004</v>
      </c>
      <c r="AR24" s="515">
        <f>ROUND((+平成23年度!AP24-平成23年度!AP23),4)</f>
        <v>-1.4055</v>
      </c>
    </row>
    <row r="25" spans="1:44" ht="20.149999999999999" customHeight="1" x14ac:dyDescent="0.2">
      <c r="B25" s="537" t="s">
        <v>56</v>
      </c>
      <c r="C25" s="529">
        <f>SUM(平成23年度!C8:C10)</f>
        <v>128826</v>
      </c>
      <c r="D25" s="599">
        <f>SUM(平成23年度!D8:D10)</f>
        <v>120827</v>
      </c>
      <c r="E25" s="600">
        <f>SUM(平成23年度!E8:E10)</f>
        <v>117861</v>
      </c>
      <c r="F25" s="600">
        <f>SUM(平成23年度!F8:F10)</f>
        <v>2966</v>
      </c>
      <c r="G25" s="601">
        <f>SUM(平成23年度!G8:G10)</f>
        <v>7999</v>
      </c>
      <c r="H25" s="529">
        <f>SUM(平成23年度!H8:H10)</f>
        <v>223875</v>
      </c>
      <c r="I25" s="599">
        <f>SUM(平成23年度!I8:I10)</f>
        <v>207444</v>
      </c>
      <c r="J25" s="600">
        <f>SUM(平成23年度!J8:J10)</f>
        <v>128692</v>
      </c>
      <c r="K25" s="600">
        <f>SUM(平成23年度!K8:K10)</f>
        <v>78752</v>
      </c>
      <c r="L25" s="600">
        <f>SUM(平成23年度!L8:L10)</f>
        <v>16431</v>
      </c>
      <c r="M25" s="600">
        <f>SUM(平成23年度!M8:M10)</f>
        <v>11517</v>
      </c>
      <c r="N25" s="601">
        <f>SUM(平成23年度!N8:N10)</f>
        <v>4914</v>
      </c>
      <c r="O25" s="529">
        <f>SUM(平成23年度!O8:O10)</f>
        <v>81380</v>
      </c>
      <c r="P25" s="599">
        <f>SUM(平成23年度!P8:P10)</f>
        <v>65917</v>
      </c>
      <c r="Q25" s="601">
        <f>SUM(平成23年度!Q8:Q10)</f>
        <v>15463</v>
      </c>
      <c r="R25" s="602">
        <f>SUM(平成23年度!R8:R10)</f>
        <v>386044</v>
      </c>
      <c r="S25" s="599">
        <f>SUM(平成23年度!S8:S10)</f>
        <v>943467</v>
      </c>
      <c r="T25" s="603">
        <f>平成23年度!C25/平成23年度!R25</f>
        <v>0.33370807472723318</v>
      </c>
      <c r="U25" s="604">
        <f>平成23年度!H25/平成23年度!S25</f>
        <v>0.23728969852681653</v>
      </c>
      <c r="V25" s="605">
        <f>平成23年度!L25/平成23年度!H25</f>
        <v>7.3393634840871025E-2</v>
      </c>
      <c r="AJ25" s="478" t="s">
        <v>1137</v>
      </c>
    </row>
    <row r="26" spans="1:44" ht="20.149999999999999" customHeight="1" x14ac:dyDescent="0.2">
      <c r="B26" s="537" t="s">
        <v>57</v>
      </c>
      <c r="C26" s="529">
        <f>SUM(平成23年度!C8:C11)</f>
        <v>171783</v>
      </c>
      <c r="D26" s="599">
        <f>SUM(平成23年度!D8:D11)</f>
        <v>161062</v>
      </c>
      <c r="E26" s="600">
        <f>SUM(平成23年度!E8:E11)</f>
        <v>157095</v>
      </c>
      <c r="F26" s="600">
        <f>SUM(平成23年度!F8:F11)</f>
        <v>3967</v>
      </c>
      <c r="G26" s="601">
        <f>SUM(平成23年度!G8:G11)</f>
        <v>10721</v>
      </c>
      <c r="H26" s="529">
        <f>SUM(平成23年度!H8:H11)</f>
        <v>298477</v>
      </c>
      <c r="I26" s="599">
        <f>SUM(平成23年度!I8:I11)</f>
        <v>276469</v>
      </c>
      <c r="J26" s="600">
        <f>SUM(平成23年度!J8:J11)</f>
        <v>171468</v>
      </c>
      <c r="K26" s="600">
        <f>SUM(平成23年度!K8:K11)</f>
        <v>105001</v>
      </c>
      <c r="L26" s="600">
        <f>SUM(平成23年度!L8:L11)</f>
        <v>22008</v>
      </c>
      <c r="M26" s="600">
        <f>SUM(平成23年度!M8:M11)</f>
        <v>15429</v>
      </c>
      <c r="N26" s="601">
        <f>SUM(平成23年度!N8:N11)</f>
        <v>6579</v>
      </c>
      <c r="O26" s="529">
        <f>SUM(平成23年度!O8:O11)</f>
        <v>108551</v>
      </c>
      <c r="P26" s="599">
        <f>SUM(平成23年度!P8:P11)</f>
        <v>87875</v>
      </c>
      <c r="Q26" s="601">
        <f>SUM(平成23年度!Q8:Q11)</f>
        <v>20676</v>
      </c>
      <c r="R26" s="602">
        <f>SUM(平成23年度!R8:R11)</f>
        <v>514858</v>
      </c>
      <c r="S26" s="599">
        <f>SUM(平成23年度!S8:S11)</f>
        <v>1258009</v>
      </c>
      <c r="T26" s="603">
        <f>平成23年度!C26/平成23年度!R26</f>
        <v>0.33365122033648115</v>
      </c>
      <c r="U26" s="604">
        <f>平成23年度!H26/平成23年度!S26</f>
        <v>0.23726141863849939</v>
      </c>
      <c r="V26" s="605">
        <f>平成23年度!L26/平成23年度!H26</f>
        <v>7.3734324587824182E-2</v>
      </c>
      <c r="AJ26" s="544" t="s">
        <v>1106</v>
      </c>
      <c r="AK26" s="551">
        <f>平成23年度!AK23/平成23年度!AK18</f>
        <v>1.2014763517369964</v>
      </c>
      <c r="AL26" s="552">
        <f>平成23年度!AL23/平成23年度!AL18</f>
        <v>1.241609726688103</v>
      </c>
      <c r="AM26" s="552">
        <f>平成23年度!AM23/平成23年度!AM18</f>
        <v>7.3587858569634068E-2</v>
      </c>
      <c r="AN26" s="552">
        <f>平成23年度!AN23/平成23年度!AN18</f>
        <v>0.27549271221732602</v>
      </c>
      <c r="AO26" s="553">
        <f>平成23年度!AO23/平成23年度!AO18</f>
        <v>16.327050997782706</v>
      </c>
      <c r="AP26" s="549">
        <f>平成23年度!AP23/平成23年度!AP18</f>
        <v>4.5071335927367056</v>
      </c>
    </row>
    <row r="27" spans="1:44" ht="20.149999999999999" customHeight="1" x14ac:dyDescent="0.2">
      <c r="B27" s="537" t="s">
        <v>58</v>
      </c>
      <c r="C27" s="529">
        <f>SUM(平成23年度!C8:C12)</f>
        <v>214674</v>
      </c>
      <c r="D27" s="599">
        <f>SUM(平成23年度!D8:D12)</f>
        <v>201193</v>
      </c>
      <c r="E27" s="600">
        <f>SUM(平成23年度!E8:E12)</f>
        <v>196161</v>
      </c>
      <c r="F27" s="600">
        <f>SUM(平成23年度!F8:F12)</f>
        <v>5032</v>
      </c>
      <c r="G27" s="601">
        <f>SUM(平成23年度!G8:G12)</f>
        <v>13481</v>
      </c>
      <c r="H27" s="529">
        <f>SUM(平成23年度!H8:H12)</f>
        <v>372880</v>
      </c>
      <c r="I27" s="599">
        <f>SUM(平成23年度!I8:I12)</f>
        <v>345201</v>
      </c>
      <c r="J27" s="600">
        <f>SUM(平成23年度!J8:J12)</f>
        <v>213947</v>
      </c>
      <c r="K27" s="600">
        <f>SUM(平成23年度!K8:K12)</f>
        <v>131254</v>
      </c>
      <c r="L27" s="600">
        <f>SUM(平成23年度!L8:L12)</f>
        <v>27679</v>
      </c>
      <c r="M27" s="600">
        <f>SUM(平成23年度!M8:M12)</f>
        <v>19453</v>
      </c>
      <c r="N27" s="601">
        <f>SUM(平成23年度!N8:N12)</f>
        <v>8226</v>
      </c>
      <c r="O27" s="529">
        <f>SUM(平成23年度!O8:O12)</f>
        <v>135618</v>
      </c>
      <c r="P27" s="599">
        <f>SUM(平成23年度!P8:P12)</f>
        <v>109641</v>
      </c>
      <c r="Q27" s="601">
        <f>SUM(平成23年度!Q8:Q12)</f>
        <v>25977</v>
      </c>
      <c r="R27" s="602">
        <f>SUM(平成23年度!R8:R12)</f>
        <v>643816</v>
      </c>
      <c r="S27" s="599">
        <f>SUM(平成23年度!S8:S12)</f>
        <v>1572730</v>
      </c>
      <c r="T27" s="603">
        <f>平成23年度!C27/平成23年度!R27</f>
        <v>0.33343998906519873</v>
      </c>
      <c r="U27" s="604">
        <f>平成23年度!H27/平成23年度!S27</f>
        <v>0.23709091833944795</v>
      </c>
      <c r="V27" s="605">
        <f>平成23年度!L27/平成23年度!H27</f>
        <v>7.4230315382965026E-2</v>
      </c>
    </row>
    <row r="28" spans="1:44" ht="20.149999999999999" customHeight="1" x14ac:dyDescent="0.2">
      <c r="B28" s="537" t="s">
        <v>59</v>
      </c>
      <c r="C28" s="529">
        <f>SUM(平成23年度!C8:C13)</f>
        <v>257478</v>
      </c>
      <c r="D28" s="599">
        <f>SUM(平成23年度!D8:D13)</f>
        <v>241285</v>
      </c>
      <c r="E28" s="600">
        <f>SUM(平成23年度!E8:E13)</f>
        <v>235184</v>
      </c>
      <c r="F28" s="600">
        <f>SUM(平成23年度!F8:F13)</f>
        <v>6101</v>
      </c>
      <c r="G28" s="601">
        <f>SUM(平成23年度!G8:G13)</f>
        <v>16193</v>
      </c>
      <c r="H28" s="529">
        <f>SUM(平成23年度!H8:H13)</f>
        <v>447098</v>
      </c>
      <c r="I28" s="599">
        <f>SUM(平成23年度!I8:I13)</f>
        <v>413830</v>
      </c>
      <c r="J28" s="600">
        <f>SUM(平成23年度!J8:J13)</f>
        <v>256313</v>
      </c>
      <c r="K28" s="600">
        <f>SUM(平成23年度!K8:K13)</f>
        <v>157517</v>
      </c>
      <c r="L28" s="600">
        <f>SUM(平成23年度!L8:L13)</f>
        <v>33268</v>
      </c>
      <c r="M28" s="600">
        <f>SUM(平成23年度!M8:M13)</f>
        <v>23430</v>
      </c>
      <c r="N28" s="601">
        <f>SUM(平成23年度!N8:N13)</f>
        <v>9838</v>
      </c>
      <c r="O28" s="529">
        <f>SUM(平成23年度!O8:O13)</f>
        <v>162593</v>
      </c>
      <c r="P28" s="599">
        <f>SUM(平成23年度!P8:P13)</f>
        <v>131397</v>
      </c>
      <c r="Q28" s="601">
        <f>SUM(平成23年度!Q8:Q13)</f>
        <v>31196</v>
      </c>
      <c r="R28" s="602">
        <f>SUM(平成23年度!R8:R13)</f>
        <v>772784</v>
      </c>
      <c r="S28" s="599">
        <f>SUM(平成23年度!S8:S13)</f>
        <v>1887353</v>
      </c>
      <c r="T28" s="603">
        <f>平成23年度!C28/平成23年度!R28</f>
        <v>0.3331823640240999</v>
      </c>
      <c r="U28" s="604">
        <f>平成23年度!H28/平成23年度!S28</f>
        <v>0.23689156188587931</v>
      </c>
      <c r="V28" s="605">
        <f>平成23年度!L28/平成23年度!H28</f>
        <v>7.4408742602293007E-2</v>
      </c>
    </row>
    <row r="29" spans="1:44" ht="20.149999999999999" customHeight="1" x14ac:dyDescent="0.2">
      <c r="B29" s="537" t="s">
        <v>60</v>
      </c>
      <c r="C29" s="529">
        <f>SUM(平成23年度!C8:C14)</f>
        <v>300298</v>
      </c>
      <c r="D29" s="599">
        <f>SUM(平成23年度!D8:D14)</f>
        <v>281352</v>
      </c>
      <c r="E29" s="600">
        <f>SUM(平成23年度!E8:E14)</f>
        <v>274189</v>
      </c>
      <c r="F29" s="600">
        <f>SUM(平成23年度!F8:F14)</f>
        <v>7163</v>
      </c>
      <c r="G29" s="601">
        <f>SUM(平成23年度!G8:G14)</f>
        <v>18946</v>
      </c>
      <c r="H29" s="529">
        <f>SUM(平成23年度!H8:H14)</f>
        <v>521357</v>
      </c>
      <c r="I29" s="599">
        <f>SUM(平成23年度!I8:I14)</f>
        <v>482451</v>
      </c>
      <c r="J29" s="600">
        <f>SUM(平成23年度!J8:J14)</f>
        <v>298609</v>
      </c>
      <c r="K29" s="600">
        <f>SUM(平成23年度!K8:K14)</f>
        <v>183842</v>
      </c>
      <c r="L29" s="600">
        <f>SUM(平成23年度!L8:L14)</f>
        <v>38906</v>
      </c>
      <c r="M29" s="600">
        <f>SUM(平成23年度!M8:M14)</f>
        <v>27450</v>
      </c>
      <c r="N29" s="601">
        <f>SUM(平成23年度!N8:N14)</f>
        <v>11456</v>
      </c>
      <c r="O29" s="529">
        <f>SUM(平成23年度!O8:O14)</f>
        <v>189558</v>
      </c>
      <c r="P29" s="599">
        <f>SUM(平成23年度!P8:P14)</f>
        <v>153100</v>
      </c>
      <c r="Q29" s="601">
        <f>SUM(平成23年度!Q8:Q14)</f>
        <v>36458</v>
      </c>
      <c r="R29" s="602">
        <f>SUM(平成23年度!R8:R14)</f>
        <v>901763</v>
      </c>
      <c r="S29" s="599">
        <f>SUM(平成23年度!S8:S14)</f>
        <v>2201929</v>
      </c>
      <c r="T29" s="603">
        <f>平成23年度!C29/平成23年度!R29</f>
        <v>0.33301211072088788</v>
      </c>
      <c r="U29" s="604">
        <f>平成23年度!H29/平成23年度!S29</f>
        <v>0.23677284780753602</v>
      </c>
      <c r="V29" s="605">
        <f>平成23年度!L29/平成23年度!H29</f>
        <v>7.4624489553223608E-2</v>
      </c>
    </row>
    <row r="30" spans="1:44" ht="20.149999999999999" customHeight="1" x14ac:dyDescent="0.2">
      <c r="B30" s="537" t="s">
        <v>61</v>
      </c>
      <c r="C30" s="529">
        <f>SUM(平成23年度!C8:C15)</f>
        <v>343091</v>
      </c>
      <c r="D30" s="599">
        <f>SUM(平成23年度!D8:D15)</f>
        <v>321447</v>
      </c>
      <c r="E30" s="600">
        <f>SUM(平成23年度!E8:E15)</f>
        <v>313228</v>
      </c>
      <c r="F30" s="600">
        <f>SUM(平成23年度!F8:F15)</f>
        <v>8219</v>
      </c>
      <c r="G30" s="601">
        <f>SUM(平成23年度!G8:G15)</f>
        <v>21644</v>
      </c>
      <c r="H30" s="529">
        <f>SUM(平成23年度!H8:H15)</f>
        <v>595470</v>
      </c>
      <c r="I30" s="599">
        <f>SUM(平成23年度!I8:I15)</f>
        <v>551025</v>
      </c>
      <c r="J30" s="600">
        <f>SUM(平成23年度!J8:J15)</f>
        <v>340777</v>
      </c>
      <c r="K30" s="600">
        <f>SUM(平成23年度!K8:K15)</f>
        <v>210248</v>
      </c>
      <c r="L30" s="600">
        <f>SUM(平成23年度!L8:L15)</f>
        <v>44445</v>
      </c>
      <c r="M30" s="600">
        <f>SUM(平成23年度!M8:M15)</f>
        <v>31401</v>
      </c>
      <c r="N30" s="601">
        <f>SUM(平成23年度!N8:N15)</f>
        <v>13044</v>
      </c>
      <c r="O30" s="529">
        <f>SUM(平成23年度!O8:O15)</f>
        <v>216427</v>
      </c>
      <c r="P30" s="599">
        <f>SUM(平成23年度!P8:P15)</f>
        <v>174793</v>
      </c>
      <c r="Q30" s="601">
        <f>SUM(平成23年度!Q8:Q15)</f>
        <v>41634</v>
      </c>
      <c r="R30" s="602">
        <f>SUM(平成23年度!R8:R15)</f>
        <v>1030798</v>
      </c>
      <c r="S30" s="599">
        <f>SUM(平成23年度!S8:S15)</f>
        <v>2516438</v>
      </c>
      <c r="T30" s="603">
        <f>平成23年度!C30/平成23年度!R30</f>
        <v>0.33284018789326325</v>
      </c>
      <c r="U30" s="604">
        <f>平成23年度!H30/平成23年度!S30</f>
        <v>0.2366320966381846</v>
      </c>
      <c r="V30" s="605">
        <f>平成23年度!L30/平成23年度!H30</f>
        <v>7.4638520832283742E-2</v>
      </c>
    </row>
    <row r="31" spans="1:44" ht="20.149999999999999" customHeight="1" x14ac:dyDescent="0.2">
      <c r="B31" s="537" t="s">
        <v>62</v>
      </c>
      <c r="C31" s="529">
        <f>SUM(平成23年度!C8:C16)</f>
        <v>385816</v>
      </c>
      <c r="D31" s="599">
        <f>SUM(平成23年度!D8:D16)</f>
        <v>361518</v>
      </c>
      <c r="E31" s="600">
        <f>SUM(平成23年度!E8:E16)</f>
        <v>352239</v>
      </c>
      <c r="F31" s="600">
        <f>SUM(平成23年度!F8:F16)</f>
        <v>9279</v>
      </c>
      <c r="G31" s="601">
        <f>SUM(平成23年度!G8:G16)</f>
        <v>24298</v>
      </c>
      <c r="H31" s="529">
        <f>SUM(平成23年度!H8:H16)</f>
        <v>669457</v>
      </c>
      <c r="I31" s="599">
        <f>SUM(平成23年度!I8:I16)</f>
        <v>619533</v>
      </c>
      <c r="J31" s="600">
        <f>SUM(平成23年度!J8:J16)</f>
        <v>382818</v>
      </c>
      <c r="K31" s="600">
        <f>SUM(平成23年度!K8:K16)</f>
        <v>236715</v>
      </c>
      <c r="L31" s="600">
        <f>SUM(平成23年度!L8:L16)</f>
        <v>49924</v>
      </c>
      <c r="M31" s="600">
        <f>SUM(平成23年度!M8:M16)</f>
        <v>35306</v>
      </c>
      <c r="N31" s="601">
        <f>SUM(平成23年度!N8:N16)</f>
        <v>14618</v>
      </c>
      <c r="O31" s="529">
        <f>SUM(平成23年度!O8:O16)</f>
        <v>243185</v>
      </c>
      <c r="P31" s="599">
        <f>SUM(平成23年度!P8:P16)</f>
        <v>196451</v>
      </c>
      <c r="Q31" s="601">
        <f>SUM(平成23年度!Q8:Q16)</f>
        <v>46734</v>
      </c>
      <c r="R31" s="602">
        <f>SUM(平成23年度!R8:R16)</f>
        <v>1159801</v>
      </c>
      <c r="S31" s="599">
        <f>SUM(平成23年度!S8:S16)</f>
        <v>2830891</v>
      </c>
      <c r="T31" s="603">
        <f>平成23年度!C31/平成23年度!R31</f>
        <v>0.33265706789354382</v>
      </c>
      <c r="U31" s="604">
        <f>平成23年度!H31/平成23年度!S31</f>
        <v>0.23648278934088243</v>
      </c>
      <c r="V31" s="605">
        <f>平成23年度!L31/平成23年度!H31</f>
        <v>7.4573871062667205E-2</v>
      </c>
    </row>
    <row r="32" spans="1:44" ht="20.149999999999999" customHeight="1" x14ac:dyDescent="0.2">
      <c r="B32" s="537" t="s">
        <v>63</v>
      </c>
      <c r="C32" s="529">
        <f>SUM(平成23年度!C8:C17)</f>
        <v>428408</v>
      </c>
      <c r="D32" s="599">
        <f>SUM(平成23年度!D8:D17)</f>
        <v>401469</v>
      </c>
      <c r="E32" s="600">
        <f>SUM(平成23年度!E8:E17)</f>
        <v>391128</v>
      </c>
      <c r="F32" s="600">
        <f>SUM(平成23年度!F8:F17)</f>
        <v>10341</v>
      </c>
      <c r="G32" s="601">
        <f>SUM(平成23年度!G8:G17)</f>
        <v>26939</v>
      </c>
      <c r="H32" s="529">
        <f>SUM(平成23年度!H8:H17)</f>
        <v>743222</v>
      </c>
      <c r="I32" s="599">
        <f>SUM(平成23年度!I8:I17)</f>
        <v>687822</v>
      </c>
      <c r="J32" s="600">
        <f>SUM(平成23年度!J8:J17)</f>
        <v>424742</v>
      </c>
      <c r="K32" s="600">
        <f>SUM(平成23年度!K8:K17)</f>
        <v>263080</v>
      </c>
      <c r="L32" s="600">
        <f>SUM(平成23年度!L8:L17)</f>
        <v>55400</v>
      </c>
      <c r="M32" s="600">
        <f>SUM(平成23年度!M8:M17)</f>
        <v>39208</v>
      </c>
      <c r="N32" s="601">
        <f>SUM(平成23年度!N8:N17)</f>
        <v>16192</v>
      </c>
      <c r="O32" s="529">
        <f>SUM(平成23年度!O8:O17)</f>
        <v>269822</v>
      </c>
      <c r="P32" s="599">
        <f>SUM(平成23年度!P8:P17)</f>
        <v>218027</v>
      </c>
      <c r="Q32" s="601">
        <f>SUM(平成23年度!Q8:Q17)</f>
        <v>51795</v>
      </c>
      <c r="R32" s="602">
        <f>SUM(平成23年度!R8:R17)</f>
        <v>1288758</v>
      </c>
      <c r="S32" s="599">
        <f>SUM(平成23年度!S8:S17)</f>
        <v>3145117</v>
      </c>
      <c r="T32" s="603">
        <f>平成23年度!C32/平成23年度!R32</f>
        <v>0.33241927499189144</v>
      </c>
      <c r="U32" s="604">
        <f>平成23年度!H32/平成23年度!S32</f>
        <v>0.23630980977814181</v>
      </c>
      <c r="V32" s="605">
        <f>平成23年度!L32/平成23年度!H32</f>
        <v>7.4540312315835647E-2</v>
      </c>
    </row>
    <row r="33" spans="1:35" ht="20.149999999999999" customHeight="1" x14ac:dyDescent="0.2">
      <c r="B33" s="537" t="s">
        <v>64</v>
      </c>
      <c r="C33" s="529">
        <f>SUM(平成23年度!C8:C18)</f>
        <v>470877</v>
      </c>
      <c r="D33" s="599">
        <f>SUM(平成23年度!D8:D18)</f>
        <v>441348</v>
      </c>
      <c r="E33" s="600">
        <f>SUM(平成23年度!E8:E18)</f>
        <v>429966</v>
      </c>
      <c r="F33" s="600">
        <f>SUM(平成23年度!F8:F18)</f>
        <v>11382</v>
      </c>
      <c r="G33" s="601">
        <f>SUM(平成23年度!G8:G18)</f>
        <v>29529</v>
      </c>
      <c r="H33" s="529">
        <f>SUM(平成23年度!H8:H18)</f>
        <v>816794</v>
      </c>
      <c r="I33" s="599">
        <f>SUM(平成23年度!I8:I18)</f>
        <v>756029</v>
      </c>
      <c r="J33" s="600">
        <f>SUM(平成23年度!J8:J18)</f>
        <v>466540</v>
      </c>
      <c r="K33" s="600">
        <f>SUM(平成23年度!K8:K18)</f>
        <v>289489</v>
      </c>
      <c r="L33" s="600">
        <f>SUM(平成23年度!L8:L18)</f>
        <v>60765</v>
      </c>
      <c r="M33" s="600">
        <f>SUM(平成23年度!M8:M18)</f>
        <v>43030</v>
      </c>
      <c r="N33" s="601">
        <f>SUM(平成23年度!N8:N18)</f>
        <v>17735</v>
      </c>
      <c r="O33" s="529">
        <f>SUM(平成23年度!O8:O18)</f>
        <v>296356</v>
      </c>
      <c r="P33" s="599">
        <f>SUM(平成23年度!P8:P18)</f>
        <v>239604</v>
      </c>
      <c r="Q33" s="601">
        <f>SUM(平成23年度!Q8:Q18)</f>
        <v>56752</v>
      </c>
      <c r="R33" s="602">
        <f>SUM(平成23年度!R8:R18)</f>
        <v>1417694</v>
      </c>
      <c r="S33" s="599">
        <f>SUM(平成23年度!S8:S18)</f>
        <v>3459206</v>
      </c>
      <c r="T33" s="603">
        <f>平成23年度!C33/平成23年度!R33</f>
        <v>0.33214290248812506</v>
      </c>
      <c r="U33" s="604">
        <f>平成23年度!H33/平成23年度!S33</f>
        <v>0.2361218152373695</v>
      </c>
      <c r="V33" s="605">
        <f>平成23年度!L33/平成23年度!H33</f>
        <v>7.4394522976417549E-2</v>
      </c>
    </row>
    <row r="34" spans="1:35" ht="20.149999999999999" customHeight="1" thickBot="1" x14ac:dyDescent="0.25">
      <c r="B34" s="606" t="s">
        <v>65</v>
      </c>
      <c r="C34" s="607">
        <f>SUM(平成23年度!C8:C19)</f>
        <v>513371</v>
      </c>
      <c r="D34" s="608">
        <f>SUM(平成23年度!D8:D19)</f>
        <v>481314</v>
      </c>
      <c r="E34" s="609">
        <f>SUM(平成23年度!E8:E19)</f>
        <v>468905</v>
      </c>
      <c r="F34" s="609">
        <f>SUM(平成23年度!F8:F19)</f>
        <v>12409</v>
      </c>
      <c r="G34" s="610">
        <f>SUM(平成23年度!G8:G19)</f>
        <v>32057</v>
      </c>
      <c r="H34" s="607">
        <f>SUM(平成23年度!H8:H19)</f>
        <v>890258</v>
      </c>
      <c r="I34" s="608">
        <f>SUM(平成23年度!I8:I19)</f>
        <v>824247</v>
      </c>
      <c r="J34" s="609">
        <f>SUM(平成23年度!J8:J19)</f>
        <v>508288</v>
      </c>
      <c r="K34" s="609">
        <f>SUM(平成23年度!K8:K19)</f>
        <v>315959</v>
      </c>
      <c r="L34" s="609">
        <f>SUM(平成23年度!L8:L19)</f>
        <v>66011</v>
      </c>
      <c r="M34" s="609">
        <f>SUM(平成23年度!M8:M19)</f>
        <v>46773</v>
      </c>
      <c r="N34" s="610">
        <f>SUM(平成23年度!N8:N19)</f>
        <v>19238</v>
      </c>
      <c r="O34" s="607">
        <f>SUM(平成23年度!O8:O19)</f>
        <v>322793</v>
      </c>
      <c r="P34" s="608">
        <f>SUM(平成23年度!P8:P19)</f>
        <v>261192</v>
      </c>
      <c r="Q34" s="610">
        <f>SUM(平成23年度!Q8:Q19)</f>
        <v>61601</v>
      </c>
      <c r="R34" s="611">
        <f>SUM(平成23年度!R8:R19)</f>
        <v>1546796</v>
      </c>
      <c r="S34" s="608">
        <f>SUM(平成23年度!S8:S19)</f>
        <v>3772889</v>
      </c>
      <c r="T34" s="612">
        <f>平成23年度!C34/平成23年度!R34</f>
        <v>0.33189315203814851</v>
      </c>
      <c r="U34" s="613">
        <f>平成23年度!H34/平成23年度!S34</f>
        <v>0.23596188491100586</v>
      </c>
      <c r="V34" s="614">
        <f>平成23年度!L34/平成23年度!H34</f>
        <v>7.4148168283800872E-2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4">SUM(C7:C18)</f>
        <v>513246</v>
      </c>
      <c r="D35" s="616">
        <f t="shared" si="4"/>
        <v>481329</v>
      </c>
      <c r="E35" s="616">
        <f t="shared" si="4"/>
        <v>468993</v>
      </c>
      <c r="F35" s="616">
        <f t="shared" si="4"/>
        <v>12336</v>
      </c>
      <c r="G35" s="617">
        <f t="shared" si="4"/>
        <v>31917</v>
      </c>
      <c r="H35" s="618">
        <f t="shared" si="4"/>
        <v>890648</v>
      </c>
      <c r="I35" s="616">
        <f t="shared" si="4"/>
        <v>824932</v>
      </c>
      <c r="J35" s="616">
        <f t="shared" si="4"/>
        <v>509316</v>
      </c>
      <c r="K35" s="616">
        <f t="shared" si="4"/>
        <v>315616</v>
      </c>
      <c r="L35" s="616">
        <f t="shared" si="4"/>
        <v>65716</v>
      </c>
      <c r="M35" s="616">
        <f t="shared" si="4"/>
        <v>46530</v>
      </c>
      <c r="N35" s="619">
        <f t="shared" si="4"/>
        <v>19186</v>
      </c>
      <c r="O35" s="618">
        <f t="shared" si="4"/>
        <v>322669</v>
      </c>
      <c r="P35" s="616">
        <f t="shared" si="4"/>
        <v>261270</v>
      </c>
      <c r="Q35" s="619">
        <f t="shared" si="4"/>
        <v>61399</v>
      </c>
      <c r="R35" s="618">
        <f t="shared" si="4"/>
        <v>1545947</v>
      </c>
      <c r="S35" s="616">
        <f t="shared" si="4"/>
        <v>3773368</v>
      </c>
      <c r="T35" s="620">
        <f>平成23年度!C35/平成23年度!R35</f>
        <v>0.33199456384986031</v>
      </c>
      <c r="U35" s="620">
        <f>平成23年度!H35/平成23年度!S35</f>
        <v>0.2360352873083145</v>
      </c>
      <c r="V35" s="621">
        <f>平成23年度!L35/平成23年度!H35</f>
        <v>7.3784480513064646E-2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 t="shared" ref="C36:S36" si="5">C35/12</f>
        <v>42770.5</v>
      </c>
      <c r="D36" s="626">
        <f t="shared" si="5"/>
        <v>40110.75</v>
      </c>
      <c r="E36" s="626">
        <f t="shared" si="5"/>
        <v>39082.75</v>
      </c>
      <c r="F36" s="626">
        <f t="shared" si="5"/>
        <v>1028</v>
      </c>
      <c r="G36" s="627">
        <f t="shared" si="5"/>
        <v>2659.75</v>
      </c>
      <c r="H36" s="625">
        <f>L36+I36</f>
        <v>74220</v>
      </c>
      <c r="I36" s="626">
        <f>ROUND(I35/12,0)</f>
        <v>68744</v>
      </c>
      <c r="J36" s="626">
        <f t="shared" si="5"/>
        <v>42443</v>
      </c>
      <c r="K36" s="626">
        <f t="shared" si="5"/>
        <v>26301.333333333332</v>
      </c>
      <c r="L36" s="626">
        <f>ROUND(L35/12,0)</f>
        <v>5476</v>
      </c>
      <c r="M36" s="626">
        <f t="shared" si="5"/>
        <v>3877.5</v>
      </c>
      <c r="N36" s="628">
        <f t="shared" si="5"/>
        <v>1598.8333333333333</v>
      </c>
      <c r="O36" s="625">
        <f t="shared" si="5"/>
        <v>26889.083333333332</v>
      </c>
      <c r="P36" s="626">
        <f t="shared" si="5"/>
        <v>21772.5</v>
      </c>
      <c r="Q36" s="628">
        <f t="shared" si="5"/>
        <v>5116.583333333333</v>
      </c>
      <c r="R36" s="625">
        <f t="shared" si="5"/>
        <v>128828.91666666667</v>
      </c>
      <c r="S36" s="626">
        <f t="shared" si="5"/>
        <v>314447.33333333331</v>
      </c>
      <c r="T36" s="629">
        <f>平成23年度!C36/平成23年度!R36</f>
        <v>0.33199456384986031</v>
      </c>
      <c r="U36" s="630">
        <f>平成23年度!H36/平成23年度!S36</f>
        <v>0.2360331671864499</v>
      </c>
      <c r="V36" s="631">
        <f>平成23年度!L36/平成23年度!H36</f>
        <v>7.3780652115332801E-2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>平成23年度!C2+平成23年度!C31</f>
        <v>512987</v>
      </c>
      <c r="D37" s="635">
        <f>平成23年度!D2+平成23年度!D31</f>
        <v>481462</v>
      </c>
      <c r="E37" s="636">
        <f>平成23年度!E2+平成23年度!E31</f>
        <v>469289</v>
      </c>
      <c r="F37" s="636">
        <f>平成23年度!F2+平成23年度!F31</f>
        <v>12173</v>
      </c>
      <c r="G37" s="637">
        <f>平成23年度!G2+平成23年度!G31</f>
        <v>31525</v>
      </c>
      <c r="H37" s="634">
        <f>平成23年度!H2+平成23年度!H31</f>
        <v>891206</v>
      </c>
      <c r="I37" s="635">
        <f>平成23年度!I2+平成23年度!I31</f>
        <v>826244</v>
      </c>
      <c r="J37" s="636">
        <f>平成23年度!J2+平成23年度!J31</f>
        <v>511035</v>
      </c>
      <c r="K37" s="636">
        <f>平成23年度!K2+平成23年度!K31</f>
        <v>315209</v>
      </c>
      <c r="L37" s="636">
        <f>平成23年度!L2+平成23年度!L31</f>
        <v>64962</v>
      </c>
      <c r="M37" s="636">
        <f>平成23年度!M2+平成23年度!M31</f>
        <v>45910</v>
      </c>
      <c r="N37" s="637">
        <f>平成23年度!N2+平成23年度!N31</f>
        <v>19052</v>
      </c>
      <c r="O37" s="634">
        <f>平成23年度!O2+平成23年度!O31</f>
        <v>322125</v>
      </c>
      <c r="P37" s="638">
        <f>平成23年度!P2+平成23年度!P31</f>
        <v>261320</v>
      </c>
      <c r="Q37" s="637">
        <f>平成23年度!Q2+平成23年度!Q31</f>
        <v>60805</v>
      </c>
      <c r="R37" s="634">
        <f>平成23年度!R2+平成23年度!R31</f>
        <v>1543951</v>
      </c>
      <c r="S37" s="635">
        <f>平成23年度!S2+平成23年度!S31</f>
        <v>3773751</v>
      </c>
      <c r="T37" s="639">
        <f>平成23年度!C37/平成23年度!R37</f>
        <v>0.33225601071536598</v>
      </c>
      <c r="U37" s="639">
        <f>平成23年度!H37/平成23年度!S37</f>
        <v>0.23615919545301214</v>
      </c>
      <c r="V37" s="640">
        <f>平成23年度!L37/平成23年度!H37</f>
        <v>7.2892238158181161E-2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 t="e">
        <f>#VALUE!</f>
        <v>#VALUE!</v>
      </c>
      <c r="D38" s="643" t="e">
        <f>#VALUE!</f>
        <v>#VALUE!</v>
      </c>
      <c r="E38" s="644" t="e">
        <f>#VALUE!</f>
        <v>#VALUE!</v>
      </c>
      <c r="F38" s="644" t="e">
        <f>#VALUE!</f>
        <v>#VALUE!</v>
      </c>
      <c r="G38" s="645" t="e">
        <f>#VALUE!</f>
        <v>#VALUE!</v>
      </c>
      <c r="H38" s="642" t="e">
        <f>#VALUE!</f>
        <v>#VALUE!</v>
      </c>
      <c r="I38" s="643" t="e">
        <f>#VALUE!</f>
        <v>#VALUE!</v>
      </c>
      <c r="J38" s="644" t="e">
        <f>#VALUE!</f>
        <v>#VALUE!</v>
      </c>
      <c r="K38" s="644" t="e">
        <f>#VALUE!</f>
        <v>#VALUE!</v>
      </c>
      <c r="L38" s="644" t="e">
        <f>#VALUE!</f>
        <v>#VALUE!</v>
      </c>
      <c r="M38" s="644" t="e">
        <f>#VALUE!</f>
        <v>#VALUE!</v>
      </c>
      <c r="N38" s="645" t="e">
        <f>#VALUE!</f>
        <v>#VALUE!</v>
      </c>
      <c r="O38" s="642" t="e">
        <f>#VALUE!</f>
        <v>#VALUE!</v>
      </c>
      <c r="P38" s="646" t="e">
        <f>#VALUE!</f>
        <v>#VALUE!</v>
      </c>
      <c r="Q38" s="645" t="e">
        <f>#VALUE!</f>
        <v>#VALUE!</v>
      </c>
      <c r="R38" s="642" t="e">
        <f>#VALUE!</f>
        <v>#VALUE!</v>
      </c>
      <c r="S38" s="643" t="e">
        <f>#VALUE!</f>
        <v>#VALUE!</v>
      </c>
      <c r="T38" s="647" t="e">
        <f>平成23年度!C38/平成23年度!R38</f>
        <v>#VALUE!</v>
      </c>
      <c r="U38" s="647" t="e">
        <f>平成23年度!H38/平成23年度!S38</f>
        <v>#VALUE!</v>
      </c>
      <c r="V38" s="648" t="e">
        <f>平成23年度!L38/平成23年度!H38</f>
        <v>#VALUE!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ht="20.149999999999999" customHeight="1" x14ac:dyDescent="0.2">
      <c r="B40" s="478" t="s">
        <v>475</v>
      </c>
      <c r="J40" s="478" t="s">
        <v>1152</v>
      </c>
      <c r="R40" s="478">
        <v>29298</v>
      </c>
      <c r="Y40" s="650"/>
      <c r="Z40" s="650"/>
      <c r="AA40" s="650"/>
      <c r="AB40" s="650"/>
      <c r="AC40" s="650"/>
      <c r="AD40" s="650"/>
      <c r="AE40" s="650"/>
      <c r="AF40" s="650"/>
      <c r="AG40" s="650"/>
      <c r="AH40" s="650"/>
      <c r="AI40" s="650"/>
    </row>
    <row r="41" spans="1:35" ht="20.149999999999999" customHeight="1" x14ac:dyDescent="0.2">
      <c r="C41" s="478" t="s">
        <v>682</v>
      </c>
      <c r="D41" s="478" t="s">
        <v>1483</v>
      </c>
      <c r="E41" s="478" t="s">
        <v>1484</v>
      </c>
      <c r="F41" s="478" t="s">
        <v>1485</v>
      </c>
      <c r="K41" s="478" t="s">
        <v>405</v>
      </c>
      <c r="L41" s="478" t="s">
        <v>1160</v>
      </c>
      <c r="M41" s="478" t="s">
        <v>817</v>
      </c>
      <c r="N41" s="478" t="s">
        <v>907</v>
      </c>
      <c r="R41" s="478" t="s">
        <v>1158</v>
      </c>
    </row>
    <row r="42" spans="1:35" ht="20.149999999999999" customHeight="1" x14ac:dyDescent="0.2">
      <c r="J42" s="478" t="s">
        <v>1164</v>
      </c>
      <c r="K42" s="651">
        <v>26128</v>
      </c>
      <c r="L42" s="651">
        <v>26088</v>
      </c>
      <c r="M42" s="651">
        <v>26606</v>
      </c>
      <c r="N42" s="651">
        <v>27066</v>
      </c>
      <c r="O42" s="651"/>
      <c r="P42" s="651"/>
      <c r="Q42" s="651"/>
      <c r="R42" s="477">
        <f>ROUND(+平成23年度!R43*平成23年度!N42,0)</f>
        <v>27605</v>
      </c>
      <c r="S42" s="478" t="s">
        <v>1165</v>
      </c>
      <c r="W42" s="650"/>
      <c r="X42" s="650"/>
      <c r="AD42" s="652"/>
    </row>
    <row r="43" spans="1:35" ht="20.149999999999999" customHeight="1" x14ac:dyDescent="0.2">
      <c r="B43" s="478" t="s">
        <v>481</v>
      </c>
      <c r="C43" s="478">
        <f>(+平成10年度!K19+平成11年度!K27)/6</f>
        <v>20106.166666666668</v>
      </c>
      <c r="D43" s="478">
        <f>(+平成11年度!K19+平成12年度!K27)/6</f>
        <v>21676.833333333332</v>
      </c>
      <c r="E43" s="478">
        <f>(+平成12年度!K19+平成13年度!K27)/6</f>
        <v>23223.666666666668</v>
      </c>
      <c r="F43" s="653">
        <f>ROUND((+平成13年度!K19+平成14年度!K27)/6,0)</f>
        <v>24752</v>
      </c>
      <c r="G43" s="653">
        <f>ROUND((+平成14年度!K19+平成23年度!K27)/6,0)</f>
        <v>26048</v>
      </c>
      <c r="L43" s="478">
        <f>ROUND(+平成23年度!L42/平成23年度!K42,4)</f>
        <v>0.99850000000000005</v>
      </c>
      <c r="M43" s="478">
        <f>ROUND(+平成23年度!M42/平成23年度!L42,4)</f>
        <v>1.0199</v>
      </c>
      <c r="N43" s="478">
        <f>平成23年度!M43</f>
        <v>1.0199</v>
      </c>
      <c r="R43" s="478">
        <f>ROUND((平成23年度!M43+平成23年度!N43)/2,4)</f>
        <v>1.0199</v>
      </c>
      <c r="Y43" s="650"/>
    </row>
    <row r="44" spans="1:35" ht="20.149999999999999" customHeight="1" x14ac:dyDescent="0.2">
      <c r="B44" s="654" t="s">
        <v>482</v>
      </c>
      <c r="C44" s="654"/>
      <c r="D44" s="655">
        <f>平成23年度!D43/平成23年度!C43</f>
        <v>1.0781186534811042</v>
      </c>
      <c r="E44" s="655">
        <f>平成23年度!E43/平成23年度!D43</f>
        <v>1.0713588239364606</v>
      </c>
      <c r="F44" s="656">
        <f>ROUND(+平成23年度!F43/平成23年度!E43,4)</f>
        <v>1.0658000000000001</v>
      </c>
      <c r="G44" s="656">
        <f>ROUND(+平成23年度!G43/平成23年度!F43,4)</f>
        <v>1.0524</v>
      </c>
      <c r="J44" s="478" t="s">
        <v>1168</v>
      </c>
      <c r="K44" s="478">
        <f>ROUND(+平成23年度!K46/平成23年度!K42,4)</f>
        <v>0.99309999999999998</v>
      </c>
      <c r="L44" s="478">
        <f>ROUND(+平成23年度!L46/平成23年度!L42,4)</f>
        <v>0.99739999999999995</v>
      </c>
      <c r="M44" s="478">
        <f>ROUND(+平成23年度!M46/平成23年度!M42,4)</f>
        <v>1.0001</v>
      </c>
      <c r="N44" s="478">
        <f>平成23年度!M44</f>
        <v>1.0001</v>
      </c>
      <c r="R44" s="478">
        <f>ROUND((+平成23年度!N44+平成23年度!M44)/2,4)</f>
        <v>1.0001</v>
      </c>
      <c r="W44" s="650"/>
      <c r="X44" s="657" t="s">
        <v>275</v>
      </c>
      <c r="Z44" s="658" t="str">
        <f>平成23年度!C3</f>
        <v>平成23年度</v>
      </c>
      <c r="AA44" s="650"/>
      <c r="AB44" s="650"/>
      <c r="AC44" s="650"/>
      <c r="AD44" s="650"/>
      <c r="AE44" s="650"/>
      <c r="AF44" s="650"/>
      <c r="AG44" s="650" t="s">
        <v>275</v>
      </c>
      <c r="AH44" s="652" t="s">
        <v>688</v>
      </c>
    </row>
    <row r="45" spans="1:35" ht="20.149999999999999" customHeight="1" x14ac:dyDescent="0.25">
      <c r="B45" s="478" t="s">
        <v>486</v>
      </c>
      <c r="C45" s="478">
        <f>平成11年度!K36</f>
        <v>20475.5</v>
      </c>
      <c r="D45" s="478">
        <f>平成12年度!K36</f>
        <v>22050</v>
      </c>
      <c r="E45" s="478">
        <f>平成13年度!K36</f>
        <v>23571.333333333332</v>
      </c>
      <c r="F45" s="659">
        <f>平成14年度!K36</f>
        <v>25003.416666666668</v>
      </c>
      <c r="G45" s="659">
        <f>ROUND(+平成23年度!F46*平成23年度!G43,0)</f>
        <v>26314</v>
      </c>
      <c r="H45" s="659">
        <f>平成23年度!G45*平成23年度!G47</f>
        <v>27692.853599999999</v>
      </c>
      <c r="N45" s="477">
        <f>ROUND(+平成23年度!N44*平成23年度!N42,0)</f>
        <v>27069</v>
      </c>
      <c r="O45" s="477"/>
      <c r="P45" s="477"/>
      <c r="Q45" s="477"/>
      <c r="R45" s="477">
        <f>ROUND(+平成23年度!R42*平成23年度!R44,0)</f>
        <v>27608</v>
      </c>
      <c r="T45" s="651"/>
      <c r="U45" s="651"/>
      <c r="V45" s="651"/>
      <c r="W45" s="651"/>
      <c r="X45" s="660"/>
      <c r="Y45" s="661" t="s">
        <v>11</v>
      </c>
      <c r="Z45" s="662" t="s">
        <v>286</v>
      </c>
      <c r="AA45" s="662" t="s">
        <v>287</v>
      </c>
      <c r="AB45" s="662" t="s">
        <v>288</v>
      </c>
      <c r="AC45" s="662" t="s">
        <v>289</v>
      </c>
      <c r="AD45" s="663" t="s">
        <v>290</v>
      </c>
      <c r="AE45" s="663" t="s">
        <v>6</v>
      </c>
      <c r="AF45" s="663" t="s">
        <v>7</v>
      </c>
      <c r="AG45" s="664" t="s">
        <v>8</v>
      </c>
      <c r="AH45" s="664" t="s">
        <v>9</v>
      </c>
      <c r="AI45" s="665" t="s">
        <v>10</v>
      </c>
    </row>
    <row r="46" spans="1:35" ht="20.149999999999999" customHeight="1" x14ac:dyDescent="0.2">
      <c r="B46" s="654" t="s">
        <v>498</v>
      </c>
      <c r="C46" s="655">
        <f>平成23年度!C45/平成23年度!C43</f>
        <v>1.0183691570579507</v>
      </c>
      <c r="D46" s="655">
        <f>平成23年度!D45/平成23年度!D43</f>
        <v>1.0172149991157995</v>
      </c>
      <c r="E46" s="655">
        <f>平成23年度!E45/平成23年度!E43</f>
        <v>1.0149703606952676</v>
      </c>
      <c r="F46" s="655">
        <f>ROUND(+平成23年度!F45/平成23年度!F43,4)</f>
        <v>1.0102</v>
      </c>
      <c r="G46" s="655">
        <f>ROUND((+平成23年度!E46+平成23年度!F46)/2,4)</f>
        <v>1.0125999999999999</v>
      </c>
      <c r="J46" s="478" t="s">
        <v>1185</v>
      </c>
      <c r="K46" s="651">
        <v>25949</v>
      </c>
      <c r="L46" s="651">
        <v>26021</v>
      </c>
      <c r="M46" s="651">
        <v>26608</v>
      </c>
      <c r="W46" s="666"/>
      <c r="X46" s="667"/>
      <c r="Y46" s="668" t="s">
        <v>296</v>
      </c>
      <c r="Z46" s="669" t="s">
        <v>297</v>
      </c>
      <c r="AA46" s="670" t="s">
        <v>18</v>
      </c>
      <c r="AB46" s="670" t="s">
        <v>19</v>
      </c>
      <c r="AC46" s="671" t="s">
        <v>503</v>
      </c>
      <c r="AD46" s="672"/>
      <c r="AE46" s="673" t="s">
        <v>302</v>
      </c>
      <c r="AF46" s="673" t="s">
        <v>303</v>
      </c>
      <c r="AG46" s="673" t="s">
        <v>304</v>
      </c>
      <c r="AH46" s="673" t="s">
        <v>305</v>
      </c>
      <c r="AI46" s="674" t="s">
        <v>306</v>
      </c>
    </row>
    <row r="47" spans="1:35" ht="20.149999999999999" customHeight="1" x14ac:dyDescent="0.2">
      <c r="B47" s="654" t="s">
        <v>509</v>
      </c>
      <c r="C47" s="654"/>
      <c r="D47" s="655">
        <f>平成23年度!D45/平成23年度!C45</f>
        <v>1.076896779077434</v>
      </c>
      <c r="E47" s="655">
        <f>平成23年度!E45/平成23年度!D45</f>
        <v>1.0689947089947089</v>
      </c>
      <c r="F47" s="655">
        <f>ROUND(+平成23年度!F45/平成23年度!E45,4)</f>
        <v>1.0608</v>
      </c>
      <c r="G47" s="655">
        <f>ROUND(+平成23年度!G45/平成23年度!F45,4)</f>
        <v>1.0524</v>
      </c>
      <c r="L47" s="478">
        <f>ROUND(+平成23年度!L46/平成23年度!K46,4)</f>
        <v>1.0027999999999999</v>
      </c>
      <c r="M47" s="478">
        <f>ROUND(+平成23年度!M46/平成23年度!L46,4)</f>
        <v>1.0226</v>
      </c>
      <c r="N47" s="478">
        <f>平成23年度!M47</f>
        <v>1.0226</v>
      </c>
      <c r="R47" s="478">
        <f>平成23年度!N47</f>
        <v>1.0226</v>
      </c>
      <c r="W47" s="650"/>
      <c r="X47" s="675"/>
      <c r="Y47" s="676"/>
      <c r="Z47" s="677"/>
      <c r="AA47" s="677"/>
      <c r="AB47" s="677"/>
      <c r="AC47" s="678"/>
      <c r="AD47" s="679">
        <f>平成23年度!M8</f>
        <v>3827</v>
      </c>
      <c r="AE47" s="677" t="s">
        <v>275</v>
      </c>
      <c r="AF47" s="677"/>
      <c r="AG47" s="680"/>
      <c r="AH47" s="680"/>
      <c r="AI47" s="681"/>
    </row>
    <row r="48" spans="1:35" ht="20.149999999999999" customHeight="1" x14ac:dyDescent="0.2">
      <c r="J48" s="478" t="s">
        <v>1198</v>
      </c>
      <c r="N48" s="477">
        <f>ROUND(+平成23年度!M46*平成23年度!N47,0)</f>
        <v>27209</v>
      </c>
      <c r="O48" s="477"/>
      <c r="P48" s="477"/>
      <c r="Q48" s="477"/>
      <c r="R48" s="682">
        <f>ROUND(+平成23年度!N48*平成23年度!R47,0)</f>
        <v>27824</v>
      </c>
      <c r="W48" s="650" t="s">
        <v>308</v>
      </c>
      <c r="X48" s="667" t="s">
        <v>40</v>
      </c>
      <c r="Y48" s="683">
        <f>平成23年度!C8</f>
        <v>42957</v>
      </c>
      <c r="Z48" s="684">
        <f>平成23年度!H8</f>
        <v>74775</v>
      </c>
      <c r="AA48" s="684">
        <f>平成23年度!Z48-平成23年度!AB48-平成23年度!AC48</f>
        <v>43024</v>
      </c>
      <c r="AB48" s="684">
        <f>平成23年度!K8</f>
        <v>26286</v>
      </c>
      <c r="AC48" s="685">
        <f>平成23年度!AD47+平成23年度!AD48</f>
        <v>5465</v>
      </c>
      <c r="AD48" s="686">
        <f>平成23年度!N8</f>
        <v>1638</v>
      </c>
      <c r="AE48" s="684">
        <f>平成23年度!R8</f>
        <v>128558</v>
      </c>
      <c r="AF48" s="683">
        <f>平成23年度!S8</f>
        <v>314405</v>
      </c>
      <c r="AG48" s="687">
        <f>平成23年度!Y48/+平成23年度!AE48</f>
        <v>0.33414489957840043</v>
      </c>
      <c r="AH48" s="688">
        <f>平成23年度!Z48/+平成23年度!AF48</f>
        <v>0.23783018717895707</v>
      </c>
      <c r="AI48" s="689">
        <f>平成23年度!AC48/+平成23年度!Z48</f>
        <v>7.3085924439986627E-2</v>
      </c>
    </row>
    <row r="49" spans="1:35" ht="20.149999999999999" customHeight="1" x14ac:dyDescent="0.2">
      <c r="G49" s="690" t="s">
        <v>940</v>
      </c>
      <c r="H49" s="690" t="s">
        <v>940</v>
      </c>
      <c r="W49" s="650"/>
      <c r="X49" s="675"/>
      <c r="Y49" s="676" t="s">
        <v>275</v>
      </c>
      <c r="Z49" s="677"/>
      <c r="AA49" s="677"/>
      <c r="AB49" s="677"/>
      <c r="AC49" s="691"/>
      <c r="AD49" s="679">
        <f>平成23年度!M9</f>
        <v>3843</v>
      </c>
      <c r="AE49" s="677"/>
      <c r="AF49" s="676"/>
      <c r="AG49" s="692"/>
      <c r="AH49" s="680"/>
      <c r="AI49" s="693"/>
    </row>
    <row r="50" spans="1:35" ht="20.149999999999999" customHeight="1" x14ac:dyDescent="0.2">
      <c r="G50" s="694">
        <f>IF(+平成23年度!G45&gt;0,ROUNDUP(+平成23年度!G45,-2),ROUNDDOWN(+平成23年度!G45,-2))</f>
        <v>26400</v>
      </c>
      <c r="H50" s="694">
        <f>IF(+平成23年度!H45&gt;0,ROUNDUP(+平成23年度!H45,-2),ROUNDDOWN(+平成23年度!H45,-2))</f>
        <v>27700</v>
      </c>
      <c r="W50" s="650"/>
      <c r="X50" s="667" t="s">
        <v>41</v>
      </c>
      <c r="Y50" s="683">
        <f>平成23年度!C9</f>
        <v>42937</v>
      </c>
      <c r="Z50" s="684">
        <f>平成23年度!H9</f>
        <v>74578</v>
      </c>
      <c r="AA50" s="684">
        <f>平成23年度!Z50-平成23年度!AB50-平成23年度!AC50</f>
        <v>42857</v>
      </c>
      <c r="AB50" s="684">
        <f>平成23年度!K9</f>
        <v>26243</v>
      </c>
      <c r="AC50" s="685">
        <f>平成23年度!AD49+平成23年度!AD50</f>
        <v>5478</v>
      </c>
      <c r="AD50" s="686">
        <f>平成23年度!N9</f>
        <v>1635</v>
      </c>
      <c r="AE50" s="684">
        <f>平成23年度!R9</f>
        <v>128700</v>
      </c>
      <c r="AF50" s="683">
        <f>平成23年度!S9</f>
        <v>314490</v>
      </c>
      <c r="AG50" s="687">
        <f>平成23年度!Y50/+平成23年度!AE50</f>
        <v>0.33362082362082363</v>
      </c>
      <c r="AH50" s="688">
        <f>平成23年度!Z50/+平成23年度!AF50</f>
        <v>0.23713949569143694</v>
      </c>
      <c r="AI50" s="689">
        <f>平成23年度!AC50/+平成23年度!Z50</f>
        <v>7.3453297219019012E-2</v>
      </c>
    </row>
    <row r="51" spans="1:35" ht="20.149999999999999" customHeight="1" x14ac:dyDescent="0.2">
      <c r="A51" s="695" t="s">
        <v>1205</v>
      </c>
      <c r="K51" s="478" t="s">
        <v>405</v>
      </c>
      <c r="L51" s="478" t="s">
        <v>1160</v>
      </c>
      <c r="M51" s="478" t="s">
        <v>817</v>
      </c>
      <c r="N51" s="478" t="s">
        <v>907</v>
      </c>
      <c r="R51" s="478" t="s">
        <v>1158</v>
      </c>
      <c r="W51" s="650"/>
      <c r="X51" s="675"/>
      <c r="Y51" s="676" t="s">
        <v>275</v>
      </c>
      <c r="Z51" s="677" t="s">
        <v>275</v>
      </c>
      <c r="AA51" s="677" t="s">
        <v>275</v>
      </c>
      <c r="AB51" s="677"/>
      <c r="AC51" s="678"/>
      <c r="AD51" s="679">
        <f>平成23年度!M10</f>
        <v>3847</v>
      </c>
      <c r="AE51" s="677"/>
      <c r="AF51" s="677"/>
      <c r="AG51" s="680" t="s">
        <v>275</v>
      </c>
      <c r="AH51" s="680" t="s">
        <v>275</v>
      </c>
      <c r="AI51" s="681" t="s">
        <v>275</v>
      </c>
    </row>
    <row r="52" spans="1:35" ht="20.149999999999999" customHeight="1" x14ac:dyDescent="0.2">
      <c r="A52" s="477" t="s">
        <v>1217</v>
      </c>
      <c r="C52" s="478" t="s">
        <v>477</v>
      </c>
      <c r="D52" s="478" t="s">
        <v>478</v>
      </c>
      <c r="E52" s="478" t="s">
        <v>479</v>
      </c>
      <c r="F52" s="478" t="s">
        <v>480</v>
      </c>
      <c r="G52" s="478" t="s">
        <v>682</v>
      </c>
      <c r="H52" s="478" t="s">
        <v>907</v>
      </c>
      <c r="J52" s="478" t="s">
        <v>1164</v>
      </c>
      <c r="K52" s="651">
        <v>26128</v>
      </c>
      <c r="L52" s="651">
        <v>26088</v>
      </c>
      <c r="M52" s="651">
        <v>26606</v>
      </c>
      <c r="N52" s="651">
        <v>27066</v>
      </c>
      <c r="O52" s="651"/>
      <c r="P52" s="651"/>
      <c r="Q52" s="651"/>
      <c r="W52" s="650"/>
      <c r="X52" s="667" t="s">
        <v>42</v>
      </c>
      <c r="Y52" s="683">
        <f>平成23年度!C10</f>
        <v>42932</v>
      </c>
      <c r="Z52" s="684">
        <f>平成23年度!H10</f>
        <v>74522</v>
      </c>
      <c r="AA52" s="684">
        <f>平成23年度!Z52-平成23年度!AB52-平成23年度!AC52</f>
        <v>42811</v>
      </c>
      <c r="AB52" s="684">
        <f>平成23年度!K10</f>
        <v>26223</v>
      </c>
      <c r="AC52" s="685">
        <f>平成23年度!AD51+平成23年度!AD52</f>
        <v>5488</v>
      </c>
      <c r="AD52" s="686">
        <f>平成23年度!N10</f>
        <v>1641</v>
      </c>
      <c r="AE52" s="684">
        <f>平成23年度!R10</f>
        <v>128786</v>
      </c>
      <c r="AF52" s="683">
        <f>平成23年度!S10</f>
        <v>314572</v>
      </c>
      <c r="AG52" s="687">
        <f>平成23年度!Y52/+平成23年度!AE52</f>
        <v>0.33335921606385788</v>
      </c>
      <c r="AH52" s="688">
        <f>平成23年度!Z52/+平成23年度!AF52</f>
        <v>0.23689966049107994</v>
      </c>
      <c r="AI52" s="689">
        <f>平成23年度!AC52/+平成23年度!Z52</f>
        <v>7.3642682697726849E-2</v>
      </c>
    </row>
    <row r="53" spans="1:35" ht="20.149999999999999" customHeight="1" x14ac:dyDescent="0.2">
      <c r="K53" s="478">
        <v>48779</v>
      </c>
      <c r="L53" s="478">
        <v>48738</v>
      </c>
      <c r="M53" s="478">
        <v>49951</v>
      </c>
      <c r="N53" s="478">
        <v>50707</v>
      </c>
      <c r="W53" s="650"/>
      <c r="X53" s="675"/>
      <c r="Y53" s="676"/>
      <c r="Z53" s="677"/>
      <c r="AA53" s="677" t="s">
        <v>275</v>
      </c>
      <c r="AB53" s="677"/>
      <c r="AC53" s="691"/>
      <c r="AD53" s="679">
        <f>平成23年度!M11</f>
        <v>3912</v>
      </c>
      <c r="AE53" s="677"/>
      <c r="AF53" s="676"/>
      <c r="AG53" s="692" t="s">
        <v>275</v>
      </c>
      <c r="AH53" s="680" t="s">
        <v>275</v>
      </c>
      <c r="AI53" s="693" t="s">
        <v>275</v>
      </c>
    </row>
    <row r="54" spans="1:35" ht="20.149999999999999" customHeight="1" x14ac:dyDescent="0.2">
      <c r="B54" s="478" t="s">
        <v>1230</v>
      </c>
      <c r="C54" s="478" t="e">
        <f>ROUND(SUM(+平成10年度!P8:P12)/5,0)</f>
        <v>#VALUE!</v>
      </c>
      <c r="D54" s="478" t="e">
        <f>ROUND(SUM(+平成11年度!P8:P12)/5,0)</f>
        <v>#VALUE!</v>
      </c>
      <c r="E54" s="478" t="e">
        <f>ROUND(SUM(+平成12年度!P8:P12)/5,0)</f>
        <v>#VALUE!</v>
      </c>
      <c r="F54" s="653" t="e">
        <f>ROUND(SUM(+平成13年度!P8:P12)/5,0)</f>
        <v>#VALUE!</v>
      </c>
      <c r="G54" s="653" t="e">
        <f>ROUND(SUM(+平成14年度!P8:P12)/5,0)</f>
        <v>#VALUE!</v>
      </c>
      <c r="H54" s="478" t="e">
        <f>ROUND(SUM(+平成23年度!S8:S12)/5,0)</f>
        <v>#VALUE!</v>
      </c>
      <c r="W54" s="650"/>
      <c r="X54" s="667" t="s">
        <v>43</v>
      </c>
      <c r="Y54" s="683">
        <f>平成23年度!C11</f>
        <v>42957</v>
      </c>
      <c r="Z54" s="684">
        <f>平成23年度!H11</f>
        <v>74602</v>
      </c>
      <c r="AA54" s="684">
        <f>平成23年度!Z54-平成23年度!AB54-平成23年度!AC54</f>
        <v>42776</v>
      </c>
      <c r="AB54" s="684">
        <f>平成23年度!K11</f>
        <v>26249</v>
      </c>
      <c r="AC54" s="685">
        <f>平成23年度!AD53+平成23年度!AD54</f>
        <v>5577</v>
      </c>
      <c r="AD54" s="686">
        <f>平成23年度!N11</f>
        <v>1665</v>
      </c>
      <c r="AE54" s="684">
        <f>平成23年度!R11</f>
        <v>128814</v>
      </c>
      <c r="AF54" s="683">
        <f>平成23年度!S11</f>
        <v>314542</v>
      </c>
      <c r="AG54" s="687">
        <f>平成23年度!Y54/+平成23年度!AE54</f>
        <v>0.33348083282872981</v>
      </c>
      <c r="AH54" s="688">
        <f>平成23年度!Z54/+平成23年度!AF54</f>
        <v>0.23717659326894341</v>
      </c>
      <c r="AI54" s="689">
        <f>平成23年度!AC54/+平成23年度!Z54</f>
        <v>7.4756708935417276E-2</v>
      </c>
    </row>
    <row r="55" spans="1:35" ht="20.149999999999999" customHeight="1" x14ac:dyDescent="0.2">
      <c r="B55" s="654" t="s">
        <v>1232</v>
      </c>
      <c r="C55" s="654"/>
      <c r="D55" s="655" t="e">
        <f>平成23年度!D54/平成23年度!C54</f>
        <v>#VALUE!</v>
      </c>
      <c r="E55" s="655" t="e">
        <f>平成23年度!E54/平成23年度!D54</f>
        <v>#VALUE!</v>
      </c>
      <c r="F55" s="656" t="e">
        <f>ROUND(+平成23年度!F54/平成23年度!E54,4)</f>
        <v>#VALUE!</v>
      </c>
      <c r="G55" s="656" t="e">
        <f>ROUND(+平成23年度!G54/平成23年度!F54,4)</f>
        <v>#VALUE!</v>
      </c>
      <c r="H55" s="656" t="e">
        <f>ROUND(+平成23年度!H54/平成23年度!G54,4)</f>
        <v>#VALUE!</v>
      </c>
      <c r="J55" s="478" t="s">
        <v>1185</v>
      </c>
      <c r="K55" s="651">
        <v>25949</v>
      </c>
      <c r="L55" s="651">
        <v>26021</v>
      </c>
      <c r="M55" s="651">
        <v>26608</v>
      </c>
      <c r="N55" s="478">
        <f>ROUND(ROUND(+平成23年度!M55/平成23年度!L55,4)*平成23年度!M55,0)</f>
        <v>27209</v>
      </c>
      <c r="W55" s="650"/>
      <c r="X55" s="675"/>
      <c r="Y55" s="676"/>
      <c r="Z55" s="677"/>
      <c r="AA55" s="677" t="s">
        <v>275</v>
      </c>
      <c r="AB55" s="677"/>
      <c r="AC55" s="678"/>
      <c r="AD55" s="679">
        <f>平成23年度!M12</f>
        <v>4024</v>
      </c>
      <c r="AE55" s="677"/>
      <c r="AF55" s="677"/>
      <c r="AG55" s="680" t="s">
        <v>275</v>
      </c>
      <c r="AH55" s="680" t="s">
        <v>275</v>
      </c>
      <c r="AI55" s="681" t="s">
        <v>275</v>
      </c>
    </row>
    <row r="56" spans="1:35" ht="20.149999999999999" customHeight="1" x14ac:dyDescent="0.25">
      <c r="B56" s="478" t="s">
        <v>486</v>
      </c>
      <c r="C56" s="478" t="e">
        <f>平成10年度!P21</f>
        <v>#VALUE!</v>
      </c>
      <c r="D56" s="478">
        <f>平成11年度!P21</f>
        <v>292958.75</v>
      </c>
      <c r="E56" s="478" t="e">
        <f>平成12年度!P21</f>
        <v>#VALUE!</v>
      </c>
      <c r="F56" s="659" t="e">
        <f>平成13年度!P21</f>
        <v>#VALUE!</v>
      </c>
      <c r="G56" s="659" t="e">
        <f>平成14年度!P21</f>
        <v>#VALUE!</v>
      </c>
      <c r="H56" s="659" t="s">
        <v>275</v>
      </c>
      <c r="K56" s="478">
        <v>48708</v>
      </c>
      <c r="L56" s="478">
        <v>49113</v>
      </c>
      <c r="M56" s="478">
        <v>50246</v>
      </c>
      <c r="N56" s="478">
        <f>ROUND(ROUND(+平成23年度!M56/平成23年度!L56,4)*平成23年度!M56,0)</f>
        <v>51407</v>
      </c>
      <c r="W56" s="650"/>
      <c r="X56" s="667" t="s">
        <v>44</v>
      </c>
      <c r="Y56" s="683">
        <f>平成23年度!C12</f>
        <v>42891</v>
      </c>
      <c r="Z56" s="684">
        <f>平成23年度!H12</f>
        <v>74403</v>
      </c>
      <c r="AA56" s="684">
        <f>平成23年度!Z56-平成23年度!AB56-平成23年度!AC56</f>
        <v>42479</v>
      </c>
      <c r="AB56" s="684">
        <f>平成23年度!K12</f>
        <v>26253</v>
      </c>
      <c r="AC56" s="685">
        <f>平成23年度!AD55+平成23年度!AD56</f>
        <v>5671</v>
      </c>
      <c r="AD56" s="686">
        <f>平成23年度!N12</f>
        <v>1647</v>
      </c>
      <c r="AE56" s="684">
        <f>平成23年度!R12</f>
        <v>128958</v>
      </c>
      <c r="AF56" s="683">
        <f>平成23年度!S12</f>
        <v>314721</v>
      </c>
      <c r="AG56" s="687">
        <f>平成23年度!Y56/+平成23年度!AE56</f>
        <v>0.33259665937747174</v>
      </c>
      <c r="AH56" s="688">
        <f>平成23年度!Z56/+平成23年度!AF56</f>
        <v>0.23640939117504076</v>
      </c>
      <c r="AI56" s="689">
        <f>平成23年度!AC56/+平成23年度!Z56</f>
        <v>7.6220044890663016E-2</v>
      </c>
    </row>
    <row r="57" spans="1:35" ht="20.149999999999999" customHeight="1" x14ac:dyDescent="0.2">
      <c r="B57" s="654" t="s">
        <v>1241</v>
      </c>
      <c r="C57" s="655" t="e">
        <f>平成23年度!C56/平成23年度!C54</f>
        <v>#VALUE!</v>
      </c>
      <c r="D57" s="655" t="e">
        <f>平成23年度!D56/平成23年度!D54</f>
        <v>#VALUE!</v>
      </c>
      <c r="E57" s="655" t="e">
        <f>平成23年度!E56/平成23年度!E54</f>
        <v>#VALUE!</v>
      </c>
      <c r="F57" s="655" t="e">
        <f>ROUND(+平成23年度!F56/平成23年度!F54,4)</f>
        <v>#VALUE!</v>
      </c>
      <c r="G57" s="655" t="e">
        <f>ROUND((+平成23年度!E57+平成23年度!F57)/2,4)</f>
        <v>#VALUE!</v>
      </c>
      <c r="J57" s="478" t="s">
        <v>1242</v>
      </c>
      <c r="K57" s="478" t="s">
        <v>1243</v>
      </c>
      <c r="L57" s="478" t="s">
        <v>1244</v>
      </c>
      <c r="M57" s="478" t="s">
        <v>1245</v>
      </c>
      <c r="N57" s="478" t="s">
        <v>1246</v>
      </c>
      <c r="R57" s="478" t="s">
        <v>1247</v>
      </c>
      <c r="S57" s="478" t="s">
        <v>1248</v>
      </c>
      <c r="W57" s="650"/>
      <c r="X57" s="675"/>
      <c r="Y57" s="676"/>
      <c r="Z57" s="677"/>
      <c r="AA57" s="677" t="s">
        <v>275</v>
      </c>
      <c r="AB57" s="677"/>
      <c r="AC57" s="678"/>
      <c r="AD57" s="679">
        <f>平成23年度!M13</f>
        <v>3977</v>
      </c>
      <c r="AE57" s="677"/>
      <c r="AF57" s="677"/>
      <c r="AG57" s="680" t="s">
        <v>275</v>
      </c>
      <c r="AH57" s="680" t="s">
        <v>275</v>
      </c>
      <c r="AI57" s="681" t="s">
        <v>275</v>
      </c>
    </row>
    <row r="58" spans="1:35" ht="20.149999999999999" customHeight="1" x14ac:dyDescent="0.2">
      <c r="B58" s="654" t="s">
        <v>509</v>
      </c>
      <c r="C58" s="654"/>
      <c r="D58" s="655" t="e">
        <f>平成23年度!D56/平成23年度!C56</f>
        <v>#VALUE!</v>
      </c>
      <c r="E58" s="655" t="e">
        <f>平成23年度!E56/平成23年度!D56</f>
        <v>#VALUE!</v>
      </c>
      <c r="F58" s="655" t="e">
        <f>ROUND(+平成23年度!F56/平成23年度!E56,4)</f>
        <v>#VALUE!</v>
      </c>
      <c r="G58" s="655" t="e">
        <f>ROUND(+平成23年度!G56/平成23年度!F56,4)</f>
        <v>#VALUE!</v>
      </c>
      <c r="I58" s="478" t="s">
        <v>1254</v>
      </c>
      <c r="J58" s="651">
        <v>26128</v>
      </c>
      <c r="K58" s="651">
        <v>25949</v>
      </c>
      <c r="L58" s="651">
        <v>26088</v>
      </c>
      <c r="M58" s="651">
        <v>26021</v>
      </c>
      <c r="N58" s="651">
        <v>26606</v>
      </c>
      <c r="O58" s="651"/>
      <c r="P58" s="651"/>
      <c r="Q58" s="651"/>
      <c r="R58" s="651">
        <v>26608</v>
      </c>
      <c r="S58" s="651">
        <v>27066</v>
      </c>
      <c r="W58" s="650"/>
      <c r="X58" s="667" t="s">
        <v>45</v>
      </c>
      <c r="Y58" s="683">
        <f>平成23年度!C13</f>
        <v>42804</v>
      </c>
      <c r="Z58" s="684">
        <f>平成23年度!H13</f>
        <v>74218</v>
      </c>
      <c r="AA58" s="684">
        <f>平成23年度!Z58-平成23年度!AB58-平成23年度!AC58</f>
        <v>42366</v>
      </c>
      <c r="AB58" s="684">
        <f>平成23年度!K13</f>
        <v>26263</v>
      </c>
      <c r="AC58" s="685">
        <f>平成23年度!AD57+平成23年度!AD58</f>
        <v>5589</v>
      </c>
      <c r="AD58" s="686">
        <f>平成23年度!N13</f>
        <v>1612</v>
      </c>
      <c r="AE58" s="684">
        <f>平成23年度!R13</f>
        <v>128968</v>
      </c>
      <c r="AF58" s="683">
        <f>平成23年度!S13</f>
        <v>314623</v>
      </c>
      <c r="AG58" s="687">
        <f>平成23年度!Y58/+平成23年度!AE58</f>
        <v>0.33189628434960611</v>
      </c>
      <c r="AH58" s="688">
        <f>平成23年度!Z58/+平成23年度!AF58</f>
        <v>0.23589502356788919</v>
      </c>
      <c r="AI58" s="689">
        <f>平成23年度!AC58/+平成23年度!Z58</f>
        <v>7.5305182031313159E-2</v>
      </c>
    </row>
    <row r="59" spans="1:35" ht="20.149999999999999" customHeight="1" x14ac:dyDescent="0.2">
      <c r="J59" s="515">
        <v>1</v>
      </c>
      <c r="K59" s="515">
        <f>ROUND(+平成23年度!K58/平成23年度!J58,4)</f>
        <v>0.99309999999999998</v>
      </c>
      <c r="L59" s="515">
        <f>ROUND(+平成23年度!L58/平成23年度!K58,4)</f>
        <v>1.0054000000000001</v>
      </c>
      <c r="M59" s="515">
        <f>ROUND(+平成23年度!M58/平成23年度!L58,4)</f>
        <v>0.99739999999999995</v>
      </c>
      <c r="N59" s="515">
        <f>ROUND(+平成23年度!N58/平成23年度!M58,4)</f>
        <v>1.0225</v>
      </c>
      <c r="O59" s="515"/>
      <c r="P59" s="515"/>
      <c r="Q59" s="515"/>
      <c r="R59" s="515">
        <f>ROUND(+平成23年度!R58/平成23年度!N58,4)</f>
        <v>1.0001</v>
      </c>
      <c r="S59" s="515">
        <f>ROUND(+平成23年度!S58/平成23年度!R58,4)</f>
        <v>1.0172000000000001</v>
      </c>
      <c r="V59" s="478" t="s">
        <v>275</v>
      </c>
      <c r="W59" s="650"/>
      <c r="X59" s="675"/>
      <c r="Y59" s="676"/>
      <c r="Z59" s="677"/>
      <c r="AA59" s="677" t="s">
        <v>275</v>
      </c>
      <c r="AB59" s="677"/>
      <c r="AC59" s="678"/>
      <c r="AD59" s="679">
        <f>平成23年度!M14</f>
        <v>4020</v>
      </c>
      <c r="AE59" s="677"/>
      <c r="AF59" s="677"/>
      <c r="AG59" s="680" t="s">
        <v>275</v>
      </c>
      <c r="AH59" s="680" t="s">
        <v>275</v>
      </c>
      <c r="AI59" s="681" t="s">
        <v>275</v>
      </c>
    </row>
    <row r="60" spans="1:35" ht="20.149999999999999" customHeight="1" x14ac:dyDescent="0.2">
      <c r="D60" s="478" t="e">
        <f>平成23年度!C57*平成23年度!D54</f>
        <v>#VALUE!</v>
      </c>
      <c r="E60" s="478" t="e">
        <f>平成23年度!D57*平成23年度!E54</f>
        <v>#VALUE!</v>
      </c>
      <c r="F60" s="478" t="e">
        <f>平成23年度!E57*平成23年度!F54</f>
        <v>#VALUE!</v>
      </c>
      <c r="G60" s="478" t="e">
        <f>平成23年度!F57*平成23年度!G54</f>
        <v>#VALUE!</v>
      </c>
      <c r="H60" s="696" t="e">
        <f>IF(+平成23年度!G57*平成23年度!H54&gt;0,ROUNDDOWN(+平成23年度!G57*平成23年度!H54,-2),ROUNDUP(+平成23年度!G57*平成23年度!H54,-2))</f>
        <v>#VALUE!</v>
      </c>
      <c r="I60" s="478" t="s">
        <v>18</v>
      </c>
      <c r="J60" s="478">
        <v>48779</v>
      </c>
      <c r="K60" s="478">
        <v>48708</v>
      </c>
      <c r="L60" s="478">
        <v>48738</v>
      </c>
      <c r="M60" s="478">
        <v>49113</v>
      </c>
      <c r="N60" s="478">
        <v>49951</v>
      </c>
      <c r="R60" s="478">
        <v>50246</v>
      </c>
      <c r="S60" s="478">
        <v>50707</v>
      </c>
      <c r="W60" s="650"/>
      <c r="X60" s="667" t="s">
        <v>46</v>
      </c>
      <c r="Y60" s="683">
        <f>平成23年度!C14</f>
        <v>42820</v>
      </c>
      <c r="Z60" s="684">
        <f>平成23年度!H14</f>
        <v>74259</v>
      </c>
      <c r="AA60" s="684">
        <f>平成23年度!Z60-平成23年度!AB60-平成23年度!AC60</f>
        <v>42296</v>
      </c>
      <c r="AB60" s="684">
        <f>平成23年度!K14</f>
        <v>26325</v>
      </c>
      <c r="AC60" s="685">
        <f>平成23年度!AD59+平成23年度!AD60</f>
        <v>5638</v>
      </c>
      <c r="AD60" s="686">
        <f>平成23年度!N14</f>
        <v>1618</v>
      </c>
      <c r="AE60" s="684">
        <f>平成23年度!R14</f>
        <v>128979</v>
      </c>
      <c r="AF60" s="683">
        <f>平成23年度!S14</f>
        <v>314576</v>
      </c>
      <c r="AG60" s="687">
        <f>平成23年度!Y60/+平成23年度!AE60</f>
        <v>0.33199202971026293</v>
      </c>
      <c r="AH60" s="688">
        <f>平成23年度!Z60/+平成23年度!AF60</f>
        <v>0.2360606022074157</v>
      </c>
      <c r="AI60" s="689">
        <f>平成23年度!AC60/+平成23年度!Z60</f>
        <v>7.5923457089376367E-2</v>
      </c>
    </row>
    <row r="61" spans="1:35" ht="20.149999999999999" customHeight="1" x14ac:dyDescent="0.2">
      <c r="J61" s="515">
        <v>1</v>
      </c>
      <c r="K61" s="515">
        <f>ROUND(+平成23年度!K60/平成23年度!J60,4)</f>
        <v>0.99850000000000005</v>
      </c>
      <c r="L61" s="515">
        <f>ROUND(+平成23年度!L60/平成23年度!K60,4)</f>
        <v>1.0005999999999999</v>
      </c>
      <c r="M61" s="515">
        <f>ROUND(+平成23年度!M60/平成23年度!L60,4)</f>
        <v>1.0077</v>
      </c>
      <c r="N61" s="515">
        <f>ROUND(+平成23年度!N60/平成23年度!M60,4)</f>
        <v>1.0170999999999999</v>
      </c>
      <c r="O61" s="515"/>
      <c r="P61" s="515"/>
      <c r="Q61" s="515"/>
      <c r="R61" s="515">
        <f>ROUND(+平成23年度!R60/平成23年度!N60,4)</f>
        <v>1.0059</v>
      </c>
      <c r="S61" s="515">
        <f>ROUND(+平成23年度!S60/平成23年度!R60,4)</f>
        <v>1.0092000000000001</v>
      </c>
      <c r="W61" s="650"/>
      <c r="X61" s="675"/>
      <c r="Y61" s="676"/>
      <c r="Z61" s="677"/>
      <c r="AA61" s="677" t="s">
        <v>275</v>
      </c>
      <c r="AB61" s="677"/>
      <c r="AC61" s="678"/>
      <c r="AD61" s="679">
        <f>平成23年度!M15</f>
        <v>3951</v>
      </c>
      <c r="AE61" s="677"/>
      <c r="AF61" s="677"/>
      <c r="AG61" s="680" t="s">
        <v>275</v>
      </c>
      <c r="AH61" s="680" t="s">
        <v>275</v>
      </c>
      <c r="AI61" s="681" t="s">
        <v>275</v>
      </c>
    </row>
    <row r="62" spans="1:35" ht="20.149999999999999" customHeight="1" x14ac:dyDescent="0.2">
      <c r="A62" s="477" t="s">
        <v>11</v>
      </c>
      <c r="C62" s="478" t="s">
        <v>477</v>
      </c>
      <c r="D62" s="478" t="s">
        <v>478</v>
      </c>
      <c r="E62" s="478" t="s">
        <v>479</v>
      </c>
      <c r="F62" s="478" t="s">
        <v>480</v>
      </c>
      <c r="G62" s="478" t="s">
        <v>682</v>
      </c>
      <c r="H62" s="478" t="s">
        <v>907</v>
      </c>
      <c r="I62" s="478" t="s">
        <v>1274</v>
      </c>
      <c r="J62" s="478">
        <v>76171</v>
      </c>
      <c r="K62" s="478">
        <v>76694</v>
      </c>
      <c r="L62" s="478">
        <v>77805</v>
      </c>
      <c r="M62" s="478">
        <v>78843</v>
      </c>
      <c r="N62" s="478">
        <v>80862</v>
      </c>
      <c r="R62" s="478">
        <v>81903</v>
      </c>
      <c r="S62" s="478">
        <v>83699</v>
      </c>
      <c r="W62" s="650"/>
      <c r="X62" s="667" t="s">
        <v>47</v>
      </c>
      <c r="Y62" s="683">
        <f>平成23年度!C15</f>
        <v>42793</v>
      </c>
      <c r="Z62" s="684">
        <f>平成23年度!H15</f>
        <v>74113</v>
      </c>
      <c r="AA62" s="684">
        <f>平成23年度!Z62-平成23年度!AB62-平成23年度!AC62</f>
        <v>42168</v>
      </c>
      <c r="AB62" s="684">
        <f>平成23年度!K15</f>
        <v>26406</v>
      </c>
      <c r="AC62" s="685">
        <f>平成23年度!AD61+平成23年度!AD62</f>
        <v>5539</v>
      </c>
      <c r="AD62" s="686">
        <f>平成23年度!N15</f>
        <v>1588</v>
      </c>
      <c r="AE62" s="684">
        <f>平成23年度!R15</f>
        <v>129035</v>
      </c>
      <c r="AF62" s="683">
        <f>平成23年度!S15</f>
        <v>314509</v>
      </c>
      <c r="AG62" s="687">
        <f>平成23年度!Y62/+平成23年度!AE62</f>
        <v>0.33163870267756812</v>
      </c>
      <c r="AH62" s="688">
        <f>平成23年度!Z62/+平成23年度!AF62</f>
        <v>0.23564667465795891</v>
      </c>
      <c r="AI62" s="689">
        <f>平成23年度!AC62/+平成23年度!Z62</f>
        <v>7.4737225587953524E-2</v>
      </c>
    </row>
    <row r="63" spans="1:35" ht="20.149999999999999" customHeight="1" x14ac:dyDescent="0.2">
      <c r="J63" s="515">
        <v>1</v>
      </c>
      <c r="K63" s="515">
        <f>ROUND(+平成23年度!K62/平成23年度!J62,4)</f>
        <v>1.0068999999999999</v>
      </c>
      <c r="L63" s="515">
        <f>ROUND(+平成23年度!L62/平成23年度!K62,4)</f>
        <v>1.0145</v>
      </c>
      <c r="M63" s="515">
        <f>ROUND(+平成23年度!M62/平成23年度!L62,4)</f>
        <v>1.0133000000000001</v>
      </c>
      <c r="N63" s="515">
        <f>ROUND(+平成23年度!N62/平成23年度!M62,4)</f>
        <v>1.0256000000000001</v>
      </c>
      <c r="O63" s="515"/>
      <c r="P63" s="515"/>
      <c r="Q63" s="515"/>
      <c r="R63" s="515">
        <f>ROUND(+平成23年度!R62/平成23年度!N62,4)</f>
        <v>1.0128999999999999</v>
      </c>
      <c r="S63" s="515">
        <f>ROUND(+平成23年度!S62/平成23年度!R62,4)</f>
        <v>1.0219</v>
      </c>
      <c r="W63" s="650"/>
      <c r="X63" s="675"/>
      <c r="Y63" s="676" t="s">
        <v>275</v>
      </c>
      <c r="Z63" s="677"/>
      <c r="AA63" s="677" t="s">
        <v>275</v>
      </c>
      <c r="AB63" s="677"/>
      <c r="AC63" s="691"/>
      <c r="AD63" s="679">
        <f>平成23年度!M16</f>
        <v>3905</v>
      </c>
      <c r="AE63" s="677"/>
      <c r="AF63" s="676"/>
      <c r="AG63" s="692" t="s">
        <v>275</v>
      </c>
      <c r="AH63" s="680" t="s">
        <v>275</v>
      </c>
      <c r="AI63" s="693" t="s">
        <v>275</v>
      </c>
    </row>
    <row r="64" spans="1:35" ht="20.149999999999999" customHeight="1" x14ac:dyDescent="0.2">
      <c r="B64" s="478" t="s">
        <v>1230</v>
      </c>
      <c r="C64" s="478" t="e">
        <f>ROUND(SUM(+平成10年度!O8:O12)/5,0)</f>
        <v>#VALUE!</v>
      </c>
      <c r="D64" s="478" t="e">
        <f>ROUND(SUM(+平成11年度!O8:O12)/5,0)</f>
        <v>#VALUE!</v>
      </c>
      <c r="E64" s="478" t="e">
        <f>ROUND(SUM(+平成12年度!O8:O12)/5,0)</f>
        <v>#VALUE!</v>
      </c>
      <c r="F64" s="653" t="e">
        <f>ROUND(SUM(+平成13年度!O8:O12)/5,0)</f>
        <v>#VALUE!</v>
      </c>
      <c r="G64" s="653" t="e">
        <f>ROUND(SUM(+平成14年度!O8:O12)/5,0)</f>
        <v>#VALUE!</v>
      </c>
      <c r="H64" s="478" t="e">
        <f>ROUND(SUM(+平成23年度!R8:R12)/5,0)</f>
        <v>#VALUE!</v>
      </c>
      <c r="W64" s="650"/>
      <c r="X64" s="667" t="s">
        <v>48</v>
      </c>
      <c r="Y64" s="683">
        <f>平成23年度!C16</f>
        <v>42725</v>
      </c>
      <c r="Z64" s="684">
        <f>平成23年度!H16</f>
        <v>73987</v>
      </c>
      <c r="AA64" s="684">
        <f>平成23年度!Z64-平成23年度!AB64-平成23年度!AC64</f>
        <v>42041</v>
      </c>
      <c r="AB64" s="684">
        <f>平成23年度!K16</f>
        <v>26467</v>
      </c>
      <c r="AC64" s="685">
        <f>平成23年度!AD63+平成23年度!AD64</f>
        <v>5479</v>
      </c>
      <c r="AD64" s="686">
        <f>平成23年度!N16</f>
        <v>1574</v>
      </c>
      <c r="AE64" s="684">
        <f>平成23年度!R16</f>
        <v>129003</v>
      </c>
      <c r="AF64" s="683">
        <f>平成23年度!S16</f>
        <v>314453</v>
      </c>
      <c r="AG64" s="687">
        <f>平成23年度!Y64/+平成23年度!AE64</f>
        <v>0.33119384820508052</v>
      </c>
      <c r="AH64" s="688">
        <f>平成23年度!Z64/+平成23年度!AF64</f>
        <v>0.23528794446228848</v>
      </c>
      <c r="AI64" s="689">
        <f>平成23年度!AC64/+平成23年度!Z64</f>
        <v>7.4053549947963829E-2</v>
      </c>
    </row>
    <row r="65" spans="1:35" ht="20.149999999999999" customHeight="1" x14ac:dyDescent="0.2">
      <c r="A65" s="697"/>
      <c r="B65" s="654" t="s">
        <v>1232</v>
      </c>
      <c r="C65" s="654"/>
      <c r="D65" s="655" t="e">
        <f>平成23年度!D64/平成23年度!C64</f>
        <v>#VALUE!</v>
      </c>
      <c r="E65" s="655" t="e">
        <f>平成23年度!E64/平成23年度!D64</f>
        <v>#VALUE!</v>
      </c>
      <c r="F65" s="656" t="e">
        <f>ROUND(+平成23年度!F64/平成23年度!E64,4)</f>
        <v>#VALUE!</v>
      </c>
      <c r="G65" s="656" t="e">
        <f>ROUND(+平成23年度!G64/平成23年度!F64,4)</f>
        <v>#VALUE!</v>
      </c>
      <c r="H65" s="656" t="e">
        <f>ROUND(+平成23年度!H64/平成23年度!G64,4)</f>
        <v>#VALUE!</v>
      </c>
      <c r="W65" s="650"/>
      <c r="X65" s="675"/>
      <c r="Y65" s="676" t="s">
        <v>275</v>
      </c>
      <c r="Z65" s="677"/>
      <c r="AA65" s="677" t="s">
        <v>275</v>
      </c>
      <c r="AB65" s="677"/>
      <c r="AC65" s="691"/>
      <c r="AD65" s="679">
        <f>平成23年度!M17</f>
        <v>3902</v>
      </c>
      <c r="AE65" s="677"/>
      <c r="AF65" s="676"/>
      <c r="AG65" s="692" t="s">
        <v>275</v>
      </c>
      <c r="AH65" s="680" t="s">
        <v>275</v>
      </c>
      <c r="AI65" s="693" t="s">
        <v>275</v>
      </c>
    </row>
    <row r="66" spans="1:35" ht="20.149999999999999" customHeight="1" x14ac:dyDescent="0.25">
      <c r="B66" s="478" t="s">
        <v>486</v>
      </c>
      <c r="C66" s="478" t="e">
        <f>平成10年度!O21</f>
        <v>#VALUE!</v>
      </c>
      <c r="D66" s="478">
        <f>平成11年度!O21</f>
        <v>105725.41666666667</v>
      </c>
      <c r="E66" s="478">
        <f>平成12年度!O21</f>
        <v>27409.75</v>
      </c>
      <c r="F66" s="659">
        <f>平成13年度!O21</f>
        <v>27918.666666666668</v>
      </c>
      <c r="G66" s="659">
        <f>平成14年度!O21</f>
        <v>28534.416666666668</v>
      </c>
      <c r="H66" s="659" t="s">
        <v>275</v>
      </c>
      <c r="W66" s="650"/>
      <c r="X66" s="667" t="s">
        <v>49</v>
      </c>
      <c r="Y66" s="683">
        <f>平成23年度!C17</f>
        <v>42592</v>
      </c>
      <c r="Z66" s="684">
        <f>平成23年度!H17</f>
        <v>73765</v>
      </c>
      <c r="AA66" s="684">
        <f>平成23年度!Z66-平成23年度!AB66-平成23年度!AC66</f>
        <v>41924</v>
      </c>
      <c r="AB66" s="684">
        <f>平成23年度!K17</f>
        <v>26365</v>
      </c>
      <c r="AC66" s="685">
        <f>平成23年度!AD65+平成23年度!AD66</f>
        <v>5476</v>
      </c>
      <c r="AD66" s="686">
        <f>平成23年度!N17</f>
        <v>1574</v>
      </c>
      <c r="AE66" s="684">
        <f>平成23年度!R17</f>
        <v>128957</v>
      </c>
      <c r="AF66" s="683">
        <f>平成23年度!S17</f>
        <v>314226</v>
      </c>
      <c r="AG66" s="687">
        <f>平成23年度!Y66/+平成23年度!AE66</f>
        <v>0.33028063618105258</v>
      </c>
      <c r="AH66" s="688">
        <f>平成23年度!Z66/+平成23年度!AF66</f>
        <v>0.23475142095179902</v>
      </c>
      <c r="AI66" s="689">
        <f>平成23年度!AC66/+平成23年度!Z66</f>
        <v>7.4235748661289236E-2</v>
      </c>
    </row>
    <row r="67" spans="1:35" ht="20.149999999999999" customHeight="1" x14ac:dyDescent="0.2">
      <c r="B67" s="654" t="s">
        <v>1241</v>
      </c>
      <c r="C67" s="655" t="e">
        <f>平成23年度!C66/平成23年度!C64</f>
        <v>#VALUE!</v>
      </c>
      <c r="D67" s="655" t="e">
        <f>平成23年度!D66/平成23年度!D64</f>
        <v>#VALUE!</v>
      </c>
      <c r="E67" s="655" t="e">
        <f>平成23年度!E66/平成23年度!E64</f>
        <v>#VALUE!</v>
      </c>
      <c r="F67" s="655" t="e">
        <f>ROUND(+平成23年度!F66/平成23年度!F64,4)</f>
        <v>#VALUE!</v>
      </c>
      <c r="G67" s="655" t="e">
        <f>ROUND((+平成23年度!E67+平成23年度!F67)/2,4)</f>
        <v>#VALUE!</v>
      </c>
      <c r="W67" s="650"/>
      <c r="X67" s="675"/>
      <c r="Y67" s="676" t="s">
        <v>275</v>
      </c>
      <c r="Z67" s="677" t="s">
        <v>275</v>
      </c>
      <c r="AA67" s="677" t="s">
        <v>275</v>
      </c>
      <c r="AB67" s="677"/>
      <c r="AC67" s="691"/>
      <c r="AD67" s="679">
        <f>平成23年度!M18</f>
        <v>3822</v>
      </c>
      <c r="AE67" s="677"/>
      <c r="AF67" s="676"/>
      <c r="AG67" s="692" t="s">
        <v>275</v>
      </c>
      <c r="AH67" s="680" t="s">
        <v>275</v>
      </c>
      <c r="AI67" s="693" t="s">
        <v>275</v>
      </c>
    </row>
    <row r="68" spans="1:35" ht="20.149999999999999" customHeight="1" x14ac:dyDescent="0.2">
      <c r="B68" s="654" t="s">
        <v>509</v>
      </c>
      <c r="C68" s="654"/>
      <c r="D68" s="655" t="e">
        <f>平成23年度!D66/平成23年度!C66</f>
        <v>#VALUE!</v>
      </c>
      <c r="E68" s="655">
        <f>平成23年度!E66/平成23年度!D66</f>
        <v>0.25925412132844117</v>
      </c>
      <c r="F68" s="655">
        <f>ROUND(+平成23年度!F66/平成23年度!E66,4)</f>
        <v>1.0185999999999999</v>
      </c>
      <c r="G68" s="655">
        <f>ROUND(+平成23年度!G66/平成23年度!F66,4)</f>
        <v>1.0221</v>
      </c>
      <c r="W68" s="650"/>
      <c r="X68" s="667" t="s">
        <v>50</v>
      </c>
      <c r="Y68" s="683">
        <f>平成23年度!C18</f>
        <v>42469</v>
      </c>
      <c r="Z68" s="684">
        <f>平成23年度!H18</f>
        <v>73572</v>
      </c>
      <c r="AA68" s="684">
        <f>平成23年度!Z68-平成23年度!AB68-平成23年度!AC68</f>
        <v>41798</v>
      </c>
      <c r="AB68" s="684">
        <f>平成23年度!K18</f>
        <v>26409</v>
      </c>
      <c r="AC68" s="685">
        <f>平成23年度!AD67+平成23年度!AD68</f>
        <v>5365</v>
      </c>
      <c r="AD68" s="686">
        <f>平成23年度!N18</f>
        <v>1543</v>
      </c>
      <c r="AE68" s="684">
        <f>平成23年度!R18</f>
        <v>128936</v>
      </c>
      <c r="AF68" s="683">
        <f>平成23年度!S18</f>
        <v>314089</v>
      </c>
      <c r="AG68" s="687">
        <f>平成23年度!Y68/+平成23年度!AE68</f>
        <v>0.32938046782900043</v>
      </c>
      <c r="AH68" s="688">
        <f>平成23年度!Z68/+平成23年度!AF68</f>
        <v>0.23423933980495973</v>
      </c>
      <c r="AI68" s="689">
        <f>平成23年度!AC68/+平成23年度!Z68</f>
        <v>7.2921763714456592E-2</v>
      </c>
    </row>
    <row r="69" spans="1:35" ht="20.149999999999999" customHeight="1" x14ac:dyDescent="0.2">
      <c r="W69" s="650"/>
      <c r="X69" s="675"/>
      <c r="Y69" s="676"/>
      <c r="Z69" s="677"/>
      <c r="AA69" s="677" t="s">
        <v>275</v>
      </c>
      <c r="AB69" s="677"/>
      <c r="AC69" s="691"/>
      <c r="AD69" s="679">
        <f>平成23年度!M19</f>
        <v>3743</v>
      </c>
      <c r="AE69" s="677"/>
      <c r="AF69" s="676"/>
      <c r="AG69" s="692" t="s">
        <v>275</v>
      </c>
      <c r="AH69" s="680" t="s">
        <v>275</v>
      </c>
      <c r="AI69" s="693" t="s">
        <v>275</v>
      </c>
    </row>
    <row r="70" spans="1:35" ht="20.149999999999999" customHeight="1" x14ac:dyDescent="0.2">
      <c r="D70" s="478" t="e">
        <f>平成23年度!C67*平成23年度!D64</f>
        <v>#VALUE!</v>
      </c>
      <c r="E70" s="478" t="e">
        <f>平成23年度!D67*平成23年度!E64</f>
        <v>#VALUE!</v>
      </c>
      <c r="F70" s="478" t="e">
        <f>平成23年度!E67*平成23年度!F64</f>
        <v>#VALUE!</v>
      </c>
      <c r="G70" s="478" t="e">
        <f>平成23年度!F67*平成23年度!G64</f>
        <v>#VALUE!</v>
      </c>
      <c r="H70" s="696" t="e">
        <f>IF(+平成23年度!G67*平成23年度!H64&gt;0,ROUNDDOWN(+平成23年度!G67*平成23年度!H64,-2),ROUNDUP(+平成23年度!G67*平成23年度!H64,-2))</f>
        <v>#VALUE!</v>
      </c>
      <c r="W70" s="650"/>
      <c r="X70" s="667" t="s">
        <v>51</v>
      </c>
      <c r="Y70" s="683">
        <f>平成23年度!C19</f>
        <v>42494</v>
      </c>
      <c r="Z70" s="684">
        <f>平成23年度!H19</f>
        <v>73464</v>
      </c>
      <c r="AA70" s="684">
        <f>平成23年度!Z70-平成23年度!AB70-平成23年度!AC70</f>
        <v>41748</v>
      </c>
      <c r="AB70" s="684">
        <f>平成23年度!K19</f>
        <v>26470</v>
      </c>
      <c r="AC70" s="685">
        <f>平成23年度!AD69+平成23年度!AD70</f>
        <v>5246</v>
      </c>
      <c r="AD70" s="686">
        <f>平成23年度!N19</f>
        <v>1503</v>
      </c>
      <c r="AE70" s="684">
        <f>平成23年度!R19</f>
        <v>129102</v>
      </c>
      <c r="AF70" s="683">
        <f>平成23年度!S19</f>
        <v>313683</v>
      </c>
      <c r="AG70" s="687">
        <f>平成23年度!Y70/+平成23年度!AE70</f>
        <v>0.32915059410388686</v>
      </c>
      <c r="AH70" s="688">
        <f>平成23年度!Z70/+平成23年度!AF70</f>
        <v>0.23419821922131578</v>
      </c>
      <c r="AI70" s="689">
        <f>平成23年度!AC70/+平成23年度!Z70</f>
        <v>7.140912555809649E-2</v>
      </c>
    </row>
    <row r="71" spans="1:35" ht="20.149999999999999" customHeight="1" x14ac:dyDescent="0.2">
      <c r="W71" s="650"/>
      <c r="X71" s="675" t="s">
        <v>69</v>
      </c>
      <c r="Y71" s="676" t="s">
        <v>69</v>
      </c>
      <c r="Z71" s="677" t="s">
        <v>69</v>
      </c>
      <c r="AA71" s="677" t="s">
        <v>69</v>
      </c>
      <c r="AB71" s="677" t="s">
        <v>69</v>
      </c>
      <c r="AC71" s="691" t="s">
        <v>69</v>
      </c>
      <c r="AD71" s="679">
        <f>平成23年度!AD47+平成23年度!AD49+平成23年度!AD51+平成23年度!AD53+平成23年度!AD55+平成23年度!AD57+平成23年度!AD59+平成23年度!AD61+平成23年度!AD63+平成23年度!AD65+平成23年度!AD67+平成23年度!AD69</f>
        <v>46773</v>
      </c>
      <c r="AE71" s="677" t="s">
        <v>69</v>
      </c>
      <c r="AF71" s="676" t="s">
        <v>69</v>
      </c>
      <c r="AG71" s="692" t="s">
        <v>275</v>
      </c>
      <c r="AH71" s="680" t="s">
        <v>275</v>
      </c>
      <c r="AI71" s="693" t="s">
        <v>275</v>
      </c>
    </row>
    <row r="72" spans="1:35" ht="20.149999999999999" customHeight="1" x14ac:dyDescent="0.2">
      <c r="W72" s="650"/>
      <c r="X72" s="667" t="s">
        <v>52</v>
      </c>
      <c r="Y72" s="683">
        <f>SUM(平成23年度!Y48:Y70)</f>
        <v>513371</v>
      </c>
      <c r="Z72" s="684">
        <f>SUM(平成23年度!Z48:Z70)</f>
        <v>890258</v>
      </c>
      <c r="AA72" s="684">
        <f>SUM(平成23年度!AA48:AA70)</f>
        <v>508288</v>
      </c>
      <c r="AB72" s="684">
        <f>SUM(平成23年度!AB48:AB70)</f>
        <v>315959</v>
      </c>
      <c r="AC72" s="685">
        <f>SUM(平成23年度!AC48:AC70)</f>
        <v>66011</v>
      </c>
      <c r="AD72" s="686">
        <f>平成23年度!AD48+平成23年度!AD50+平成23年度!AD52+平成23年度!AD54+平成23年度!AD56+平成23年度!AD58+平成23年度!AD60+平成23年度!AD62+平成23年度!AD64+平成23年度!AD66+平成23年度!AD68+平成23年度!AD70</f>
        <v>19238</v>
      </c>
      <c r="AE72" s="683">
        <f>SUM(平成23年度!AE48:AE70)</f>
        <v>1546796</v>
      </c>
      <c r="AF72" s="684">
        <f>SUM(平成23年度!AF48:AF70)</f>
        <v>3772889</v>
      </c>
      <c r="AG72" s="687">
        <f>平成23年度!Y72/+平成23年度!AE72</f>
        <v>0.33189315203814851</v>
      </c>
      <c r="AH72" s="688">
        <f>平成23年度!Z72/+平成23年度!AF72</f>
        <v>0.23596188491100586</v>
      </c>
      <c r="AI72" s="689">
        <f>平成23年度!AC72/+平成23年度!Z72</f>
        <v>7.4148168283800872E-2</v>
      </c>
    </row>
    <row r="73" spans="1:35" ht="20.149999999999999" customHeight="1" x14ac:dyDescent="0.2">
      <c r="W73" s="650"/>
      <c r="X73" s="675" t="s">
        <v>69</v>
      </c>
      <c r="Y73" s="676" t="s">
        <v>69</v>
      </c>
      <c r="Z73" s="677" t="s">
        <v>69</v>
      </c>
      <c r="AA73" s="677" t="e">
        <f>平成23年度!AA74+平成23年度!AB74</f>
        <v>#VALUE!</v>
      </c>
      <c r="AB73" s="677" t="s">
        <v>69</v>
      </c>
      <c r="AC73" s="691" t="s">
        <v>69</v>
      </c>
      <c r="AD73" s="679" t="e">
        <f>#VALUE!</f>
        <v>#VALUE!</v>
      </c>
      <c r="AE73" s="677" t="s">
        <v>69</v>
      </c>
      <c r="AF73" s="676" t="s">
        <v>69</v>
      </c>
      <c r="AG73" s="692" t="s">
        <v>275</v>
      </c>
      <c r="AH73" s="680" t="s">
        <v>275</v>
      </c>
      <c r="AI73" s="693" t="s">
        <v>275</v>
      </c>
    </row>
    <row r="74" spans="1:35" ht="20.149999999999999" customHeight="1" x14ac:dyDescent="0.2">
      <c r="C74" s="478" t="s">
        <v>477</v>
      </c>
      <c r="D74" s="478" t="s">
        <v>478</v>
      </c>
      <c r="E74" s="478" t="s">
        <v>479</v>
      </c>
      <c r="F74" s="478" t="s">
        <v>480</v>
      </c>
      <c r="G74" s="478" t="s">
        <v>682</v>
      </c>
      <c r="H74" s="478" t="s">
        <v>907</v>
      </c>
      <c r="I74" s="478" t="s">
        <v>1158</v>
      </c>
      <c r="W74" s="650"/>
      <c r="X74" s="698" t="s">
        <v>53</v>
      </c>
      <c r="Y74" s="699" t="e">
        <f>#VALUE!</f>
        <v>#VALUE!</v>
      </c>
      <c r="Z74" s="700" t="e">
        <f>#VALUE!</f>
        <v>#VALUE!</v>
      </c>
      <c r="AA74" s="700" t="e">
        <f>#VALUE!</f>
        <v>#VALUE!</v>
      </c>
      <c r="AB74" s="700" t="e">
        <f>#VALUE!</f>
        <v>#VALUE!</v>
      </c>
      <c r="AC74" s="701" t="e">
        <f>#VALUE!</f>
        <v>#VALUE!</v>
      </c>
      <c r="AD74" s="702" t="e">
        <f>#VALUE!</f>
        <v>#VALUE!</v>
      </c>
      <c r="AE74" s="699" t="e">
        <f>#VALUE!</f>
        <v>#VALUE!</v>
      </c>
      <c r="AF74" s="700" t="e">
        <f>#VALUE!</f>
        <v>#VALUE!</v>
      </c>
      <c r="AG74" s="703" t="e">
        <f>平成23年度!Y74/+平成23年度!AE74</f>
        <v>#VALUE!</v>
      </c>
      <c r="AH74" s="704" t="e">
        <f>平成23年度!Z74/+平成23年度!AF74</f>
        <v>#VALUE!</v>
      </c>
      <c r="AI74" s="705" t="e">
        <f>平成23年度!AC74/+平成23年度!Z74</f>
        <v>#VALUE!</v>
      </c>
    </row>
    <row r="75" spans="1:35" ht="20.149999999999999" customHeight="1" x14ac:dyDescent="0.2">
      <c r="A75" s="477" t="s">
        <v>1336</v>
      </c>
      <c r="B75" s="478">
        <v>1</v>
      </c>
      <c r="C75" s="478">
        <f>平成９年度!H19</f>
        <v>78843</v>
      </c>
      <c r="D75" s="478">
        <f>平成10年度!H19</f>
        <v>81903</v>
      </c>
      <c r="E75" s="478">
        <f>平成11年度!H19</f>
        <v>85006</v>
      </c>
      <c r="F75" s="478">
        <f>平成12年度!H19</f>
        <v>87854</v>
      </c>
      <c r="G75" s="478">
        <f>平成13年度!H19</f>
        <v>91363</v>
      </c>
      <c r="H75" s="478">
        <f>平成14年度!H19</f>
        <v>94728</v>
      </c>
      <c r="W75" s="706" t="s">
        <v>1337</v>
      </c>
      <c r="X75" s="660" t="s">
        <v>69</v>
      </c>
      <c r="Y75" s="707"/>
      <c r="Z75" s="708"/>
      <c r="AA75" s="708"/>
      <c r="AB75" s="708"/>
      <c r="AC75" s="709"/>
      <c r="AD75" s="710">
        <f>平成23年度!M2+平成23年度!AD47+平成23年度!AD49+平成23年度!AD51+平成23年度!AD53+平成23年度!AD55+平成23年度!AD57+平成23年度!AD59+平成23年度!AD61+平成23年度!AD63</f>
        <v>45910</v>
      </c>
      <c r="AE75" s="708"/>
      <c r="AF75" s="707"/>
      <c r="AG75" s="711"/>
      <c r="AH75" s="712"/>
      <c r="AI75" s="713"/>
    </row>
    <row r="76" spans="1:35" ht="20.149999999999999" customHeight="1" x14ac:dyDescent="0.2">
      <c r="A76" s="477" t="s">
        <v>1339</v>
      </c>
      <c r="B76" s="478">
        <v>2</v>
      </c>
      <c r="C76" s="478">
        <f>平成23年度!C75+平成23年度!C77</f>
        <v>478663</v>
      </c>
      <c r="D76" s="478">
        <f>平成23年度!D75+平成23年度!D77</f>
        <v>497118</v>
      </c>
      <c r="E76" s="478">
        <f>平成23年度!E75+平成23年度!E77</f>
        <v>515553</v>
      </c>
      <c r="F76" s="478">
        <f>平成23年度!F75+平成23年度!F77</f>
        <v>534452</v>
      </c>
      <c r="G76" s="478">
        <f>平成23年度!G75+平成23年度!G77</f>
        <v>555972</v>
      </c>
      <c r="H76" s="478">
        <f>平成23年度!H75+平成23年度!H77</f>
        <v>467608</v>
      </c>
      <c r="W76" s="714" t="s">
        <v>593</v>
      </c>
      <c r="X76" s="667" t="s">
        <v>52</v>
      </c>
      <c r="Y76" s="715">
        <f>平成23年度!C2+SUM(平成23年度!Y48:Y64)</f>
        <v>512987</v>
      </c>
      <c r="Z76" s="716">
        <f>平成23年度!H2+SUM(平成23年度!Z48:Z64)</f>
        <v>891206</v>
      </c>
      <c r="AA76" s="716">
        <f>平成23年度!J2+SUM(平成23年度!AA48:AA64)</f>
        <v>511035</v>
      </c>
      <c r="AB76" s="716">
        <f>平成23年度!K2+SUM(平成23年度!AB48:AB64)</f>
        <v>315209</v>
      </c>
      <c r="AC76" s="717">
        <f>平成23年度!L2+SUM(平成23年度!AC48:AC64)</f>
        <v>64962</v>
      </c>
      <c r="AD76" s="718">
        <f>平成23年度!N2+平成23年度!AD48+平成23年度!AD50+平成23年度!AD52+平成23年度!AD54+平成23年度!AD56+平成23年度!AD58+平成23年度!AD60+平成23年度!AD62+平成23年度!AD64</f>
        <v>19052</v>
      </c>
      <c r="AE76" s="715">
        <f>平成23年度!R2+SUM(平成23年度!AE48:AE64)</f>
        <v>1543951</v>
      </c>
      <c r="AF76" s="716">
        <f>平成23年度!S2+SUM(平成23年度!AF48:AF64)</f>
        <v>3773751</v>
      </c>
      <c r="AG76" s="719">
        <f>平成23年度!Y76/+平成23年度!AE76</f>
        <v>0.33225601071536598</v>
      </c>
      <c r="AH76" s="720">
        <f>平成23年度!Z76/+平成23年度!AF76</f>
        <v>0.23615919545301214</v>
      </c>
      <c r="AI76" s="721">
        <f>平成23年度!AC76/+平成23年度!Z76</f>
        <v>7.2892238158181161E-2</v>
      </c>
    </row>
    <row r="77" spans="1:35" ht="20.149999999999999" customHeight="1" x14ac:dyDescent="0.2">
      <c r="A77" s="477" t="s">
        <v>1342</v>
      </c>
      <c r="B77" s="478">
        <v>3</v>
      </c>
      <c r="C77" s="478">
        <f>平成10年度!H27</f>
        <v>399820</v>
      </c>
      <c r="D77" s="478">
        <f>平成11年度!H27</f>
        <v>415215</v>
      </c>
      <c r="E77" s="478">
        <f>平成12年度!H27</f>
        <v>430547</v>
      </c>
      <c r="F77" s="478">
        <f>平成13年度!H27</f>
        <v>446598</v>
      </c>
      <c r="G77" s="478">
        <f>平成14年度!H27</f>
        <v>464609</v>
      </c>
      <c r="H77" s="478">
        <f>平成23年度!H27</f>
        <v>372880</v>
      </c>
      <c r="W77" s="722" t="s">
        <v>1343</v>
      </c>
      <c r="X77" s="675" t="s">
        <v>69</v>
      </c>
      <c r="Y77" s="723"/>
      <c r="Z77" s="724"/>
      <c r="AA77" s="724" t="e">
        <f>平成23年度!AA78+平成23年度!AB78</f>
        <v>#VALUE!</v>
      </c>
      <c r="AB77" s="724"/>
      <c r="AC77" s="725"/>
      <c r="AD77" s="726" t="e">
        <f>#VALUE!</f>
        <v>#VALUE!</v>
      </c>
      <c r="AE77" s="724"/>
      <c r="AF77" s="723"/>
      <c r="AG77" s="727"/>
      <c r="AH77" s="728"/>
      <c r="AI77" s="729"/>
    </row>
    <row r="78" spans="1:35" ht="20.149999999999999" customHeight="1" x14ac:dyDescent="0.2">
      <c r="A78" s="477" t="s">
        <v>486</v>
      </c>
      <c r="B78" s="478">
        <v>4</v>
      </c>
      <c r="C78" s="478">
        <f>平成10年度!H20</f>
        <v>969433</v>
      </c>
      <c r="D78" s="478">
        <f>平成11年度!H20</f>
        <v>1006175</v>
      </c>
      <c r="E78" s="478">
        <f>平成12年度!H20</f>
        <v>1041789</v>
      </c>
      <c r="F78" s="478">
        <f>平成13年度!H20</f>
        <v>1082473</v>
      </c>
      <c r="G78" s="478">
        <f>平成14年度!H20</f>
        <v>1124972</v>
      </c>
      <c r="H78" s="478">
        <f>平成23年度!H20</f>
        <v>890258</v>
      </c>
      <c r="W78" s="730"/>
      <c r="X78" s="698" t="s">
        <v>53</v>
      </c>
      <c r="Y78" s="731" t="e">
        <f>#VALUE!</f>
        <v>#VALUE!</v>
      </c>
      <c r="Z78" s="732" t="e">
        <f>#VALUE!</f>
        <v>#VALUE!</v>
      </c>
      <c r="AA78" s="732" t="e">
        <f>#VALUE!</f>
        <v>#VALUE!</v>
      </c>
      <c r="AB78" s="732" t="e">
        <f>#VALUE!</f>
        <v>#VALUE!</v>
      </c>
      <c r="AC78" s="733" t="e">
        <f>#VALUE!</f>
        <v>#VALUE!</v>
      </c>
      <c r="AD78" s="734" t="e">
        <f>#VALUE!</f>
        <v>#VALUE!</v>
      </c>
      <c r="AE78" s="731" t="e">
        <f>#VALUE!</f>
        <v>#VALUE!</v>
      </c>
      <c r="AF78" s="732" t="e">
        <f>#VALUE!</f>
        <v>#VALUE!</v>
      </c>
      <c r="AG78" s="735" t="e">
        <f>平成23年度!Y78/+平成23年度!AE78</f>
        <v>#VALUE!</v>
      </c>
      <c r="AH78" s="736" t="e">
        <f>平成23年度!Z78/+平成23年度!AF78</f>
        <v>#VALUE!</v>
      </c>
      <c r="AI78" s="737" t="e">
        <f>平成23年度!AC78/+平成23年度!Z78</f>
        <v>#VALUE!</v>
      </c>
    </row>
    <row r="79" spans="1:35" ht="20.149999999999999" customHeight="1" x14ac:dyDescent="0.2">
      <c r="C79" s="478" t="e">
        <f>平成10年度!H21</f>
        <v>#VALUE!</v>
      </c>
      <c r="D79" s="478">
        <f>平成11年度!H21</f>
        <v>83847.916666666672</v>
      </c>
      <c r="E79" s="478" t="e">
        <f>平成12年度!H21</f>
        <v>#VALUE!</v>
      </c>
      <c r="F79" s="478" t="e">
        <f>平成13年度!H21</f>
        <v>#VALUE!</v>
      </c>
      <c r="G79" s="478" t="e">
        <f>平成14年度!H21</f>
        <v>#VALUE!</v>
      </c>
      <c r="H79" s="478" t="e">
        <f>平成23年度!H21</f>
        <v>#VALUE!</v>
      </c>
    </row>
    <row r="80" spans="1:35" ht="20.149999999999999" customHeight="1" x14ac:dyDescent="0.2">
      <c r="A80" s="477" t="s">
        <v>1347</v>
      </c>
      <c r="C80" s="738">
        <f>ROUND(+平成23年度!C78/平成23年度!C76,8)</f>
        <v>2.02529337</v>
      </c>
      <c r="D80" s="738">
        <f>ROUND(+平成23年度!D78/平成23年度!D76,8)</f>
        <v>2.0240164300000001</v>
      </c>
      <c r="E80" s="738">
        <f>ROUND(+平成23年度!E78/平成23年度!E76,8)</f>
        <v>2.02072144</v>
      </c>
      <c r="F80" s="738">
        <f>ROUND(+平成23年度!F78/平成23年度!F76,8)</f>
        <v>2.0253886200000002</v>
      </c>
      <c r="G80" s="738">
        <f>ROUND(+平成23年度!G78/平成23年度!G76,8)</f>
        <v>2.02343283</v>
      </c>
    </row>
    <row r="81" spans="1:8" ht="20.149999999999999" customHeight="1" x14ac:dyDescent="0.2">
      <c r="A81" s="477" t="s">
        <v>1348</v>
      </c>
      <c r="C81" s="738">
        <f>ROUND(+平成23年度!C78/平成23年度!C77,8)</f>
        <v>2.4246736000000002</v>
      </c>
      <c r="D81" s="738">
        <f>ROUND(+平成23年度!D78/平成23年度!D77,8)</f>
        <v>2.4232626499999999</v>
      </c>
      <c r="E81" s="738">
        <f>ROUND(+平成23年度!E78/平成23年度!E77,8)</f>
        <v>2.4196870499999998</v>
      </c>
      <c r="F81" s="738">
        <f>ROUND(+平成23年度!F78/平成23年度!F77,8)</f>
        <v>2.4238196300000001</v>
      </c>
      <c r="G81" s="738">
        <f>ROUND(+平成23年度!G78/平成23年度!G77,8)</f>
        <v>2.42133062</v>
      </c>
    </row>
    <row r="82" spans="1:8" ht="20.149999999999999" customHeight="1" x14ac:dyDescent="0.2">
      <c r="A82" s="477" t="s">
        <v>1349</v>
      </c>
      <c r="D82" s="738">
        <f>ROUND(+平成23年度!D78/平成23年度!C78,8)</f>
        <v>1.0379004999999999</v>
      </c>
      <c r="E82" s="738">
        <f>ROUND(+平成23年度!E78/平成23年度!D78,8)</f>
        <v>1.0353954299999999</v>
      </c>
      <c r="F82" s="738">
        <f>ROUND(+平成23年度!F78/平成23年度!E78,8)</f>
        <v>1.03905205</v>
      </c>
      <c r="G82" s="738">
        <f>ROUND(+平成23年度!G78/平成23年度!F78,8)</f>
        <v>1.03926103</v>
      </c>
      <c r="H82" s="738" t="s">
        <v>275</v>
      </c>
    </row>
    <row r="83" spans="1:8" ht="20.149999999999999" customHeight="1" x14ac:dyDescent="0.2">
      <c r="A83" s="477" t="s">
        <v>1351</v>
      </c>
      <c r="E83" s="478">
        <f>(+平成23年度!C81+平成23年度!D81)/2*平成23年度!E77/12</f>
        <v>86969.35035953125</v>
      </c>
      <c r="F83" s="478">
        <f>(+平成23年度!D81+平成23年度!E81)/2*平成23年度!F77/12</f>
        <v>90118.818755025</v>
      </c>
      <c r="G83" s="478">
        <f>(+平成23年度!E81+平成23年度!F81)/2*平成23年度!G77/12</f>
        <v>93764.033128671654</v>
      </c>
      <c r="H83" s="478">
        <f>(+平成23年度!F81+平成23年度!G81)/2*平成23年度!H77/12</f>
        <v>75277.484384166659</v>
      </c>
    </row>
    <row r="84" spans="1:8" ht="20.149999999999999" customHeight="1" x14ac:dyDescent="0.2"/>
    <row r="85" spans="1:8" ht="20.149999999999999" customHeight="1" x14ac:dyDescent="0.2"/>
    <row r="86" spans="1:8" ht="20.149999999999999" customHeight="1" x14ac:dyDescent="0.2">
      <c r="F86" s="478" t="e">
        <f>(+平成23年度!D82+平成23年度!E82)/2*平成23年度!E79</f>
        <v>#VALUE!</v>
      </c>
      <c r="G86" s="478" t="e">
        <f>(+平成23年度!E82+平成23年度!F82)/2*平成23年度!F79</f>
        <v>#VALUE!</v>
      </c>
      <c r="H86" s="478" t="e">
        <f>(+平成23年度!F82+平成23年度!G82)/2*平成23年度!G79</f>
        <v>#VALUE!</v>
      </c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C36" sqref="C36"/>
      <selection pane="topRight" activeCell="C36" sqref="C36"/>
      <selection pane="bottomLeft" activeCell="C36" sqref="C36"/>
      <selection pane="bottomRight" activeCell="H36" sqref="H36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478" t="s">
        <v>2831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479" t="s">
        <v>815</v>
      </c>
      <c r="C2" s="480">
        <f>SUM(平成23年度!C17:C19)</f>
        <v>127555</v>
      </c>
      <c r="D2" s="480">
        <f>SUM(平成23年度!D17:D19)</f>
        <v>119796</v>
      </c>
      <c r="E2" s="480">
        <f>SUM(平成23年度!E17:E19)</f>
        <v>116666</v>
      </c>
      <c r="F2" s="480">
        <f>SUM(平成23年度!F17:F19)</f>
        <v>3130</v>
      </c>
      <c r="G2" s="480">
        <f>SUM(平成23年度!G17:G19)</f>
        <v>7759</v>
      </c>
      <c r="H2" s="480">
        <f>SUM(平成23年度!H17:H19)</f>
        <v>220801</v>
      </c>
      <c r="I2" s="480">
        <f>SUM(平成23年度!I17:I19)</f>
        <v>204714</v>
      </c>
      <c r="J2" s="480">
        <f>SUM(平成23年度!J17:J19)</f>
        <v>125470</v>
      </c>
      <c r="K2" s="480">
        <f>SUM(平成23年度!K17:K19)</f>
        <v>79244</v>
      </c>
      <c r="L2" s="480">
        <f>SUM(平成23年度!L17:L19)</f>
        <v>16087</v>
      </c>
      <c r="M2" s="480">
        <f>SUM(平成23年度!M17:M19)</f>
        <v>11467</v>
      </c>
      <c r="N2" s="480">
        <f>SUM(平成23年度!N17:N19)</f>
        <v>4620</v>
      </c>
      <c r="O2" s="480">
        <f>SUM(平成23年度!O17:O19)</f>
        <v>79608</v>
      </c>
      <c r="P2" s="480">
        <f>SUM(平成23年度!P17:P19)</f>
        <v>64741</v>
      </c>
      <c r="Q2" s="480">
        <f>SUM(平成23年度!Q17:Q19)</f>
        <v>14867</v>
      </c>
      <c r="R2" s="480">
        <f>SUM(平成23年度!R17:R19)</f>
        <v>386995</v>
      </c>
      <c r="S2" s="480">
        <f>SUM(平成23年度!S17:S19)</f>
        <v>941998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479" t="s">
        <v>816</v>
      </c>
      <c r="B3" s="477"/>
      <c r="C3" s="477" t="s">
        <v>2833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479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479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1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479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B7" s="758" t="s">
        <v>51</v>
      </c>
      <c r="C7" s="739">
        <v>42494</v>
      </c>
      <c r="D7" s="526">
        <v>39966</v>
      </c>
      <c r="E7" s="526">
        <v>38939</v>
      </c>
      <c r="F7" s="740">
        <v>1027</v>
      </c>
      <c r="G7" s="754">
        <v>2528</v>
      </c>
      <c r="H7" s="529">
        <v>73464</v>
      </c>
      <c r="I7" s="527">
        <v>68218</v>
      </c>
      <c r="J7" s="759">
        <v>41748</v>
      </c>
      <c r="K7" s="742">
        <v>26470</v>
      </c>
      <c r="L7" s="526">
        <v>5246</v>
      </c>
      <c r="M7" s="740">
        <v>3743</v>
      </c>
      <c r="N7" s="741">
        <v>1503</v>
      </c>
      <c r="O7" s="739">
        <v>26437</v>
      </c>
      <c r="P7" s="526">
        <v>21588</v>
      </c>
      <c r="Q7" s="743">
        <v>4849</v>
      </c>
      <c r="R7" s="756">
        <v>129102</v>
      </c>
      <c r="S7" s="757">
        <v>313683</v>
      </c>
      <c r="T7" s="533">
        <v>0.33035484550069005</v>
      </c>
      <c r="U7" s="534">
        <v>0.23508253703503287</v>
      </c>
      <c r="V7" s="535">
        <v>6.7037668914344511E-2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479" t="s">
        <v>860</v>
      </c>
      <c r="B8" s="536" t="s">
        <v>40</v>
      </c>
      <c r="C8" s="739">
        <v>43009</v>
      </c>
      <c r="D8" s="526">
        <f>平成24年度!E8+平成24年度!F8</f>
        <v>40350</v>
      </c>
      <c r="E8" s="526">
        <f>平成24年度!C8-平成24年度!G8-平成24年度!F8</f>
        <v>39288</v>
      </c>
      <c r="F8" s="740">
        <v>1062</v>
      </c>
      <c r="G8" s="741">
        <v>2659</v>
      </c>
      <c r="H8" s="529">
        <f t="shared" ref="H8:H19" si="0">I8+L8</f>
        <v>74247</v>
      </c>
      <c r="I8" s="527">
        <v>68720</v>
      </c>
      <c r="J8" s="759">
        <f t="shared" ref="J8:J19" si="1">I8-K8</f>
        <v>41958</v>
      </c>
      <c r="K8" s="742">
        <v>26762</v>
      </c>
      <c r="L8" s="526">
        <f>平成24年度!M8+平成24年度!N8</f>
        <v>5527</v>
      </c>
      <c r="M8" s="740">
        <v>3922</v>
      </c>
      <c r="N8" s="741">
        <v>1605</v>
      </c>
      <c r="O8" s="739">
        <v>26907</v>
      </c>
      <c r="P8" s="526">
        <f t="shared" ref="P8:P19" si="2">O8-Q8</f>
        <v>21785</v>
      </c>
      <c r="Q8" s="743">
        <v>5122</v>
      </c>
      <c r="R8" s="744">
        <v>129497</v>
      </c>
      <c r="S8" s="745">
        <v>314074</v>
      </c>
      <c r="T8" s="534">
        <f>平成24年度!C8/平成24年度!R8</f>
        <v>0.33212352409708334</v>
      </c>
      <c r="U8" s="534">
        <f>平成24年度!H8/平成24年度!S8</f>
        <v>0.23639970198106178</v>
      </c>
      <c r="V8" s="535">
        <f>平成24年度!L8/平成24年度!H8</f>
        <v>7.4440718143494011E-2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479" t="s">
        <v>862</v>
      </c>
      <c r="B9" s="536" t="s">
        <v>41</v>
      </c>
      <c r="C9" s="739">
        <v>43138</v>
      </c>
      <c r="D9" s="526">
        <f>平成24年度!E9+平成24年度!F9</f>
        <v>40492</v>
      </c>
      <c r="E9" s="526">
        <f>平成24年度!C9-平成24年度!G9-平成24年度!F9</f>
        <v>39428</v>
      </c>
      <c r="F9" s="740">
        <v>1064</v>
      </c>
      <c r="G9" s="741">
        <v>2646</v>
      </c>
      <c r="H9" s="529">
        <f t="shared" si="0"/>
        <v>74390</v>
      </c>
      <c r="I9" s="527">
        <v>68886</v>
      </c>
      <c r="J9" s="759">
        <f t="shared" si="1"/>
        <v>42104</v>
      </c>
      <c r="K9" s="742">
        <v>26782</v>
      </c>
      <c r="L9" s="526">
        <f>平成24年度!M9+平成24年度!N9</f>
        <v>5504</v>
      </c>
      <c r="M9" s="740">
        <v>3913</v>
      </c>
      <c r="N9" s="741">
        <v>1591</v>
      </c>
      <c r="O9" s="739">
        <v>27025</v>
      </c>
      <c r="P9" s="526">
        <f t="shared" si="2"/>
        <v>21907</v>
      </c>
      <c r="Q9" s="743">
        <v>5118</v>
      </c>
      <c r="R9" s="746">
        <v>129755</v>
      </c>
      <c r="S9" s="747">
        <v>314304</v>
      </c>
      <c r="T9" s="534">
        <f>平成24年度!C9/平成24年度!R9</f>
        <v>0.33245732341720935</v>
      </c>
      <c r="U9" s="534">
        <f>平成24年度!H9/平成24年度!S9</f>
        <v>0.23668168397475056</v>
      </c>
      <c r="V9" s="535">
        <f>平成24年度!L9/平成24年度!H9</f>
        <v>7.3988439306358386E-2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479" t="s">
        <v>864</v>
      </c>
      <c r="B10" s="537" t="s">
        <v>42</v>
      </c>
      <c r="C10" s="739">
        <v>43142</v>
      </c>
      <c r="D10" s="526">
        <f>平成24年度!E10+平成24年度!F10</f>
        <v>40481</v>
      </c>
      <c r="E10" s="526">
        <f>平成24年度!C10-平成24年度!G10-平成24年度!F10</f>
        <v>39424</v>
      </c>
      <c r="F10" s="740">
        <v>1057</v>
      </c>
      <c r="G10" s="741">
        <v>2661</v>
      </c>
      <c r="H10" s="529">
        <f t="shared" si="0"/>
        <v>74316</v>
      </c>
      <c r="I10" s="527">
        <v>68805</v>
      </c>
      <c r="J10" s="759">
        <f t="shared" si="1"/>
        <v>41970</v>
      </c>
      <c r="K10" s="742">
        <v>26835</v>
      </c>
      <c r="L10" s="526">
        <f>平成24年度!M10+平成24年度!N10</f>
        <v>5511</v>
      </c>
      <c r="M10" s="740">
        <v>3914</v>
      </c>
      <c r="N10" s="741">
        <v>1597</v>
      </c>
      <c r="O10" s="739">
        <v>26925</v>
      </c>
      <c r="P10" s="526">
        <f t="shared" si="2"/>
        <v>21828</v>
      </c>
      <c r="Q10" s="743">
        <v>5097</v>
      </c>
      <c r="R10" s="748">
        <v>129857</v>
      </c>
      <c r="S10" s="740">
        <v>314338</v>
      </c>
      <c r="T10" s="534">
        <f>平成24年度!C10/平成24年度!R10</f>
        <v>0.33222698814850182</v>
      </c>
      <c r="U10" s="534">
        <f>平成24年度!H10/平成24年度!S10</f>
        <v>0.23642066819792706</v>
      </c>
      <c r="V10" s="535">
        <f>平成24年度!L10/平成24年度!H10</f>
        <v>7.4156305506216699E-2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479" t="s">
        <v>866</v>
      </c>
      <c r="B11" s="537" t="s">
        <v>43</v>
      </c>
      <c r="C11" s="739">
        <v>43127</v>
      </c>
      <c r="D11" s="526">
        <f>平成24年度!E11+平成24年度!F11</f>
        <v>40487</v>
      </c>
      <c r="E11" s="526">
        <f>平成24年度!C11-平成24年度!G11-平成24年度!F11</f>
        <v>39432</v>
      </c>
      <c r="F11" s="740">
        <v>1055</v>
      </c>
      <c r="G11" s="741">
        <v>2640</v>
      </c>
      <c r="H11" s="529">
        <f t="shared" si="0"/>
        <v>74183</v>
      </c>
      <c r="I11" s="527">
        <v>68722</v>
      </c>
      <c r="J11" s="759">
        <f t="shared" si="1"/>
        <v>41818</v>
      </c>
      <c r="K11" s="742">
        <v>26904</v>
      </c>
      <c r="L11" s="526">
        <f>平成24年度!M11+平成24年度!N11</f>
        <v>5461</v>
      </c>
      <c r="M11" s="740">
        <v>3889</v>
      </c>
      <c r="N11" s="741">
        <v>1572</v>
      </c>
      <c r="O11" s="739">
        <v>26783</v>
      </c>
      <c r="P11" s="526">
        <f t="shared" si="2"/>
        <v>21753</v>
      </c>
      <c r="Q11" s="743">
        <v>5030</v>
      </c>
      <c r="R11" s="748">
        <v>129583</v>
      </c>
      <c r="S11" s="740">
        <v>313743</v>
      </c>
      <c r="T11" s="534">
        <f>平成24年度!C11/平成24年度!R11</f>
        <v>0.33281371784879188</v>
      </c>
      <c r="U11" s="534">
        <f>平成24年度!H11/平成24年度!S11</f>
        <v>0.23644511590696846</v>
      </c>
      <c r="V11" s="535">
        <f>平成24年度!L11/平成24年度!H11</f>
        <v>7.36152487766739E-2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479" t="s">
        <v>868</v>
      </c>
      <c r="B12" s="537" t="s">
        <v>44</v>
      </c>
      <c r="C12" s="739">
        <v>42988</v>
      </c>
      <c r="D12" s="526">
        <f>平成24年度!E12+平成24年度!F12</f>
        <v>40350</v>
      </c>
      <c r="E12" s="526">
        <f>平成24年度!C12-平成24年度!G12-平成24年度!F12</f>
        <v>39267</v>
      </c>
      <c r="F12" s="740">
        <v>1083</v>
      </c>
      <c r="G12" s="741">
        <v>2638</v>
      </c>
      <c r="H12" s="529">
        <f t="shared" si="0"/>
        <v>73875</v>
      </c>
      <c r="I12" s="527">
        <v>68430</v>
      </c>
      <c r="J12" s="759">
        <f t="shared" si="1"/>
        <v>41425</v>
      </c>
      <c r="K12" s="742">
        <v>27005</v>
      </c>
      <c r="L12" s="526">
        <f>平成24年度!M12+平成24年度!N12</f>
        <v>5445</v>
      </c>
      <c r="M12" s="740">
        <v>3908</v>
      </c>
      <c r="N12" s="741">
        <v>1537</v>
      </c>
      <c r="O12" s="739">
        <v>26610</v>
      </c>
      <c r="P12" s="526">
        <f t="shared" si="2"/>
        <v>21577</v>
      </c>
      <c r="Q12" s="743">
        <v>5033</v>
      </c>
      <c r="R12" s="748">
        <v>129710</v>
      </c>
      <c r="S12" s="740">
        <v>313847</v>
      </c>
      <c r="T12" s="534">
        <f>平成24年度!C12/平成24年度!R12</f>
        <v>0.33141623621925836</v>
      </c>
      <c r="U12" s="534">
        <f>平成24年度!H12/平成24年度!S12</f>
        <v>0.23538539479427875</v>
      </c>
      <c r="V12" s="535">
        <f>平成24年度!L12/平成24年度!H12</f>
        <v>7.3705583756345172E-2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550" t="s">
        <v>275</v>
      </c>
      <c r="B13" s="536" t="s">
        <v>45</v>
      </c>
      <c r="C13" s="739">
        <v>42962</v>
      </c>
      <c r="D13" s="526">
        <f>平成24年度!E13+平成24年度!F13</f>
        <v>40356</v>
      </c>
      <c r="E13" s="526">
        <f>平成24年度!C13-平成24年度!G13-平成24年度!F13</f>
        <v>39297</v>
      </c>
      <c r="F13" s="740">
        <v>1059</v>
      </c>
      <c r="G13" s="741">
        <v>2606</v>
      </c>
      <c r="H13" s="529">
        <f t="shared" si="0"/>
        <v>73693</v>
      </c>
      <c r="I13" s="527">
        <v>68323</v>
      </c>
      <c r="J13" s="759">
        <f t="shared" si="1"/>
        <v>41228</v>
      </c>
      <c r="K13" s="742">
        <v>27095</v>
      </c>
      <c r="L13" s="526">
        <f>平成24年度!M13+平成24年度!N13</f>
        <v>5370</v>
      </c>
      <c r="M13" s="740">
        <v>3847</v>
      </c>
      <c r="N13" s="741">
        <v>1523</v>
      </c>
      <c r="O13" s="739">
        <v>26413</v>
      </c>
      <c r="P13" s="526">
        <f t="shared" si="2"/>
        <v>21470</v>
      </c>
      <c r="Q13" s="743">
        <v>4943</v>
      </c>
      <c r="R13" s="748">
        <v>129821</v>
      </c>
      <c r="S13" s="740">
        <v>313915</v>
      </c>
      <c r="T13" s="534">
        <f>平成24年度!C13/平成24年度!R13</f>
        <v>0.33093259179947776</v>
      </c>
      <c r="U13" s="534">
        <f>平成24年度!H13/平成24年度!S13</f>
        <v>0.23475463103069302</v>
      </c>
      <c r="V13" s="535">
        <f>平成24年度!L13/平成24年度!H13</f>
        <v>7.2869879092993903E-2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42937</v>
      </c>
      <c r="D14" s="526">
        <f>平成24年度!E14+平成24年度!F14</f>
        <v>40348</v>
      </c>
      <c r="E14" s="526">
        <f>平成24年度!C14-平成24年度!G14-平成24年度!F14</f>
        <v>39302</v>
      </c>
      <c r="F14" s="740">
        <v>1046</v>
      </c>
      <c r="G14" s="741">
        <v>2589</v>
      </c>
      <c r="H14" s="529">
        <f t="shared" si="0"/>
        <v>73576</v>
      </c>
      <c r="I14" s="527">
        <v>68235</v>
      </c>
      <c r="J14" s="759">
        <f t="shared" si="1"/>
        <v>41044</v>
      </c>
      <c r="K14" s="742">
        <v>27191</v>
      </c>
      <c r="L14" s="526">
        <f>平成24年度!M14+平成24年度!N14</f>
        <v>5341</v>
      </c>
      <c r="M14" s="740">
        <v>3820</v>
      </c>
      <c r="N14" s="741">
        <v>1521</v>
      </c>
      <c r="O14" s="739">
        <v>26300</v>
      </c>
      <c r="P14" s="526">
        <f t="shared" si="2"/>
        <v>21358</v>
      </c>
      <c r="Q14" s="743">
        <v>4942</v>
      </c>
      <c r="R14" s="748">
        <v>129954</v>
      </c>
      <c r="S14" s="740">
        <v>314009</v>
      </c>
      <c r="T14" s="534">
        <f>平成24年度!C14/平成24年度!R14</f>
        <v>0.33040152669406098</v>
      </c>
      <c r="U14" s="534">
        <f>平成24年度!H14/平成24年度!S14</f>
        <v>0.234311755395546</v>
      </c>
      <c r="V14" s="535">
        <f>平成24年度!L14/平成24年度!H14</f>
        <v>7.2591605958464714E-2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2827</v>
      </c>
      <c r="B15" s="537" t="s">
        <v>47</v>
      </c>
      <c r="C15" s="739">
        <v>42913</v>
      </c>
      <c r="D15" s="526">
        <f>平成24年度!E15+平成24年度!F15</f>
        <v>40374</v>
      </c>
      <c r="E15" s="526">
        <f>平成24年度!C15-平成24年度!G15-平成24年度!F15</f>
        <v>39350</v>
      </c>
      <c r="F15" s="740">
        <v>1024</v>
      </c>
      <c r="G15" s="741">
        <v>2539</v>
      </c>
      <c r="H15" s="529">
        <f t="shared" si="0"/>
        <v>73411</v>
      </c>
      <c r="I15" s="527">
        <v>68183</v>
      </c>
      <c r="J15" s="759">
        <f t="shared" si="1"/>
        <v>40953</v>
      </c>
      <c r="K15" s="742">
        <v>27230</v>
      </c>
      <c r="L15" s="526">
        <f>平成24年度!M15+平成24年度!N15</f>
        <v>5228</v>
      </c>
      <c r="M15" s="740">
        <v>3740</v>
      </c>
      <c r="N15" s="741">
        <v>1488</v>
      </c>
      <c r="O15" s="739">
        <v>26142</v>
      </c>
      <c r="P15" s="526">
        <f t="shared" si="2"/>
        <v>21329</v>
      </c>
      <c r="Q15" s="743">
        <v>4813</v>
      </c>
      <c r="R15" s="744">
        <v>129976</v>
      </c>
      <c r="S15" s="745">
        <v>314016</v>
      </c>
      <c r="T15" s="534">
        <f>平成24年度!C15/平成24年度!R15</f>
        <v>0.33016095279128455</v>
      </c>
      <c r="U15" s="534">
        <f>平成24年度!H15/平成24年度!S15</f>
        <v>0.2337810812187914</v>
      </c>
      <c r="V15" s="535">
        <f>平成24年度!L15/平成24年度!H15</f>
        <v>7.121548541771669E-2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42846</v>
      </c>
      <c r="D16" s="526">
        <f>平成24年度!E16+平成24年度!F16</f>
        <v>40386</v>
      </c>
      <c r="E16" s="526">
        <f>平成24年度!C16-平成24年度!G16-平成24年度!F16</f>
        <v>39390</v>
      </c>
      <c r="F16" s="740">
        <v>996</v>
      </c>
      <c r="G16" s="741">
        <v>2460</v>
      </c>
      <c r="H16" s="529">
        <f t="shared" si="0"/>
        <v>73234</v>
      </c>
      <c r="I16" s="527">
        <v>68181</v>
      </c>
      <c r="J16" s="759">
        <f t="shared" si="1"/>
        <v>40834</v>
      </c>
      <c r="K16" s="742">
        <v>27347</v>
      </c>
      <c r="L16" s="526">
        <f>平成24年度!M16+平成24年度!N16</f>
        <v>5053</v>
      </c>
      <c r="M16" s="740">
        <v>3626</v>
      </c>
      <c r="N16" s="741">
        <v>1427</v>
      </c>
      <c r="O16" s="739">
        <v>25980</v>
      </c>
      <c r="P16" s="526">
        <f t="shared" si="2"/>
        <v>21312</v>
      </c>
      <c r="Q16" s="743">
        <v>4668</v>
      </c>
      <c r="R16" s="744">
        <v>129965</v>
      </c>
      <c r="S16" s="749">
        <v>313897</v>
      </c>
      <c r="T16" s="554">
        <f>平成24年度!C16/平成24年度!R16</f>
        <v>0.3296733736005848</v>
      </c>
      <c r="U16" s="534">
        <f>平成24年度!H16/平成24年度!S16</f>
        <v>0.23330582961927002</v>
      </c>
      <c r="V16" s="535">
        <f>平成24年度!L16/平成24年度!H16</f>
        <v>6.8998006390474376E-2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42795</v>
      </c>
      <c r="D17" s="526">
        <f>平成24年度!E17+平成24年度!F17</f>
        <v>40335</v>
      </c>
      <c r="E17" s="526">
        <f>平成24年度!C17-平成24年度!G17-平成24年度!F17</f>
        <v>39341</v>
      </c>
      <c r="F17" s="740">
        <v>994</v>
      </c>
      <c r="G17" s="754">
        <v>2460</v>
      </c>
      <c r="H17" s="595">
        <f t="shared" si="0"/>
        <v>73088</v>
      </c>
      <c r="I17" s="527">
        <v>68044</v>
      </c>
      <c r="J17" s="759">
        <f t="shared" si="1"/>
        <v>40796</v>
      </c>
      <c r="K17" s="742">
        <v>27248</v>
      </c>
      <c r="L17" s="526">
        <f>平成24年度!M17+平成24年度!N17</f>
        <v>5044</v>
      </c>
      <c r="M17" s="740">
        <v>3622</v>
      </c>
      <c r="N17" s="741">
        <v>1422</v>
      </c>
      <c r="O17" s="739">
        <v>25708</v>
      </c>
      <c r="P17" s="526">
        <f t="shared" si="2"/>
        <v>21115</v>
      </c>
      <c r="Q17" s="743">
        <v>4593</v>
      </c>
      <c r="R17" s="750">
        <v>129973</v>
      </c>
      <c r="S17" s="751">
        <v>313865</v>
      </c>
      <c r="T17" s="533">
        <f>平成24年度!C17/平成24年度!R17</f>
        <v>0.32926069260538726</v>
      </c>
      <c r="U17" s="534">
        <f>平成24年度!H17/平成24年度!S17</f>
        <v>0.23286444809073964</v>
      </c>
      <c r="V17" s="535">
        <f>平成24年度!L17/平成24年度!H17</f>
        <v>6.9012697022767078E-2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42709</v>
      </c>
      <c r="D18" s="526">
        <f>平成24年度!E18+平成24年度!F18</f>
        <v>40364</v>
      </c>
      <c r="E18" s="526">
        <f>平成24年度!C18-平成24年度!G18-平成24年度!F18</f>
        <v>39391</v>
      </c>
      <c r="F18" s="740">
        <v>973</v>
      </c>
      <c r="G18" s="754">
        <v>2345</v>
      </c>
      <c r="H18" s="529">
        <f t="shared" si="0"/>
        <v>72911</v>
      </c>
      <c r="I18" s="527">
        <v>68087</v>
      </c>
      <c r="J18" s="759">
        <f t="shared" si="1"/>
        <v>40643</v>
      </c>
      <c r="K18" s="742">
        <v>27444</v>
      </c>
      <c r="L18" s="526">
        <f>平成24年度!M18+平成24年度!N18</f>
        <v>4824</v>
      </c>
      <c r="M18" s="740">
        <v>3469</v>
      </c>
      <c r="N18" s="741">
        <v>1355</v>
      </c>
      <c r="O18" s="739">
        <v>25413</v>
      </c>
      <c r="P18" s="526">
        <f t="shared" si="2"/>
        <v>20989</v>
      </c>
      <c r="Q18" s="743">
        <v>4424</v>
      </c>
      <c r="R18" s="765">
        <v>129935</v>
      </c>
      <c r="S18" s="766">
        <v>313624</v>
      </c>
      <c r="T18" s="533">
        <f>平成24年度!C18/平成24年度!R18</f>
        <v>0.3286951167891638</v>
      </c>
      <c r="U18" s="534">
        <f>平成24年度!H18/平成24年度!S18</f>
        <v>0.23247901946279623</v>
      </c>
      <c r="V18" s="535">
        <f>平成24年度!L18/平成24年度!H18</f>
        <v>6.616285608481573E-2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42665</v>
      </c>
      <c r="D19" s="526">
        <f>平成24年度!E19+平成24年度!F19</f>
        <v>40391</v>
      </c>
      <c r="E19" s="526">
        <f>平成24年度!C19-平成24年度!G19-平成24年度!F19</f>
        <v>39437</v>
      </c>
      <c r="F19" s="740">
        <v>954</v>
      </c>
      <c r="G19" s="754">
        <v>2274</v>
      </c>
      <c r="H19" s="529">
        <f t="shared" si="0"/>
        <v>72720</v>
      </c>
      <c r="I19" s="527">
        <v>68047</v>
      </c>
      <c r="J19" s="759">
        <f t="shared" si="1"/>
        <v>40476</v>
      </c>
      <c r="K19" s="742">
        <v>27571</v>
      </c>
      <c r="L19" s="526">
        <f>平成24年度!M19+平成24年度!N19</f>
        <v>4673</v>
      </c>
      <c r="M19" s="740">
        <v>3370</v>
      </c>
      <c r="N19" s="741">
        <v>1303</v>
      </c>
      <c r="O19" s="739">
        <v>25225</v>
      </c>
      <c r="P19" s="526">
        <f t="shared" si="2"/>
        <v>20942</v>
      </c>
      <c r="Q19" s="743">
        <v>4283</v>
      </c>
      <c r="R19" s="756">
        <v>130012</v>
      </c>
      <c r="S19" s="757">
        <v>312856</v>
      </c>
      <c r="T19" s="533">
        <f>平成24年度!C19/平成24年度!R19</f>
        <v>0.32816201581392485</v>
      </c>
      <c r="U19" s="534">
        <f>平成24年度!H19/平成24年度!S19</f>
        <v>0.2324392052573708</v>
      </c>
      <c r="V19" s="535">
        <f>平成24年度!L19/平成24年度!H19</f>
        <v>6.4260176017601756E-2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3">SUM(C8:C19)</f>
        <v>515231</v>
      </c>
      <c r="D20" s="559">
        <f t="shared" si="3"/>
        <v>484714</v>
      </c>
      <c r="E20" s="559">
        <f t="shared" si="3"/>
        <v>472347</v>
      </c>
      <c r="F20" s="559">
        <f t="shared" si="3"/>
        <v>12367</v>
      </c>
      <c r="G20" s="575">
        <f t="shared" si="3"/>
        <v>30517</v>
      </c>
      <c r="H20" s="558">
        <f t="shared" si="3"/>
        <v>883644</v>
      </c>
      <c r="I20" s="559">
        <f t="shared" si="3"/>
        <v>820663</v>
      </c>
      <c r="J20" s="559">
        <f t="shared" si="3"/>
        <v>495249</v>
      </c>
      <c r="K20" s="559">
        <f t="shared" si="3"/>
        <v>325414</v>
      </c>
      <c r="L20" s="559">
        <f t="shared" si="3"/>
        <v>62981</v>
      </c>
      <c r="M20" s="559">
        <f t="shared" si="3"/>
        <v>45040</v>
      </c>
      <c r="N20" s="560">
        <f t="shared" si="3"/>
        <v>17941</v>
      </c>
      <c r="O20" s="558">
        <f t="shared" si="3"/>
        <v>315431</v>
      </c>
      <c r="P20" s="559">
        <f t="shared" si="3"/>
        <v>257365</v>
      </c>
      <c r="Q20" s="560">
        <f t="shared" si="3"/>
        <v>58066</v>
      </c>
      <c r="R20" s="561">
        <f t="shared" si="3"/>
        <v>1558038</v>
      </c>
      <c r="S20" s="562">
        <f t="shared" si="3"/>
        <v>3766488</v>
      </c>
      <c r="T20" s="563">
        <f>平成24年度!C20/平成24年度!R20</f>
        <v>0.3306921910762125</v>
      </c>
      <c r="U20" s="564">
        <f>平成24年度!H20/平成24年度!S20</f>
        <v>0.23460688046795847</v>
      </c>
      <c r="V20" s="565">
        <f>平成24年度!L20/平成24年度!H20</f>
        <v>7.1274178288994211E-2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20.149999999999999" customHeight="1" x14ac:dyDescent="0.2">
      <c r="A21" s="556"/>
      <c r="B21" s="762" t="s">
        <v>53</v>
      </c>
      <c r="C21" s="764">
        <f>AVERAGE(C8:C19)</f>
        <v>42935.916666666664</v>
      </c>
      <c r="D21" s="562">
        <f>D20/(COUNTIF(D8:D19,"&gt;0"))</f>
        <v>40392.833333333336</v>
      </c>
      <c r="E21" s="560">
        <f>E20/(COUNTIF(E8:E19,"&gt;0"))</f>
        <v>39362.25</v>
      </c>
      <c r="F21" s="560">
        <f t="shared" ref="F21:S21" si="4">AVERAGE(F8:F19)</f>
        <v>1030.5833333333333</v>
      </c>
      <c r="G21" s="575">
        <f t="shared" si="4"/>
        <v>2543.0833333333335</v>
      </c>
      <c r="H21" s="574">
        <f>H20/(COUNTIF(H8:H19,"&gt;0"))</f>
        <v>73637</v>
      </c>
      <c r="I21" s="562">
        <f t="shared" si="4"/>
        <v>68388.583333333328</v>
      </c>
      <c r="J21" s="562">
        <f>J20/(COUNTIF(J8:J19,"&gt;0"))</f>
        <v>41270.75</v>
      </c>
      <c r="K21" s="562">
        <f t="shared" si="4"/>
        <v>27117.833333333332</v>
      </c>
      <c r="L21" s="560">
        <f>L20/(COUNTIF(L8:L19,"&gt;0"))</f>
        <v>5248.416666666667</v>
      </c>
      <c r="M21" s="560">
        <f t="shared" si="4"/>
        <v>3753.3333333333335</v>
      </c>
      <c r="N21" s="575">
        <f t="shared" si="4"/>
        <v>1495.0833333333333</v>
      </c>
      <c r="O21" s="574">
        <f t="shared" si="4"/>
        <v>26285.916666666668</v>
      </c>
      <c r="P21" s="562">
        <f>P20/(COUNTIF(P8:P19,"&gt;0"))</f>
        <v>21447.083333333332</v>
      </c>
      <c r="Q21" s="562">
        <f t="shared" si="4"/>
        <v>4838.833333333333</v>
      </c>
      <c r="R21" s="574">
        <f t="shared" si="4"/>
        <v>129836.5</v>
      </c>
      <c r="S21" s="560">
        <f t="shared" si="4"/>
        <v>313874</v>
      </c>
      <c r="T21" s="563">
        <f>平成24年度!C21/平成24年度!R21</f>
        <v>0.3306921910762125</v>
      </c>
      <c r="U21" s="564">
        <f>平成24年度!H21/平成24年度!S21</f>
        <v>0.23460688046795847</v>
      </c>
      <c r="V21" s="565">
        <f>平成24年度!L21/平成24年度!H21</f>
        <v>7.1274178288994211E-2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>平成24年度!C8</f>
        <v>43009</v>
      </c>
      <c r="D23" s="526">
        <f>平成24年度!D8</f>
        <v>40350</v>
      </c>
      <c r="E23" s="596">
        <f>平成24年度!E8</f>
        <v>39288</v>
      </c>
      <c r="F23" s="596">
        <f>平成24年度!F8</f>
        <v>1062</v>
      </c>
      <c r="G23" s="597">
        <f>平成24年度!G8</f>
        <v>2659</v>
      </c>
      <c r="H23" s="595">
        <f>平成24年度!H8</f>
        <v>74247</v>
      </c>
      <c r="I23" s="526">
        <f>平成24年度!I8</f>
        <v>68720</v>
      </c>
      <c r="J23" s="596">
        <f>平成24年度!J8</f>
        <v>41958</v>
      </c>
      <c r="K23" s="596">
        <f>平成24年度!K8</f>
        <v>26762</v>
      </c>
      <c r="L23" s="596">
        <f>平成24年度!L8</f>
        <v>5527</v>
      </c>
      <c r="M23" s="596">
        <f>平成24年度!M8</f>
        <v>3922</v>
      </c>
      <c r="N23" s="597">
        <f>平成24年度!N8</f>
        <v>1605</v>
      </c>
      <c r="O23" s="595">
        <f>平成24年度!O8</f>
        <v>26907</v>
      </c>
      <c r="P23" s="526">
        <f>平成24年度!P8</f>
        <v>21785</v>
      </c>
      <c r="Q23" s="597">
        <f>平成24年度!Q8</f>
        <v>5122</v>
      </c>
      <c r="R23" s="598">
        <f>平成24年度!R8</f>
        <v>129497</v>
      </c>
      <c r="S23" s="526">
        <f>平成24年度!S8</f>
        <v>314074</v>
      </c>
      <c r="T23" s="533">
        <f>平成24年度!C23/平成24年度!R23</f>
        <v>0.33212352409708334</v>
      </c>
      <c r="U23" s="534">
        <f>平成24年度!H23/平成24年度!S23</f>
        <v>0.23639970198106178</v>
      </c>
      <c r="V23" s="535">
        <f>平成24年度!L23/平成24年度!H23</f>
        <v>7.4440718143494011E-2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>SUM(平成24年度!C8:C9)</f>
        <v>86147</v>
      </c>
      <c r="D24" s="599">
        <f>SUM(平成24年度!D8:D9)</f>
        <v>80842</v>
      </c>
      <c r="E24" s="600">
        <f>SUM(平成24年度!E8:E9)</f>
        <v>78716</v>
      </c>
      <c r="F24" s="600">
        <f>SUM(平成24年度!F8:F9)</f>
        <v>2126</v>
      </c>
      <c r="G24" s="601">
        <f>SUM(平成24年度!G8:G9)</f>
        <v>5305</v>
      </c>
      <c r="H24" s="529">
        <f>SUM(平成24年度!H8:H9)</f>
        <v>148637</v>
      </c>
      <c r="I24" s="599">
        <f>SUM(平成24年度!I8:I9)</f>
        <v>137606</v>
      </c>
      <c r="J24" s="600">
        <f>SUM(平成24年度!J8:J9)</f>
        <v>84062</v>
      </c>
      <c r="K24" s="600">
        <f>SUM(平成24年度!K8:K9)</f>
        <v>53544</v>
      </c>
      <c r="L24" s="600">
        <f>SUM(平成24年度!L8:L9)</f>
        <v>11031</v>
      </c>
      <c r="M24" s="600">
        <f>SUM(平成24年度!M8:M9)</f>
        <v>7835</v>
      </c>
      <c r="N24" s="601">
        <f>SUM(平成24年度!N8:N9)</f>
        <v>3196</v>
      </c>
      <c r="O24" s="529">
        <f>SUM(平成24年度!O8:O9)</f>
        <v>53932</v>
      </c>
      <c r="P24" s="599">
        <f>SUM(平成24年度!P8:P9)</f>
        <v>43692</v>
      </c>
      <c r="Q24" s="601">
        <f>SUM(平成24年度!Q8:Q9)</f>
        <v>10240</v>
      </c>
      <c r="R24" s="602">
        <f>SUM(平成24年度!R8:R9)</f>
        <v>259252</v>
      </c>
      <c r="S24" s="599">
        <f>SUM(平成24年度!S8:S9)</f>
        <v>628378</v>
      </c>
      <c r="T24" s="603">
        <f>平成24年度!C24/平成24年度!R24</f>
        <v>0.33229058985080151</v>
      </c>
      <c r="U24" s="604">
        <f>平成24年度!H24/平成24年度!S24</f>
        <v>0.23654074458367416</v>
      </c>
      <c r="V24" s="605">
        <f>平成24年度!L24/平成24年度!H24</f>
        <v>7.421436116175649E-2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>SUM(平成24年度!C8:C10)</f>
        <v>129289</v>
      </c>
      <c r="D25" s="599">
        <f>SUM(平成24年度!D8:D10)</f>
        <v>121323</v>
      </c>
      <c r="E25" s="600">
        <f>SUM(平成24年度!E8:E10)</f>
        <v>118140</v>
      </c>
      <c r="F25" s="600">
        <f>SUM(平成24年度!F8:F10)</f>
        <v>3183</v>
      </c>
      <c r="G25" s="601">
        <f>SUM(平成24年度!G8:G10)</f>
        <v>7966</v>
      </c>
      <c r="H25" s="529">
        <f>SUM(平成24年度!H8:H10)</f>
        <v>222953</v>
      </c>
      <c r="I25" s="599">
        <f>SUM(平成24年度!I8:I10)</f>
        <v>206411</v>
      </c>
      <c r="J25" s="600">
        <f>SUM(平成24年度!J8:J10)</f>
        <v>126032</v>
      </c>
      <c r="K25" s="600">
        <f>SUM(平成24年度!K8:K10)</f>
        <v>80379</v>
      </c>
      <c r="L25" s="600">
        <f>SUM(平成24年度!L8:L10)</f>
        <v>16542</v>
      </c>
      <c r="M25" s="600">
        <f>SUM(平成24年度!M8:M10)</f>
        <v>11749</v>
      </c>
      <c r="N25" s="601">
        <f>SUM(平成24年度!N8:N10)</f>
        <v>4793</v>
      </c>
      <c r="O25" s="529">
        <f>SUM(平成24年度!O8:O10)</f>
        <v>80857</v>
      </c>
      <c r="P25" s="599">
        <f>SUM(平成24年度!P8:P10)</f>
        <v>65520</v>
      </c>
      <c r="Q25" s="601">
        <f>SUM(平成24年度!Q8:Q10)</f>
        <v>15337</v>
      </c>
      <c r="R25" s="602">
        <f>SUM(平成24年度!R8:R10)</f>
        <v>389109</v>
      </c>
      <c r="S25" s="599">
        <f>SUM(平成24年度!S8:S10)</f>
        <v>942716</v>
      </c>
      <c r="T25" s="603">
        <f>平成24年度!C25/平成24年度!R25</f>
        <v>0.33226936411134156</v>
      </c>
      <c r="U25" s="604">
        <f>平成24年度!H25/平成24年度!S25</f>
        <v>0.2365007064693927</v>
      </c>
      <c r="V25" s="605">
        <f>平成24年度!L25/平成24年度!H25</f>
        <v>7.4195009710566806E-2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>SUM(平成24年度!C8:C11)</f>
        <v>172416</v>
      </c>
      <c r="D26" s="599">
        <f>SUM(平成24年度!D8:D11)</f>
        <v>161810</v>
      </c>
      <c r="E26" s="600">
        <f>SUM(平成24年度!E8:E11)</f>
        <v>157572</v>
      </c>
      <c r="F26" s="600">
        <f>SUM(平成24年度!F8:F11)</f>
        <v>4238</v>
      </c>
      <c r="G26" s="601">
        <f>SUM(平成24年度!G8:G11)</f>
        <v>10606</v>
      </c>
      <c r="H26" s="529">
        <f>SUM(平成24年度!H8:H11)</f>
        <v>297136</v>
      </c>
      <c r="I26" s="599">
        <f>SUM(平成24年度!I8:I11)</f>
        <v>275133</v>
      </c>
      <c r="J26" s="600">
        <f>SUM(平成24年度!J8:J11)</f>
        <v>167850</v>
      </c>
      <c r="K26" s="600">
        <f>SUM(平成24年度!K8:K11)</f>
        <v>107283</v>
      </c>
      <c r="L26" s="600">
        <f>SUM(平成24年度!L8:L11)</f>
        <v>22003</v>
      </c>
      <c r="M26" s="600">
        <f>SUM(平成24年度!M8:M11)</f>
        <v>15638</v>
      </c>
      <c r="N26" s="601">
        <f>SUM(平成24年度!N8:N11)</f>
        <v>6365</v>
      </c>
      <c r="O26" s="529">
        <f>SUM(平成24年度!O8:O11)</f>
        <v>107640</v>
      </c>
      <c r="P26" s="599">
        <f>SUM(平成24年度!P8:P11)</f>
        <v>87273</v>
      </c>
      <c r="Q26" s="601">
        <f>SUM(平成24年度!Q8:Q11)</f>
        <v>20367</v>
      </c>
      <c r="R26" s="602">
        <f>SUM(平成24年度!R8:R11)</f>
        <v>518692</v>
      </c>
      <c r="S26" s="599">
        <f>SUM(平成24年度!S8:S11)</f>
        <v>1256459</v>
      </c>
      <c r="T26" s="603">
        <f>平成24年度!C26/平成24年度!R26</f>
        <v>0.33240535809304944</v>
      </c>
      <c r="U26" s="604">
        <f>平成24年度!H26/平成24年度!S26</f>
        <v>0.23648682527643161</v>
      </c>
      <c r="V26" s="605">
        <f>平成24年度!L26/平成24年度!H26</f>
        <v>7.4050266544612567E-2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>SUM(平成24年度!C8:C12)</f>
        <v>215404</v>
      </c>
      <c r="D27" s="599">
        <f>SUM(平成24年度!D8:D12)</f>
        <v>202160</v>
      </c>
      <c r="E27" s="600">
        <f>SUM(平成24年度!E8:E12)</f>
        <v>196839</v>
      </c>
      <c r="F27" s="600">
        <f>SUM(平成24年度!F8:F12)</f>
        <v>5321</v>
      </c>
      <c r="G27" s="601">
        <f>SUM(平成24年度!G8:G12)</f>
        <v>13244</v>
      </c>
      <c r="H27" s="529">
        <f>SUM(平成24年度!H8:H12)</f>
        <v>371011</v>
      </c>
      <c r="I27" s="599">
        <f>SUM(平成24年度!I8:I12)</f>
        <v>343563</v>
      </c>
      <c r="J27" s="600">
        <f>SUM(平成24年度!J8:J12)</f>
        <v>209275</v>
      </c>
      <c r="K27" s="600">
        <f>SUM(平成24年度!K8:K12)</f>
        <v>134288</v>
      </c>
      <c r="L27" s="600">
        <f>SUM(平成24年度!L8:L12)</f>
        <v>27448</v>
      </c>
      <c r="M27" s="600">
        <f>SUM(平成24年度!M8:M12)</f>
        <v>19546</v>
      </c>
      <c r="N27" s="601">
        <f>SUM(平成24年度!N8:N12)</f>
        <v>7902</v>
      </c>
      <c r="O27" s="529">
        <f>SUM(平成24年度!O8:O12)</f>
        <v>134250</v>
      </c>
      <c r="P27" s="599">
        <f>SUM(平成24年度!P8:P12)</f>
        <v>108850</v>
      </c>
      <c r="Q27" s="601">
        <f>SUM(平成24年度!Q8:Q12)</f>
        <v>25400</v>
      </c>
      <c r="R27" s="602">
        <f>SUM(平成24年度!R8:R12)</f>
        <v>648402</v>
      </c>
      <c r="S27" s="599">
        <f>SUM(平成24年度!S8:S12)</f>
        <v>1570306</v>
      </c>
      <c r="T27" s="603">
        <f>平成24年度!C27/平成24年度!R27</f>
        <v>0.33220748856419319</v>
      </c>
      <c r="U27" s="604">
        <f>平成24年度!H27/平成24年度!S27</f>
        <v>0.23626668942231641</v>
      </c>
      <c r="V27" s="605">
        <f>平成24年度!L27/平成24年度!H27</f>
        <v>7.3981633967726029E-2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>SUM(平成24年度!C8:C13)</f>
        <v>258366</v>
      </c>
      <c r="D28" s="599">
        <f>SUM(平成24年度!D8:D13)</f>
        <v>242516</v>
      </c>
      <c r="E28" s="600">
        <f>SUM(平成24年度!E8:E13)</f>
        <v>236136</v>
      </c>
      <c r="F28" s="600">
        <f>SUM(平成24年度!F8:F13)</f>
        <v>6380</v>
      </c>
      <c r="G28" s="601">
        <f>SUM(平成24年度!G8:G13)</f>
        <v>15850</v>
      </c>
      <c r="H28" s="529">
        <f>SUM(平成24年度!H8:H13)</f>
        <v>444704</v>
      </c>
      <c r="I28" s="599">
        <f>SUM(平成24年度!I8:I13)</f>
        <v>411886</v>
      </c>
      <c r="J28" s="600">
        <f>SUM(平成24年度!J8:J13)</f>
        <v>250503</v>
      </c>
      <c r="K28" s="600">
        <f>SUM(平成24年度!K8:K13)</f>
        <v>161383</v>
      </c>
      <c r="L28" s="600">
        <f>SUM(平成24年度!L8:L13)</f>
        <v>32818</v>
      </c>
      <c r="M28" s="600">
        <f>SUM(平成24年度!M8:M13)</f>
        <v>23393</v>
      </c>
      <c r="N28" s="601">
        <f>SUM(平成24年度!N8:N13)</f>
        <v>9425</v>
      </c>
      <c r="O28" s="529">
        <f>SUM(平成24年度!O8:O13)</f>
        <v>160663</v>
      </c>
      <c r="P28" s="599">
        <f>SUM(平成24年度!P8:P13)</f>
        <v>130320</v>
      </c>
      <c r="Q28" s="601">
        <f>SUM(平成24年度!Q8:Q13)</f>
        <v>30343</v>
      </c>
      <c r="R28" s="602">
        <f>SUM(平成24年度!R8:R13)</f>
        <v>778223</v>
      </c>
      <c r="S28" s="599">
        <f>SUM(平成24年度!S8:S13)</f>
        <v>1884221</v>
      </c>
      <c r="T28" s="603">
        <f>平成24年度!C28/平成24年度!R28</f>
        <v>0.3319948138258571</v>
      </c>
      <c r="U28" s="604">
        <f>平成24年度!H28/平成24年度!S28</f>
        <v>0.23601477745975658</v>
      </c>
      <c r="V28" s="605">
        <f>平成24年度!L28/平成24年度!H28</f>
        <v>7.3797402317046845E-2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>SUM(平成24年度!C8:C14)</f>
        <v>301303</v>
      </c>
      <c r="D29" s="599">
        <f>SUM(平成24年度!D8:D14)</f>
        <v>282864</v>
      </c>
      <c r="E29" s="600">
        <f>SUM(平成24年度!E8:E14)</f>
        <v>275438</v>
      </c>
      <c r="F29" s="600">
        <f>SUM(平成24年度!F8:F14)</f>
        <v>7426</v>
      </c>
      <c r="G29" s="601">
        <f>SUM(平成24年度!G8:G14)</f>
        <v>18439</v>
      </c>
      <c r="H29" s="529">
        <f>SUM(平成24年度!H8:H14)</f>
        <v>518280</v>
      </c>
      <c r="I29" s="599">
        <f>SUM(平成24年度!I8:I14)</f>
        <v>480121</v>
      </c>
      <c r="J29" s="600">
        <f>SUM(平成24年度!J8:J14)</f>
        <v>291547</v>
      </c>
      <c r="K29" s="600">
        <f>SUM(平成24年度!K8:K14)</f>
        <v>188574</v>
      </c>
      <c r="L29" s="600">
        <f>SUM(平成24年度!L8:L14)</f>
        <v>38159</v>
      </c>
      <c r="M29" s="600">
        <f>SUM(平成24年度!M8:M14)</f>
        <v>27213</v>
      </c>
      <c r="N29" s="601">
        <f>SUM(平成24年度!N8:N14)</f>
        <v>10946</v>
      </c>
      <c r="O29" s="529">
        <f>SUM(平成24年度!O8:O14)</f>
        <v>186963</v>
      </c>
      <c r="P29" s="599">
        <f>SUM(平成24年度!P8:P14)</f>
        <v>151678</v>
      </c>
      <c r="Q29" s="601">
        <f>SUM(平成24年度!Q8:Q14)</f>
        <v>35285</v>
      </c>
      <c r="R29" s="602">
        <f>SUM(平成24年度!R8:R14)</f>
        <v>908177</v>
      </c>
      <c r="S29" s="599">
        <f>SUM(平成24年度!S8:S14)</f>
        <v>2198230</v>
      </c>
      <c r="T29" s="603">
        <f>平成24年度!C29/平成24年度!R29</f>
        <v>0.33176682518936285</v>
      </c>
      <c r="U29" s="604">
        <f>平成24年度!H29/平成24年度!S29</f>
        <v>0.23577150707614764</v>
      </c>
      <c r="V29" s="605">
        <f>平成24年度!L29/平成24年度!H29</f>
        <v>7.3626225206452109E-2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>SUM(平成24年度!C8:C15)</f>
        <v>344216</v>
      </c>
      <c r="D30" s="599">
        <f>SUM(平成24年度!D8:D15)</f>
        <v>323238</v>
      </c>
      <c r="E30" s="600">
        <f>SUM(平成24年度!E8:E15)</f>
        <v>314788</v>
      </c>
      <c r="F30" s="600">
        <f>SUM(平成24年度!F8:F15)</f>
        <v>8450</v>
      </c>
      <c r="G30" s="601">
        <f>SUM(平成24年度!G8:G15)</f>
        <v>20978</v>
      </c>
      <c r="H30" s="529">
        <f>SUM(平成24年度!H8:H15)</f>
        <v>591691</v>
      </c>
      <c r="I30" s="599">
        <f>SUM(平成24年度!I8:I15)</f>
        <v>548304</v>
      </c>
      <c r="J30" s="600">
        <f>SUM(平成24年度!J8:J15)</f>
        <v>332500</v>
      </c>
      <c r="K30" s="600">
        <f>SUM(平成24年度!K8:K15)</f>
        <v>215804</v>
      </c>
      <c r="L30" s="600">
        <f>SUM(平成24年度!L8:L15)</f>
        <v>43387</v>
      </c>
      <c r="M30" s="600">
        <f>SUM(平成24年度!M8:M15)</f>
        <v>30953</v>
      </c>
      <c r="N30" s="601">
        <f>SUM(平成24年度!N8:N15)</f>
        <v>12434</v>
      </c>
      <c r="O30" s="529">
        <f>SUM(平成24年度!O8:O15)</f>
        <v>213105</v>
      </c>
      <c r="P30" s="599">
        <f>SUM(平成24年度!P8:P15)</f>
        <v>173007</v>
      </c>
      <c r="Q30" s="601">
        <f>SUM(平成24年度!Q8:Q15)</f>
        <v>40098</v>
      </c>
      <c r="R30" s="602">
        <f>SUM(平成24年度!R8:R15)</f>
        <v>1038153</v>
      </c>
      <c r="S30" s="599">
        <f>SUM(平成24年度!S8:S15)</f>
        <v>2512246</v>
      </c>
      <c r="T30" s="603">
        <f>平成24年度!C30/平成24年度!R30</f>
        <v>0.33156577113392727</v>
      </c>
      <c r="U30" s="604">
        <f>平成24年度!H30/平成24年度!S30</f>
        <v>0.23552271553024665</v>
      </c>
      <c r="V30" s="605">
        <f>平成24年度!L30/平成24年度!H30</f>
        <v>7.3327125137952073E-2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>SUM(平成24年度!C8:C16)</f>
        <v>387062</v>
      </c>
      <c r="D31" s="599">
        <f>SUM(平成24年度!D8:D16)</f>
        <v>363624</v>
      </c>
      <c r="E31" s="600">
        <f>SUM(平成24年度!E8:E16)</f>
        <v>354178</v>
      </c>
      <c r="F31" s="600">
        <f>SUM(平成24年度!F8:F16)</f>
        <v>9446</v>
      </c>
      <c r="G31" s="601">
        <f>SUM(平成24年度!G8:G16)</f>
        <v>23438</v>
      </c>
      <c r="H31" s="529">
        <f>SUM(平成24年度!H8:H16)</f>
        <v>664925</v>
      </c>
      <c r="I31" s="599">
        <f>SUM(平成24年度!I8:I16)</f>
        <v>616485</v>
      </c>
      <c r="J31" s="600">
        <f>SUM(平成24年度!J8:J16)</f>
        <v>373334</v>
      </c>
      <c r="K31" s="600">
        <f>SUM(平成24年度!K8:K16)</f>
        <v>243151</v>
      </c>
      <c r="L31" s="600">
        <f>SUM(平成24年度!L8:L16)</f>
        <v>48440</v>
      </c>
      <c r="M31" s="600">
        <f>SUM(平成24年度!M8:M16)</f>
        <v>34579</v>
      </c>
      <c r="N31" s="601">
        <f>SUM(平成24年度!N8:N16)</f>
        <v>13861</v>
      </c>
      <c r="O31" s="529">
        <f>SUM(平成24年度!O8:O16)</f>
        <v>239085</v>
      </c>
      <c r="P31" s="599">
        <f>SUM(平成24年度!P8:P16)</f>
        <v>194319</v>
      </c>
      <c r="Q31" s="601">
        <f>SUM(平成24年度!Q8:Q16)</f>
        <v>44766</v>
      </c>
      <c r="R31" s="602">
        <f>SUM(平成24年度!R8:R16)</f>
        <v>1168118</v>
      </c>
      <c r="S31" s="599">
        <f>SUM(平成24年度!S8:S16)</f>
        <v>2826143</v>
      </c>
      <c r="T31" s="603">
        <f>平成24年度!C31/平成24年度!R31</f>
        <v>0.33135522267442158</v>
      </c>
      <c r="U31" s="604">
        <f>平成24年度!H31/平成24年度!S31</f>
        <v>0.23527648813241225</v>
      </c>
      <c r="V31" s="605">
        <f>平成24年度!L31/平成24年度!H31</f>
        <v>7.2850321464826867E-2</v>
      </c>
    </row>
    <row r="32" spans="1:45" ht="20.149999999999999" customHeight="1" x14ac:dyDescent="0.2">
      <c r="B32" s="537" t="s">
        <v>63</v>
      </c>
      <c r="C32" s="529">
        <f>SUM(平成24年度!C8:C17)</f>
        <v>429857</v>
      </c>
      <c r="D32" s="599">
        <f>SUM(平成24年度!D8:D17)</f>
        <v>403959</v>
      </c>
      <c r="E32" s="600">
        <f>SUM(平成24年度!E8:E17)</f>
        <v>393519</v>
      </c>
      <c r="F32" s="600">
        <f>SUM(平成24年度!F8:F17)</f>
        <v>10440</v>
      </c>
      <c r="G32" s="601">
        <f>SUM(平成24年度!G8:G17)</f>
        <v>25898</v>
      </c>
      <c r="H32" s="529">
        <f>SUM(平成24年度!H8:H17)</f>
        <v>738013</v>
      </c>
      <c r="I32" s="599">
        <f>SUM(平成24年度!I8:I17)</f>
        <v>684529</v>
      </c>
      <c r="J32" s="600">
        <f>SUM(平成24年度!J8:J17)</f>
        <v>414130</v>
      </c>
      <c r="K32" s="600">
        <f>SUM(平成24年度!K8:K17)</f>
        <v>270399</v>
      </c>
      <c r="L32" s="600">
        <f>SUM(平成24年度!L8:L17)</f>
        <v>53484</v>
      </c>
      <c r="M32" s="600">
        <f>SUM(平成24年度!M8:M17)</f>
        <v>38201</v>
      </c>
      <c r="N32" s="601">
        <f>SUM(平成24年度!N8:N17)</f>
        <v>15283</v>
      </c>
      <c r="O32" s="529">
        <f>SUM(平成24年度!O8:O17)</f>
        <v>264793</v>
      </c>
      <c r="P32" s="599">
        <f>SUM(平成24年度!P8:P17)</f>
        <v>215434</v>
      </c>
      <c r="Q32" s="601">
        <f>SUM(平成24年度!Q8:Q17)</f>
        <v>49359</v>
      </c>
      <c r="R32" s="602">
        <f>SUM(平成24年度!R8:R17)</f>
        <v>1298091</v>
      </c>
      <c r="S32" s="599">
        <f>SUM(平成24年度!S8:S17)</f>
        <v>3140008</v>
      </c>
      <c r="T32" s="603">
        <f>平成24年度!C32/平成24年度!R32</f>
        <v>0.33114550520726205</v>
      </c>
      <c r="U32" s="604">
        <f>平成24年度!H32/平成24年度!S32</f>
        <v>0.23503538844487021</v>
      </c>
      <c r="V32" s="605">
        <f>平成24年度!L32/平成24年度!H32</f>
        <v>7.2470268138908125E-2</v>
      </c>
    </row>
    <row r="33" spans="1:35" ht="20.149999999999999" customHeight="1" x14ac:dyDescent="0.2">
      <c r="B33" s="537" t="s">
        <v>64</v>
      </c>
      <c r="C33" s="529">
        <f>SUM(平成24年度!C8:C18)</f>
        <v>472566</v>
      </c>
      <c r="D33" s="599">
        <f>SUM(平成24年度!D8:D18)</f>
        <v>444323</v>
      </c>
      <c r="E33" s="600">
        <f>SUM(平成24年度!E8:E18)</f>
        <v>432910</v>
      </c>
      <c r="F33" s="600">
        <f>SUM(平成24年度!F8:F18)</f>
        <v>11413</v>
      </c>
      <c r="G33" s="601">
        <f>SUM(平成24年度!G8:G18)</f>
        <v>28243</v>
      </c>
      <c r="H33" s="529">
        <f>SUM(平成24年度!H8:H18)</f>
        <v>810924</v>
      </c>
      <c r="I33" s="599">
        <f>SUM(平成24年度!I8:I18)</f>
        <v>752616</v>
      </c>
      <c r="J33" s="600">
        <f>SUM(平成24年度!J8:J18)</f>
        <v>454773</v>
      </c>
      <c r="K33" s="600">
        <f>SUM(平成24年度!K8:K18)</f>
        <v>297843</v>
      </c>
      <c r="L33" s="600">
        <f>SUM(平成24年度!L8:L18)</f>
        <v>58308</v>
      </c>
      <c r="M33" s="600">
        <f>SUM(平成24年度!M8:M18)</f>
        <v>41670</v>
      </c>
      <c r="N33" s="601">
        <f>SUM(平成24年度!N8:N18)</f>
        <v>16638</v>
      </c>
      <c r="O33" s="529">
        <f>SUM(平成24年度!O8:O18)</f>
        <v>290206</v>
      </c>
      <c r="P33" s="599">
        <f>SUM(平成24年度!P8:P18)</f>
        <v>236423</v>
      </c>
      <c r="Q33" s="601">
        <f>SUM(平成24年度!Q8:Q18)</f>
        <v>53783</v>
      </c>
      <c r="R33" s="602">
        <f>SUM(平成24年度!R8:R18)</f>
        <v>1428026</v>
      </c>
      <c r="S33" s="599">
        <f>SUM(平成24年度!S8:S18)</f>
        <v>3453632</v>
      </c>
      <c r="T33" s="603">
        <f>平成24年度!C33/平成24年度!R33</f>
        <v>0.33092254622814993</v>
      </c>
      <c r="U33" s="604">
        <f>平成24年度!H33/平成24年度!S33</f>
        <v>0.23480324481589238</v>
      </c>
      <c r="V33" s="605">
        <f>平成24年度!L33/平成24年度!H33</f>
        <v>7.1903162318540326E-2</v>
      </c>
    </row>
    <row r="34" spans="1:35" ht="20.149999999999999" customHeight="1" thickBot="1" x14ac:dyDescent="0.25">
      <c r="B34" s="606" t="s">
        <v>65</v>
      </c>
      <c r="C34" s="607">
        <f>SUM(平成24年度!C8:C19)</f>
        <v>515231</v>
      </c>
      <c r="D34" s="608">
        <f>SUM(平成24年度!D8:D19)</f>
        <v>484714</v>
      </c>
      <c r="E34" s="609">
        <f>SUM(平成24年度!E8:E19)</f>
        <v>472347</v>
      </c>
      <c r="F34" s="609">
        <f>SUM(平成24年度!F8:F19)</f>
        <v>12367</v>
      </c>
      <c r="G34" s="610">
        <f>SUM(平成24年度!G8:G19)</f>
        <v>30517</v>
      </c>
      <c r="H34" s="607">
        <f>SUM(平成24年度!H8:H19)</f>
        <v>883644</v>
      </c>
      <c r="I34" s="608">
        <f>SUM(平成24年度!I8:I19)</f>
        <v>820663</v>
      </c>
      <c r="J34" s="609">
        <f>SUM(平成24年度!J8:J19)</f>
        <v>495249</v>
      </c>
      <c r="K34" s="609">
        <f>SUM(平成24年度!K8:K19)</f>
        <v>325414</v>
      </c>
      <c r="L34" s="609">
        <f>SUM(平成24年度!L8:L19)</f>
        <v>62981</v>
      </c>
      <c r="M34" s="609">
        <f>SUM(平成24年度!M8:M19)</f>
        <v>45040</v>
      </c>
      <c r="N34" s="610">
        <f>SUM(平成24年度!N8:N19)</f>
        <v>17941</v>
      </c>
      <c r="O34" s="607">
        <f>SUM(平成24年度!O8:O19)</f>
        <v>315431</v>
      </c>
      <c r="P34" s="608">
        <f>SUM(平成24年度!P8:P19)</f>
        <v>257365</v>
      </c>
      <c r="Q34" s="610">
        <f>SUM(平成24年度!Q8:Q19)</f>
        <v>58066</v>
      </c>
      <c r="R34" s="611">
        <f>SUM(平成24年度!R8:R19)</f>
        <v>1558038</v>
      </c>
      <c r="S34" s="608">
        <f>SUM(平成24年度!S8:S19)</f>
        <v>3766488</v>
      </c>
      <c r="T34" s="612">
        <f>平成24年度!C34/平成24年度!R34</f>
        <v>0.3306921910762125</v>
      </c>
      <c r="U34" s="613">
        <f>平成24年度!H34/平成24年度!S34</f>
        <v>0.23460688046795847</v>
      </c>
      <c r="V34" s="614">
        <f>平成24年度!L34/平成24年度!H34</f>
        <v>7.1274178288994211E-2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5">SUM(C7:C18)</f>
        <v>515060</v>
      </c>
      <c r="D35" s="616">
        <f t="shared" si="5"/>
        <v>484289</v>
      </c>
      <c r="E35" s="616">
        <f t="shared" si="5"/>
        <v>471849</v>
      </c>
      <c r="F35" s="616">
        <f t="shared" si="5"/>
        <v>12440</v>
      </c>
      <c r="G35" s="617">
        <f t="shared" si="5"/>
        <v>30771</v>
      </c>
      <c r="H35" s="618">
        <f t="shared" si="5"/>
        <v>884388</v>
      </c>
      <c r="I35" s="616">
        <f t="shared" si="5"/>
        <v>820834</v>
      </c>
      <c r="J35" s="616">
        <f t="shared" si="5"/>
        <v>496521</v>
      </c>
      <c r="K35" s="616">
        <f t="shared" si="5"/>
        <v>324313</v>
      </c>
      <c r="L35" s="616">
        <f t="shared" si="5"/>
        <v>63554</v>
      </c>
      <c r="M35" s="616">
        <f t="shared" si="5"/>
        <v>45413</v>
      </c>
      <c r="N35" s="619">
        <f t="shared" si="5"/>
        <v>18141</v>
      </c>
      <c r="O35" s="618">
        <f t="shared" si="5"/>
        <v>316643</v>
      </c>
      <c r="P35" s="616">
        <f t="shared" si="5"/>
        <v>258011</v>
      </c>
      <c r="Q35" s="619">
        <f t="shared" si="5"/>
        <v>58632</v>
      </c>
      <c r="R35" s="618">
        <f t="shared" si="5"/>
        <v>1557128</v>
      </c>
      <c r="S35" s="616">
        <f t="shared" si="5"/>
        <v>3767315</v>
      </c>
      <c r="T35" s="620">
        <f>C35/R35</f>
        <v>0.3307756330886093</v>
      </c>
      <c r="U35" s="620">
        <f>H35/S35</f>
        <v>0.2347528677586026</v>
      </c>
      <c r="V35" s="621">
        <f>L35/H35</f>
        <v>7.1862123864186306E-2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AVERAGE(C7:C18)</f>
        <v>42921.666666666664</v>
      </c>
      <c r="D36" s="626">
        <f>D35/(COUNTIF(D7:D18,"&gt;0"))</f>
        <v>40357.416666666664</v>
      </c>
      <c r="E36" s="626">
        <f>E35/(COUNTIF(E7:E18,"&gt;0"))</f>
        <v>39320.75</v>
      </c>
      <c r="F36" s="626">
        <f>AVERAGE(F7:F18)</f>
        <v>1036.6666666666667</v>
      </c>
      <c r="G36" s="627">
        <f>AVERAGE(G7:G18)</f>
        <v>2564.25</v>
      </c>
      <c r="H36" s="625">
        <f>L36+I36</f>
        <v>73699</v>
      </c>
      <c r="I36" s="626">
        <f>AVERAGE(I7:I18)</f>
        <v>68402.833333333328</v>
      </c>
      <c r="J36" s="626">
        <f>J35/(COUNTIF(J7:J18,"&gt;0"))</f>
        <v>41376.75</v>
      </c>
      <c r="K36" s="626">
        <f>AVERAGE(K7:K18)</f>
        <v>27026.083333333332</v>
      </c>
      <c r="L36" s="626">
        <f>L35/(COUNTIF(L7:L18,"&gt;0"))</f>
        <v>5296.166666666667</v>
      </c>
      <c r="M36" s="626">
        <f>AVERAGE(M7:M18)</f>
        <v>3784.4166666666665</v>
      </c>
      <c r="N36" s="628">
        <f>AVERAGE(N7:N18)</f>
        <v>1511.75</v>
      </c>
      <c r="O36" s="625">
        <f>AVERAGE(O7:O18)</f>
        <v>26386.916666666668</v>
      </c>
      <c r="P36" s="626">
        <f>P35/(COUNTIF(P7:P18,"&gt;0"))</f>
        <v>21500.916666666668</v>
      </c>
      <c r="Q36" s="628">
        <f>AVERAGE(Q7:Q18)</f>
        <v>4886</v>
      </c>
      <c r="R36" s="625">
        <f>AVERAGE(R7:R18)</f>
        <v>129760.66666666667</v>
      </c>
      <c r="S36" s="626">
        <f>AVERAGE(S7:S18)</f>
        <v>313942.91666666669</v>
      </c>
      <c r="T36" s="629">
        <f>C36/R36</f>
        <v>0.33077563308860924</v>
      </c>
      <c r="U36" s="630">
        <f>H36/S36</f>
        <v>0.2347528677586026</v>
      </c>
      <c r="V36" s="631">
        <f>L36/H36</f>
        <v>7.1862123864186306E-2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>平成24年度!C2+平成24年度!C31</f>
        <v>514617</v>
      </c>
      <c r="D37" s="635">
        <f>平成24年度!D2+平成24年度!D31</f>
        <v>483420</v>
      </c>
      <c r="E37" s="636">
        <f>平成24年度!E2+平成24年度!E31</f>
        <v>470844</v>
      </c>
      <c r="F37" s="636">
        <f>平成24年度!F2+平成24年度!F31</f>
        <v>12576</v>
      </c>
      <c r="G37" s="637">
        <f>平成24年度!G2+平成24年度!G31</f>
        <v>31197</v>
      </c>
      <c r="H37" s="634">
        <f>平成24年度!H2+平成24年度!H31</f>
        <v>885726</v>
      </c>
      <c r="I37" s="635">
        <f>平成24年度!I2+平成24年度!I31</f>
        <v>821199</v>
      </c>
      <c r="J37" s="636">
        <f>平成24年度!J2+平成24年度!J31</f>
        <v>498804</v>
      </c>
      <c r="K37" s="636">
        <f>平成24年度!K2+平成24年度!K31</f>
        <v>322395</v>
      </c>
      <c r="L37" s="636">
        <f>平成24年度!L2+平成24年度!L31</f>
        <v>64527</v>
      </c>
      <c r="M37" s="636">
        <f>平成24年度!M2+平成24年度!M31</f>
        <v>46046</v>
      </c>
      <c r="N37" s="637">
        <f>平成24年度!N2+平成24年度!N31</f>
        <v>18481</v>
      </c>
      <c r="O37" s="634">
        <f>平成24年度!O2+平成24年度!O31</f>
        <v>318693</v>
      </c>
      <c r="P37" s="638">
        <f>平成24年度!P2+平成24年度!P31</f>
        <v>259060</v>
      </c>
      <c r="Q37" s="637">
        <f>平成24年度!Q2+平成24年度!Q31</f>
        <v>59633</v>
      </c>
      <c r="R37" s="634">
        <f>平成24年度!R2+平成24年度!R31</f>
        <v>1555113</v>
      </c>
      <c r="S37" s="635">
        <f>平成24年度!S2+平成24年度!S31</f>
        <v>3768141</v>
      </c>
      <c r="T37" s="639">
        <f>平成24年度!C37/平成24年度!R37</f>
        <v>0.33091936084387436</v>
      </c>
      <c r="U37" s="639">
        <f>平成24年度!H37/平成24年度!S37</f>
        <v>0.23505649072049056</v>
      </c>
      <c r="V37" s="640">
        <f>平成24年度!L37/平成24年度!H37</f>
        <v>7.2852100988341773E-2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42884.75</v>
      </c>
      <c r="D38" s="643">
        <f t="shared" ref="D38:S38" si="6">D37/(COUNTIF(D8:D16,"&gt;0")+3)</f>
        <v>40285</v>
      </c>
      <c r="E38" s="644">
        <f t="shared" si="6"/>
        <v>39237</v>
      </c>
      <c r="F38" s="644">
        <f t="shared" si="6"/>
        <v>1048</v>
      </c>
      <c r="G38" s="645">
        <f t="shared" si="6"/>
        <v>2599.75</v>
      </c>
      <c r="H38" s="642">
        <f t="shared" si="6"/>
        <v>73810.5</v>
      </c>
      <c r="I38" s="643">
        <f t="shared" si="6"/>
        <v>68433.25</v>
      </c>
      <c r="J38" s="644">
        <f t="shared" si="6"/>
        <v>41567</v>
      </c>
      <c r="K38" s="644">
        <f t="shared" si="6"/>
        <v>26866.25</v>
      </c>
      <c r="L38" s="644">
        <f t="shared" si="6"/>
        <v>5377.25</v>
      </c>
      <c r="M38" s="644">
        <f t="shared" si="6"/>
        <v>3837.1666666666665</v>
      </c>
      <c r="N38" s="645">
        <f t="shared" si="6"/>
        <v>1540.0833333333333</v>
      </c>
      <c r="O38" s="642">
        <f t="shared" si="6"/>
        <v>26557.75</v>
      </c>
      <c r="P38" s="646">
        <f t="shared" si="6"/>
        <v>21588.333333333332</v>
      </c>
      <c r="Q38" s="645">
        <f t="shared" si="6"/>
        <v>4969.416666666667</v>
      </c>
      <c r="R38" s="642">
        <f t="shared" si="6"/>
        <v>129592.75</v>
      </c>
      <c r="S38" s="643">
        <f t="shared" si="6"/>
        <v>314011.75</v>
      </c>
      <c r="T38" s="647">
        <f>平成24年度!C38/平成24年度!R38</f>
        <v>0.33091936084387436</v>
      </c>
      <c r="U38" s="647">
        <f>平成24年度!H38/平成24年度!S38</f>
        <v>0.23505649072049056</v>
      </c>
      <c r="V38" s="648">
        <f>平成24年度!L38/平成24年度!H38</f>
        <v>7.2852100988341773E-2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C40" s="860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x14ac:dyDescent="0.2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x14ac:dyDescent="0.2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x14ac:dyDescent="0.2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H19" sqref="H19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478" t="s">
        <v>2834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479" t="s">
        <v>815</v>
      </c>
      <c r="C2" s="480">
        <f>SUM(平成24年度!C17:C19)</f>
        <v>128169</v>
      </c>
      <c r="D2" s="480">
        <f>SUM(平成24年度!D17:D19)</f>
        <v>121090</v>
      </c>
      <c r="E2" s="480">
        <f>SUM(平成24年度!E17:E19)</f>
        <v>118169</v>
      </c>
      <c r="F2" s="480">
        <f>SUM(平成24年度!F17:F19)</f>
        <v>2921</v>
      </c>
      <c r="G2" s="480">
        <f>SUM(平成24年度!G17:G19)</f>
        <v>7079</v>
      </c>
      <c r="H2" s="480">
        <f>SUM(平成24年度!H17:H19)</f>
        <v>218719</v>
      </c>
      <c r="I2" s="480">
        <f>SUM(平成24年度!I17:I19)</f>
        <v>204178</v>
      </c>
      <c r="J2" s="480">
        <f>SUM(平成24年度!J17:J19)</f>
        <v>121915</v>
      </c>
      <c r="K2" s="480">
        <f>SUM(平成24年度!K17:K19)</f>
        <v>82263</v>
      </c>
      <c r="L2" s="480">
        <f>SUM(平成24年度!L17:L19)</f>
        <v>14541</v>
      </c>
      <c r="M2" s="480">
        <f>SUM(平成24年度!M17:M19)</f>
        <v>10461</v>
      </c>
      <c r="N2" s="480">
        <f>SUM(平成24年度!N17:N19)</f>
        <v>4080</v>
      </c>
      <c r="O2" s="480">
        <f>SUM(平成24年度!O17:O19)</f>
        <v>76346</v>
      </c>
      <c r="P2" s="480">
        <f>SUM(平成24年度!P17:P19)</f>
        <v>63046</v>
      </c>
      <c r="Q2" s="480">
        <f>SUM(平成24年度!Q17:Q19)</f>
        <v>13300</v>
      </c>
      <c r="R2" s="480">
        <f>SUM(平成24年度!R17:R19)</f>
        <v>389920</v>
      </c>
      <c r="S2" s="480">
        <f>SUM(平成24年度!S17:S19)</f>
        <v>940345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479" t="s">
        <v>816</v>
      </c>
      <c r="B3" s="477"/>
      <c r="C3" s="477" t="s">
        <v>2836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479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479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479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B7" s="758" t="s">
        <v>51</v>
      </c>
      <c r="C7" s="739">
        <v>42665</v>
      </c>
      <c r="D7" s="526">
        <v>40391</v>
      </c>
      <c r="E7" s="526">
        <v>39437</v>
      </c>
      <c r="F7" s="740">
        <v>954</v>
      </c>
      <c r="G7" s="754">
        <v>2274</v>
      </c>
      <c r="H7" s="529">
        <v>72720</v>
      </c>
      <c r="I7" s="527">
        <v>68047</v>
      </c>
      <c r="J7" s="759">
        <v>40476</v>
      </c>
      <c r="K7" s="742">
        <v>27571</v>
      </c>
      <c r="L7" s="526">
        <v>4673</v>
      </c>
      <c r="M7" s="740">
        <v>3370</v>
      </c>
      <c r="N7" s="741">
        <v>1303</v>
      </c>
      <c r="O7" s="739">
        <v>25225</v>
      </c>
      <c r="P7" s="526">
        <v>20942</v>
      </c>
      <c r="Q7" s="743">
        <v>4283</v>
      </c>
      <c r="R7" s="756">
        <v>130012</v>
      </c>
      <c r="S7" s="757">
        <v>312856</v>
      </c>
      <c r="T7" s="533">
        <v>0.32816201581392485</v>
      </c>
      <c r="U7" s="534">
        <v>0.2324392052573708</v>
      </c>
      <c r="V7" s="535">
        <v>6.4260176017601756E-2</v>
      </c>
      <c r="W7" s="478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479" t="s">
        <v>860</v>
      </c>
      <c r="B8" s="536" t="s">
        <v>40</v>
      </c>
      <c r="C8" s="739">
        <v>43068</v>
      </c>
      <c r="D8" s="526">
        <f t="shared" ref="D8:D19" si="0">E8+F8</f>
        <v>40680</v>
      </c>
      <c r="E8" s="526">
        <f t="shared" ref="E8:E18" si="1">C8-G8-F8</f>
        <v>39710</v>
      </c>
      <c r="F8" s="740">
        <v>970</v>
      </c>
      <c r="G8" s="741">
        <v>2388</v>
      </c>
      <c r="H8" s="529">
        <f t="shared" ref="H8:H18" si="2">I8+L8</f>
        <v>73389</v>
      </c>
      <c r="I8" s="527">
        <v>68466</v>
      </c>
      <c r="J8" s="759">
        <f t="shared" ref="J8:J19" si="3">I8-K8</f>
        <v>40547</v>
      </c>
      <c r="K8" s="742">
        <v>27919</v>
      </c>
      <c r="L8" s="526">
        <f t="shared" ref="L8:L19" si="4">M8+N8</f>
        <v>4923</v>
      </c>
      <c r="M8" s="740">
        <v>3517</v>
      </c>
      <c r="N8" s="741">
        <v>1406</v>
      </c>
      <c r="O8" s="739">
        <v>25640</v>
      </c>
      <c r="P8" s="526">
        <f t="shared" ref="P8:P19" si="5">O8-Q8</f>
        <v>21092</v>
      </c>
      <c r="Q8" s="743">
        <v>4548</v>
      </c>
      <c r="R8" s="744">
        <v>130410</v>
      </c>
      <c r="S8" s="745">
        <v>313217</v>
      </c>
      <c r="T8" s="534">
        <f t="shared" ref="T8:T21" si="6">C8/R8</f>
        <v>0.33025074764205198</v>
      </c>
      <c r="U8" s="534">
        <f t="shared" ref="U8:U21" si="7">H8/S8</f>
        <v>0.2343072055475916</v>
      </c>
      <c r="V8" s="535">
        <f t="shared" ref="V8:V21" si="8">L8/H8</f>
        <v>6.7080897682213952E-2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479" t="s">
        <v>862</v>
      </c>
      <c r="B9" s="536" t="s">
        <v>41</v>
      </c>
      <c r="C9" s="739">
        <v>43075</v>
      </c>
      <c r="D9" s="526">
        <f t="shared" si="0"/>
        <v>40672</v>
      </c>
      <c r="E9" s="526">
        <f t="shared" si="1"/>
        <v>39713</v>
      </c>
      <c r="F9" s="740">
        <v>959</v>
      </c>
      <c r="G9" s="741">
        <v>2403</v>
      </c>
      <c r="H9" s="529">
        <f t="shared" si="2"/>
        <v>73285</v>
      </c>
      <c r="I9" s="527">
        <v>68354</v>
      </c>
      <c r="J9" s="759">
        <f t="shared" si="3"/>
        <v>40343</v>
      </c>
      <c r="K9" s="742">
        <v>28011</v>
      </c>
      <c r="L9" s="526">
        <f t="shared" si="4"/>
        <v>4931</v>
      </c>
      <c r="M9" s="740">
        <v>3520</v>
      </c>
      <c r="N9" s="741">
        <v>1411</v>
      </c>
      <c r="O9" s="739">
        <v>25558</v>
      </c>
      <c r="P9" s="526">
        <f t="shared" si="5"/>
        <v>21005</v>
      </c>
      <c r="Q9" s="743">
        <v>4553</v>
      </c>
      <c r="R9" s="746">
        <v>130610</v>
      </c>
      <c r="S9" s="747">
        <v>313341</v>
      </c>
      <c r="T9" s="534">
        <f t="shared" si="6"/>
        <v>0.32979863716407626</v>
      </c>
      <c r="U9" s="534">
        <f t="shared" si="7"/>
        <v>0.23388257521358519</v>
      </c>
      <c r="V9" s="535">
        <f t="shared" si="8"/>
        <v>6.7285256191580808E-2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479" t="s">
        <v>864</v>
      </c>
      <c r="B10" s="537" t="s">
        <v>42</v>
      </c>
      <c r="C10" s="739">
        <v>43107</v>
      </c>
      <c r="D10" s="526">
        <f t="shared" si="0"/>
        <v>40715</v>
      </c>
      <c r="E10" s="526">
        <f t="shared" si="1"/>
        <v>39775</v>
      </c>
      <c r="F10" s="740">
        <v>940</v>
      </c>
      <c r="G10" s="741">
        <v>2392</v>
      </c>
      <c r="H10" s="529">
        <f t="shared" si="2"/>
        <v>73249</v>
      </c>
      <c r="I10" s="527">
        <v>68367</v>
      </c>
      <c r="J10" s="759">
        <f t="shared" si="3"/>
        <v>40275</v>
      </c>
      <c r="K10" s="742">
        <v>28092</v>
      </c>
      <c r="L10" s="526">
        <f t="shared" si="4"/>
        <v>4882</v>
      </c>
      <c r="M10" s="740">
        <v>3492</v>
      </c>
      <c r="N10" s="741">
        <v>1390</v>
      </c>
      <c r="O10" s="739">
        <v>25508</v>
      </c>
      <c r="P10" s="526">
        <f t="shared" si="5"/>
        <v>21007</v>
      </c>
      <c r="Q10" s="743">
        <v>4501</v>
      </c>
      <c r="R10" s="748">
        <v>130660</v>
      </c>
      <c r="S10" s="740">
        <v>313277</v>
      </c>
      <c r="T10" s="534">
        <f t="shared" si="6"/>
        <v>0.32991734272156742</v>
      </c>
      <c r="U10" s="534">
        <f t="shared" si="7"/>
        <v>0.23381544128678453</v>
      </c>
      <c r="V10" s="535">
        <f t="shared" si="8"/>
        <v>6.6649374052888094E-2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479" t="s">
        <v>866</v>
      </c>
      <c r="B11" s="537" t="s">
        <v>43</v>
      </c>
      <c r="C11" s="739">
        <v>43066</v>
      </c>
      <c r="D11" s="526">
        <f t="shared" si="0"/>
        <v>40693</v>
      </c>
      <c r="E11" s="526">
        <f t="shared" si="1"/>
        <v>39756</v>
      </c>
      <c r="F11" s="740">
        <v>937</v>
      </c>
      <c r="G11" s="741">
        <v>2373</v>
      </c>
      <c r="H11" s="529">
        <f t="shared" si="2"/>
        <v>73011</v>
      </c>
      <c r="I11" s="527">
        <v>68169</v>
      </c>
      <c r="J11" s="759">
        <f t="shared" si="3"/>
        <v>39974</v>
      </c>
      <c r="K11" s="742">
        <v>28195</v>
      </c>
      <c r="L11" s="526">
        <f t="shared" si="4"/>
        <v>4842</v>
      </c>
      <c r="M11" s="740">
        <v>3466</v>
      </c>
      <c r="N11" s="741">
        <v>1376</v>
      </c>
      <c r="O11" s="739">
        <v>25409</v>
      </c>
      <c r="P11" s="526">
        <f t="shared" si="5"/>
        <v>20961</v>
      </c>
      <c r="Q11" s="743">
        <v>4448</v>
      </c>
      <c r="R11" s="748">
        <v>130790</v>
      </c>
      <c r="S11" s="740">
        <v>313238</v>
      </c>
      <c r="T11" s="534">
        <f t="shared" si="6"/>
        <v>0.32927593852741033</v>
      </c>
      <c r="U11" s="534">
        <f t="shared" si="7"/>
        <v>0.23308474706133994</v>
      </c>
      <c r="V11" s="535">
        <f t="shared" si="8"/>
        <v>6.631877388338743E-2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479" t="s">
        <v>868</v>
      </c>
      <c r="B12" s="537" t="s">
        <v>44</v>
      </c>
      <c r="C12" s="739">
        <v>42972</v>
      </c>
      <c r="D12" s="526">
        <f t="shared" si="0"/>
        <v>40615</v>
      </c>
      <c r="E12" s="526">
        <f t="shared" si="1"/>
        <v>39648</v>
      </c>
      <c r="F12" s="740">
        <v>967</v>
      </c>
      <c r="G12" s="741">
        <v>2357</v>
      </c>
      <c r="H12" s="529">
        <f t="shared" si="2"/>
        <v>72696</v>
      </c>
      <c r="I12" s="527">
        <v>67890</v>
      </c>
      <c r="J12" s="759">
        <f t="shared" si="3"/>
        <v>39642</v>
      </c>
      <c r="K12" s="742">
        <v>28248</v>
      </c>
      <c r="L12" s="526">
        <f t="shared" si="4"/>
        <v>4806</v>
      </c>
      <c r="M12" s="740">
        <v>3479</v>
      </c>
      <c r="N12" s="741">
        <v>1327</v>
      </c>
      <c r="O12" s="739">
        <v>25226</v>
      </c>
      <c r="P12" s="526">
        <f t="shared" si="5"/>
        <v>20788</v>
      </c>
      <c r="Q12" s="743">
        <v>4438</v>
      </c>
      <c r="R12" s="748">
        <v>130783</v>
      </c>
      <c r="S12" s="740">
        <v>313248</v>
      </c>
      <c r="T12" s="534">
        <f t="shared" si="6"/>
        <v>0.32857481476950368</v>
      </c>
      <c r="U12" s="534">
        <f t="shared" si="7"/>
        <v>0.23207171314741035</v>
      </c>
      <c r="V12" s="535">
        <f t="shared" si="8"/>
        <v>6.6110927698910527E-2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550" t="s">
        <v>275</v>
      </c>
      <c r="B13" s="536" t="s">
        <v>45</v>
      </c>
      <c r="C13" s="739">
        <v>42917</v>
      </c>
      <c r="D13" s="526">
        <f t="shared" si="0"/>
        <v>40594</v>
      </c>
      <c r="E13" s="526">
        <f t="shared" si="1"/>
        <v>39649</v>
      </c>
      <c r="F13" s="740">
        <v>945</v>
      </c>
      <c r="G13" s="741">
        <v>2323</v>
      </c>
      <c r="H13" s="529">
        <f t="shared" si="2"/>
        <v>72503</v>
      </c>
      <c r="I13" s="527">
        <v>67802</v>
      </c>
      <c r="J13" s="759">
        <f t="shared" si="3"/>
        <v>39474</v>
      </c>
      <c r="K13" s="742">
        <v>28328</v>
      </c>
      <c r="L13" s="526">
        <f t="shared" si="4"/>
        <v>4701</v>
      </c>
      <c r="M13" s="740">
        <v>3419</v>
      </c>
      <c r="N13" s="741">
        <v>1282</v>
      </c>
      <c r="O13" s="739">
        <v>25017</v>
      </c>
      <c r="P13" s="526">
        <f t="shared" si="5"/>
        <v>20693</v>
      </c>
      <c r="Q13" s="743">
        <v>4324</v>
      </c>
      <c r="R13" s="748">
        <v>130902</v>
      </c>
      <c r="S13" s="740">
        <v>313317</v>
      </c>
      <c r="T13" s="534">
        <f t="shared" si="6"/>
        <v>0.32785595330858197</v>
      </c>
      <c r="U13" s="534">
        <f t="shared" si="7"/>
        <v>0.2314046157725243</v>
      </c>
      <c r="V13" s="535">
        <f t="shared" si="8"/>
        <v>6.4838696329807044E-2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42885</v>
      </c>
      <c r="D14" s="526">
        <f t="shared" si="0"/>
        <v>40596</v>
      </c>
      <c r="E14" s="526">
        <f t="shared" si="1"/>
        <v>39656</v>
      </c>
      <c r="F14" s="740">
        <v>940</v>
      </c>
      <c r="G14" s="741">
        <v>2289</v>
      </c>
      <c r="H14" s="529">
        <f t="shared" si="2"/>
        <v>72387</v>
      </c>
      <c r="I14" s="527">
        <v>67756</v>
      </c>
      <c r="J14" s="759">
        <f t="shared" si="3"/>
        <v>39299</v>
      </c>
      <c r="K14" s="742">
        <v>28457</v>
      </c>
      <c r="L14" s="526">
        <f t="shared" si="4"/>
        <v>4631</v>
      </c>
      <c r="M14" s="740">
        <v>3370</v>
      </c>
      <c r="N14" s="741">
        <v>1261</v>
      </c>
      <c r="O14" s="739">
        <v>24885</v>
      </c>
      <c r="P14" s="526">
        <f t="shared" si="5"/>
        <v>20625</v>
      </c>
      <c r="Q14" s="743">
        <v>4260</v>
      </c>
      <c r="R14" s="748">
        <v>130981</v>
      </c>
      <c r="S14" s="740">
        <v>313368</v>
      </c>
      <c r="T14" s="534">
        <f t="shared" si="6"/>
        <v>0.32741389972591445</v>
      </c>
      <c r="U14" s="534">
        <f t="shared" si="7"/>
        <v>0.2309967833346098</v>
      </c>
      <c r="V14" s="535">
        <f t="shared" si="8"/>
        <v>6.3975575724922989E-2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2827</v>
      </c>
      <c r="B15" s="537" t="s">
        <v>47</v>
      </c>
      <c r="C15" s="739">
        <v>42790</v>
      </c>
      <c r="D15" s="526">
        <f t="shared" si="0"/>
        <v>40592</v>
      </c>
      <c r="E15" s="526">
        <f t="shared" si="1"/>
        <v>39672</v>
      </c>
      <c r="F15" s="740">
        <v>920</v>
      </c>
      <c r="G15" s="741">
        <v>2198</v>
      </c>
      <c r="H15" s="529">
        <f t="shared" si="2"/>
        <v>72112</v>
      </c>
      <c r="I15" s="527">
        <v>67644</v>
      </c>
      <c r="J15" s="759">
        <f t="shared" si="3"/>
        <v>39088</v>
      </c>
      <c r="K15" s="742">
        <v>28556</v>
      </c>
      <c r="L15" s="526">
        <f t="shared" si="4"/>
        <v>4468</v>
      </c>
      <c r="M15" s="740">
        <v>3249</v>
      </c>
      <c r="N15" s="741">
        <v>1219</v>
      </c>
      <c r="O15" s="739">
        <v>24696</v>
      </c>
      <c r="P15" s="526">
        <f t="shared" si="5"/>
        <v>20577</v>
      </c>
      <c r="Q15" s="743">
        <v>4119</v>
      </c>
      <c r="R15" s="744">
        <v>130971</v>
      </c>
      <c r="S15" s="745">
        <v>313311</v>
      </c>
      <c r="T15" s="534">
        <f t="shared" si="6"/>
        <v>0.32671354727382396</v>
      </c>
      <c r="U15" s="534">
        <f t="shared" si="7"/>
        <v>0.23016108594974322</v>
      </c>
      <c r="V15" s="535">
        <f t="shared" si="8"/>
        <v>6.1959174617262039E-2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42732</v>
      </c>
      <c r="D16" s="526">
        <f t="shared" si="0"/>
        <v>40577</v>
      </c>
      <c r="E16" s="526">
        <f t="shared" si="1"/>
        <v>39665</v>
      </c>
      <c r="F16" s="740">
        <v>912</v>
      </c>
      <c r="G16" s="741">
        <v>2155</v>
      </c>
      <c r="H16" s="529">
        <f t="shared" si="2"/>
        <v>71992</v>
      </c>
      <c r="I16" s="527">
        <v>67608</v>
      </c>
      <c r="J16" s="759">
        <f t="shared" si="3"/>
        <v>38964</v>
      </c>
      <c r="K16" s="742">
        <v>28644</v>
      </c>
      <c r="L16" s="526">
        <f t="shared" si="4"/>
        <v>4384</v>
      </c>
      <c r="M16" s="740">
        <v>3192</v>
      </c>
      <c r="N16" s="741">
        <v>1192</v>
      </c>
      <c r="O16" s="739">
        <v>24527</v>
      </c>
      <c r="P16" s="526">
        <f t="shared" si="5"/>
        <v>20510</v>
      </c>
      <c r="Q16" s="743">
        <v>4017</v>
      </c>
      <c r="R16" s="744">
        <v>130956</v>
      </c>
      <c r="S16" s="749">
        <v>313136</v>
      </c>
      <c r="T16" s="554">
        <f t="shared" si="6"/>
        <v>0.32630807294052966</v>
      </c>
      <c r="U16" s="534">
        <f t="shared" si="7"/>
        <v>0.22990649430279494</v>
      </c>
      <c r="V16" s="535">
        <f t="shared" si="8"/>
        <v>6.0895655072785868E-2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42550</v>
      </c>
      <c r="D17" s="526">
        <f t="shared" si="0"/>
        <v>40438</v>
      </c>
      <c r="E17" s="526">
        <f t="shared" si="1"/>
        <v>39539</v>
      </c>
      <c r="F17" s="740">
        <v>899</v>
      </c>
      <c r="G17" s="754">
        <v>2112</v>
      </c>
      <c r="H17" s="595">
        <f t="shared" si="2"/>
        <v>71655</v>
      </c>
      <c r="I17" s="527">
        <v>67352</v>
      </c>
      <c r="J17" s="759">
        <f t="shared" si="3"/>
        <v>38744</v>
      </c>
      <c r="K17" s="742">
        <v>28608</v>
      </c>
      <c r="L17" s="526">
        <f t="shared" si="4"/>
        <v>4303</v>
      </c>
      <c r="M17" s="740">
        <v>3131</v>
      </c>
      <c r="N17" s="741">
        <v>1172</v>
      </c>
      <c r="O17" s="739">
        <v>24197</v>
      </c>
      <c r="P17" s="526">
        <f t="shared" si="5"/>
        <v>20274</v>
      </c>
      <c r="Q17" s="743">
        <v>3923</v>
      </c>
      <c r="R17" s="750">
        <v>130958</v>
      </c>
      <c r="S17" s="751">
        <v>313062</v>
      </c>
      <c r="T17" s="533">
        <f t="shared" si="6"/>
        <v>0.32491333099161562</v>
      </c>
      <c r="U17" s="534">
        <f t="shared" si="7"/>
        <v>0.2288843743411848</v>
      </c>
      <c r="V17" s="535">
        <f t="shared" si="8"/>
        <v>6.0051636312888144E-2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42406</v>
      </c>
      <c r="D18" s="526">
        <f t="shared" si="0"/>
        <v>40386</v>
      </c>
      <c r="E18" s="526">
        <f t="shared" si="1"/>
        <v>39514</v>
      </c>
      <c r="F18" s="740">
        <v>872</v>
      </c>
      <c r="G18" s="754">
        <v>2020</v>
      </c>
      <c r="H18" s="529">
        <f t="shared" si="2"/>
        <v>71353</v>
      </c>
      <c r="I18" s="527">
        <v>67233</v>
      </c>
      <c r="J18" s="759">
        <f t="shared" si="3"/>
        <v>38520</v>
      </c>
      <c r="K18" s="742">
        <v>28713</v>
      </c>
      <c r="L18" s="526">
        <f t="shared" si="4"/>
        <v>4120</v>
      </c>
      <c r="M18" s="740">
        <v>3000</v>
      </c>
      <c r="N18" s="741">
        <v>1120</v>
      </c>
      <c r="O18" s="739">
        <v>24027</v>
      </c>
      <c r="P18" s="526">
        <f t="shared" si="5"/>
        <v>20239</v>
      </c>
      <c r="Q18" s="743">
        <v>3788</v>
      </c>
      <c r="R18" s="765">
        <v>131028</v>
      </c>
      <c r="S18" s="766">
        <v>312972</v>
      </c>
      <c r="T18" s="533">
        <f t="shared" si="6"/>
        <v>0.3236407485422963</v>
      </c>
      <c r="U18" s="534">
        <f t="shared" si="7"/>
        <v>0.22798525107677364</v>
      </c>
      <c r="V18" s="535">
        <f t="shared" si="8"/>
        <v>5.774109007329755E-2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42397</v>
      </c>
      <c r="D19" s="526">
        <f t="shared" si="0"/>
        <v>40427</v>
      </c>
      <c r="E19" s="526">
        <f>C19-G19-F19</f>
        <v>39589</v>
      </c>
      <c r="F19" s="740">
        <v>838</v>
      </c>
      <c r="G19" s="754">
        <v>1970</v>
      </c>
      <c r="H19" s="529">
        <v>71204</v>
      </c>
      <c r="I19" s="527">
        <v>67208</v>
      </c>
      <c r="J19" s="759">
        <f t="shared" si="3"/>
        <v>38433</v>
      </c>
      <c r="K19" s="742">
        <v>28775</v>
      </c>
      <c r="L19" s="526">
        <f t="shared" si="4"/>
        <v>3996</v>
      </c>
      <c r="M19" s="740">
        <v>2911</v>
      </c>
      <c r="N19" s="741">
        <v>1085</v>
      </c>
      <c r="O19" s="739">
        <v>23809</v>
      </c>
      <c r="P19" s="526">
        <f t="shared" si="5"/>
        <v>20155</v>
      </c>
      <c r="Q19" s="743">
        <v>3654</v>
      </c>
      <c r="R19" s="756">
        <v>131201</v>
      </c>
      <c r="S19" s="757">
        <v>312359</v>
      </c>
      <c r="T19" s="533">
        <f t="shared" si="6"/>
        <v>0.32314540285516119</v>
      </c>
      <c r="U19" s="534">
        <f t="shared" si="7"/>
        <v>0.22795565359090023</v>
      </c>
      <c r="V19" s="535">
        <f t="shared" si="8"/>
        <v>5.6120442671760015E-2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513965</v>
      </c>
      <c r="D20" s="559">
        <f t="shared" si="9"/>
        <v>486985</v>
      </c>
      <c r="E20" s="559">
        <f t="shared" si="9"/>
        <v>475886</v>
      </c>
      <c r="F20" s="559">
        <f t="shared" si="9"/>
        <v>11099</v>
      </c>
      <c r="G20" s="575">
        <f t="shared" si="9"/>
        <v>26980</v>
      </c>
      <c r="H20" s="558">
        <f t="shared" si="9"/>
        <v>868836</v>
      </c>
      <c r="I20" s="559">
        <f t="shared" si="9"/>
        <v>813849</v>
      </c>
      <c r="J20" s="559">
        <f t="shared" si="9"/>
        <v>473303</v>
      </c>
      <c r="K20" s="559">
        <f t="shared" si="9"/>
        <v>340546</v>
      </c>
      <c r="L20" s="559">
        <f t="shared" si="9"/>
        <v>54987</v>
      </c>
      <c r="M20" s="559">
        <f t="shared" si="9"/>
        <v>39746</v>
      </c>
      <c r="N20" s="560">
        <f t="shared" si="9"/>
        <v>15241</v>
      </c>
      <c r="O20" s="558">
        <f t="shared" si="9"/>
        <v>298499</v>
      </c>
      <c r="P20" s="559">
        <f t="shared" si="9"/>
        <v>247926</v>
      </c>
      <c r="Q20" s="560">
        <f t="shared" si="9"/>
        <v>50573</v>
      </c>
      <c r="R20" s="561">
        <f t="shared" si="9"/>
        <v>1570250</v>
      </c>
      <c r="S20" s="562">
        <f t="shared" si="9"/>
        <v>3757846</v>
      </c>
      <c r="T20" s="563">
        <f t="shared" si="6"/>
        <v>0.32731412195510268</v>
      </c>
      <c r="U20" s="564">
        <f t="shared" si="7"/>
        <v>0.23120585569499122</v>
      </c>
      <c r="V20" s="565">
        <f t="shared" si="8"/>
        <v>6.3288123420300268E-2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42830.416666666664</v>
      </c>
      <c r="D21" s="562">
        <f>D20/(COUNTIF(D8:D19,"&gt;0"))</f>
        <v>40582.083333333336</v>
      </c>
      <c r="E21" s="560">
        <f>E20/(COUNTIF(E8:E19,"&gt;0"))</f>
        <v>39657.166666666664</v>
      </c>
      <c r="F21" s="560">
        <f t="shared" ref="F21:S21" si="10">AVERAGE(F8:F19)</f>
        <v>924.91666666666663</v>
      </c>
      <c r="G21" s="575">
        <f t="shared" si="10"/>
        <v>2248.3333333333335</v>
      </c>
      <c r="H21" s="574">
        <f>H20/(COUNTIF(H8:H19,"&gt;0"))</f>
        <v>72403</v>
      </c>
      <c r="I21" s="562">
        <f t="shared" si="10"/>
        <v>67820.75</v>
      </c>
      <c r="J21" s="562">
        <f>J20/(COUNTIF(J8:J19,"&gt;0"))</f>
        <v>39441.916666666664</v>
      </c>
      <c r="K21" s="562">
        <f t="shared" si="10"/>
        <v>28378.833333333332</v>
      </c>
      <c r="L21" s="560">
        <f>L20/(COUNTIF(L8:L19,"&gt;0"))</f>
        <v>4582.25</v>
      </c>
      <c r="M21" s="560">
        <f t="shared" si="10"/>
        <v>3312.1666666666665</v>
      </c>
      <c r="N21" s="575">
        <f t="shared" si="10"/>
        <v>1270.0833333333333</v>
      </c>
      <c r="O21" s="574">
        <f t="shared" si="10"/>
        <v>24874.916666666668</v>
      </c>
      <c r="P21" s="562">
        <f>P20/(COUNTIF(P8:P19,"&gt;0"))</f>
        <v>20660.5</v>
      </c>
      <c r="Q21" s="562">
        <f t="shared" si="10"/>
        <v>4214.416666666667</v>
      </c>
      <c r="R21" s="574">
        <f t="shared" si="10"/>
        <v>130854.16666666667</v>
      </c>
      <c r="S21" s="560">
        <f t="shared" si="10"/>
        <v>313153.83333333331</v>
      </c>
      <c r="T21" s="563">
        <f t="shared" si="6"/>
        <v>0.32731412195510268</v>
      </c>
      <c r="U21" s="564">
        <f t="shared" si="7"/>
        <v>0.23120585569499125</v>
      </c>
      <c r="V21" s="565">
        <f t="shared" si="8"/>
        <v>6.3288123420300268E-2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43068</v>
      </c>
      <c r="D23" s="526">
        <f t="shared" si="11"/>
        <v>40680</v>
      </c>
      <c r="E23" s="596">
        <f t="shared" si="11"/>
        <v>39710</v>
      </c>
      <c r="F23" s="596">
        <f t="shared" si="11"/>
        <v>970</v>
      </c>
      <c r="G23" s="597">
        <f t="shared" si="11"/>
        <v>2388</v>
      </c>
      <c r="H23" s="595">
        <f t="shared" si="11"/>
        <v>73389</v>
      </c>
      <c r="I23" s="526">
        <f t="shared" si="11"/>
        <v>68466</v>
      </c>
      <c r="J23" s="596">
        <f t="shared" si="11"/>
        <v>40547</v>
      </c>
      <c r="K23" s="596">
        <f t="shared" si="11"/>
        <v>27919</v>
      </c>
      <c r="L23" s="596">
        <f t="shared" si="11"/>
        <v>4923</v>
      </c>
      <c r="M23" s="596">
        <f t="shared" si="11"/>
        <v>3517</v>
      </c>
      <c r="N23" s="597">
        <f t="shared" si="11"/>
        <v>1406</v>
      </c>
      <c r="O23" s="595">
        <f t="shared" si="11"/>
        <v>25640</v>
      </c>
      <c r="P23" s="526">
        <f t="shared" si="11"/>
        <v>21092</v>
      </c>
      <c r="Q23" s="597">
        <f t="shared" si="11"/>
        <v>4548</v>
      </c>
      <c r="R23" s="598">
        <f t="shared" si="11"/>
        <v>130410</v>
      </c>
      <c r="S23" s="526">
        <f t="shared" si="11"/>
        <v>313217</v>
      </c>
      <c r="T23" s="533">
        <f t="shared" ref="T23:T38" si="12">C23/R23</f>
        <v>0.33025074764205198</v>
      </c>
      <c r="U23" s="534">
        <f t="shared" ref="U23:U38" si="13">H23/S23</f>
        <v>0.2343072055475916</v>
      </c>
      <c r="V23" s="535">
        <f t="shared" ref="V23:V38" si="14">L23/H23</f>
        <v>6.7080897682213952E-2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86143</v>
      </c>
      <c r="D24" s="599">
        <f t="shared" si="15"/>
        <v>81352</v>
      </c>
      <c r="E24" s="600">
        <f t="shared" si="15"/>
        <v>79423</v>
      </c>
      <c r="F24" s="600">
        <f t="shared" si="15"/>
        <v>1929</v>
      </c>
      <c r="G24" s="601">
        <f t="shared" si="15"/>
        <v>4791</v>
      </c>
      <c r="H24" s="529">
        <f t="shared" si="15"/>
        <v>146674</v>
      </c>
      <c r="I24" s="599">
        <f t="shared" si="15"/>
        <v>136820</v>
      </c>
      <c r="J24" s="600">
        <f t="shared" si="15"/>
        <v>80890</v>
      </c>
      <c r="K24" s="600">
        <f t="shared" si="15"/>
        <v>55930</v>
      </c>
      <c r="L24" s="600">
        <f t="shared" si="15"/>
        <v>9854</v>
      </c>
      <c r="M24" s="600">
        <f t="shared" si="15"/>
        <v>7037</v>
      </c>
      <c r="N24" s="601">
        <f t="shared" si="15"/>
        <v>2817</v>
      </c>
      <c r="O24" s="529">
        <f t="shared" si="15"/>
        <v>51198</v>
      </c>
      <c r="P24" s="599">
        <f t="shared" si="15"/>
        <v>42097</v>
      </c>
      <c r="Q24" s="601">
        <f t="shared" si="15"/>
        <v>9101</v>
      </c>
      <c r="R24" s="602">
        <f t="shared" si="15"/>
        <v>261020</v>
      </c>
      <c r="S24" s="599">
        <f t="shared" si="15"/>
        <v>626558</v>
      </c>
      <c r="T24" s="603">
        <f t="shared" si="12"/>
        <v>0.3300245191939315</v>
      </c>
      <c r="U24" s="604">
        <f t="shared" si="13"/>
        <v>0.2340948483620032</v>
      </c>
      <c r="V24" s="605">
        <f t="shared" si="14"/>
        <v>6.7183004486139328E-2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129250</v>
      </c>
      <c r="D25" s="599">
        <f t="shared" si="16"/>
        <v>122067</v>
      </c>
      <c r="E25" s="600">
        <f t="shared" si="16"/>
        <v>119198</v>
      </c>
      <c r="F25" s="600">
        <f t="shared" si="16"/>
        <v>2869</v>
      </c>
      <c r="G25" s="601">
        <f t="shared" si="16"/>
        <v>7183</v>
      </c>
      <c r="H25" s="529">
        <f t="shared" si="16"/>
        <v>219923</v>
      </c>
      <c r="I25" s="599">
        <f t="shared" si="16"/>
        <v>205187</v>
      </c>
      <c r="J25" s="600">
        <f t="shared" si="16"/>
        <v>121165</v>
      </c>
      <c r="K25" s="600">
        <f t="shared" si="16"/>
        <v>84022</v>
      </c>
      <c r="L25" s="600">
        <f t="shared" si="16"/>
        <v>14736</v>
      </c>
      <c r="M25" s="600">
        <f t="shared" si="16"/>
        <v>10529</v>
      </c>
      <c r="N25" s="601">
        <f t="shared" si="16"/>
        <v>4207</v>
      </c>
      <c r="O25" s="529">
        <f t="shared" si="16"/>
        <v>76706</v>
      </c>
      <c r="P25" s="599">
        <f t="shared" si="16"/>
        <v>63104</v>
      </c>
      <c r="Q25" s="601">
        <f t="shared" si="16"/>
        <v>13602</v>
      </c>
      <c r="R25" s="602">
        <f t="shared" si="16"/>
        <v>391680</v>
      </c>
      <c r="S25" s="599">
        <f t="shared" si="16"/>
        <v>939835</v>
      </c>
      <c r="T25" s="603">
        <f t="shared" si="12"/>
        <v>0.32998876633986929</v>
      </c>
      <c r="U25" s="604">
        <f t="shared" si="13"/>
        <v>0.23400171306665532</v>
      </c>
      <c r="V25" s="605">
        <f t="shared" si="14"/>
        <v>6.700527002632739E-2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172316</v>
      </c>
      <c r="D26" s="599">
        <f t="shared" si="17"/>
        <v>162760</v>
      </c>
      <c r="E26" s="600">
        <f t="shared" si="17"/>
        <v>158954</v>
      </c>
      <c r="F26" s="600">
        <f t="shared" si="17"/>
        <v>3806</v>
      </c>
      <c r="G26" s="601">
        <f t="shared" si="17"/>
        <v>9556</v>
      </c>
      <c r="H26" s="529">
        <f t="shared" si="17"/>
        <v>292934</v>
      </c>
      <c r="I26" s="599">
        <f t="shared" si="17"/>
        <v>273356</v>
      </c>
      <c r="J26" s="600">
        <f t="shared" si="17"/>
        <v>161139</v>
      </c>
      <c r="K26" s="600">
        <f t="shared" si="17"/>
        <v>112217</v>
      </c>
      <c r="L26" s="600">
        <f t="shared" si="17"/>
        <v>19578</v>
      </c>
      <c r="M26" s="600">
        <f t="shared" si="17"/>
        <v>13995</v>
      </c>
      <c r="N26" s="601">
        <f t="shared" si="17"/>
        <v>5583</v>
      </c>
      <c r="O26" s="529">
        <f t="shared" si="17"/>
        <v>102115</v>
      </c>
      <c r="P26" s="599">
        <f t="shared" si="17"/>
        <v>84065</v>
      </c>
      <c r="Q26" s="601">
        <f t="shared" si="17"/>
        <v>18050</v>
      </c>
      <c r="R26" s="602">
        <f t="shared" si="17"/>
        <v>522470</v>
      </c>
      <c r="S26" s="599">
        <f t="shared" si="17"/>
        <v>1253073</v>
      </c>
      <c r="T26" s="603">
        <f t="shared" si="12"/>
        <v>0.3298103240377438</v>
      </c>
      <c r="U26" s="604">
        <f t="shared" si="13"/>
        <v>0.23377249370148426</v>
      </c>
      <c r="V26" s="605">
        <f t="shared" si="14"/>
        <v>6.6834167423378651E-2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215288</v>
      </c>
      <c r="D27" s="599">
        <f t="shared" si="18"/>
        <v>203375</v>
      </c>
      <c r="E27" s="600">
        <f t="shared" si="18"/>
        <v>198602</v>
      </c>
      <c r="F27" s="600">
        <f t="shared" si="18"/>
        <v>4773</v>
      </c>
      <c r="G27" s="601">
        <f t="shared" si="18"/>
        <v>11913</v>
      </c>
      <c r="H27" s="529">
        <f t="shared" si="18"/>
        <v>365630</v>
      </c>
      <c r="I27" s="599">
        <f t="shared" si="18"/>
        <v>341246</v>
      </c>
      <c r="J27" s="600">
        <f t="shared" si="18"/>
        <v>200781</v>
      </c>
      <c r="K27" s="600">
        <f t="shared" si="18"/>
        <v>140465</v>
      </c>
      <c r="L27" s="600">
        <f t="shared" si="18"/>
        <v>24384</v>
      </c>
      <c r="M27" s="600">
        <f t="shared" si="18"/>
        <v>17474</v>
      </c>
      <c r="N27" s="601">
        <f t="shared" si="18"/>
        <v>6910</v>
      </c>
      <c r="O27" s="529">
        <f t="shared" si="18"/>
        <v>127341</v>
      </c>
      <c r="P27" s="599">
        <f t="shared" si="18"/>
        <v>104853</v>
      </c>
      <c r="Q27" s="601">
        <f t="shared" si="18"/>
        <v>22488</v>
      </c>
      <c r="R27" s="602">
        <f t="shared" si="18"/>
        <v>653253</v>
      </c>
      <c r="S27" s="599">
        <f t="shared" si="18"/>
        <v>1566321</v>
      </c>
      <c r="T27" s="603">
        <f t="shared" si="12"/>
        <v>0.32956297177357013</v>
      </c>
      <c r="U27" s="604">
        <f t="shared" si="13"/>
        <v>0.23343235518134534</v>
      </c>
      <c r="V27" s="605">
        <f t="shared" si="14"/>
        <v>6.6690370046221595E-2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258205</v>
      </c>
      <c r="D28" s="599">
        <f t="shared" si="19"/>
        <v>243969</v>
      </c>
      <c r="E28" s="600">
        <f t="shared" si="19"/>
        <v>238251</v>
      </c>
      <c r="F28" s="600">
        <f t="shared" si="19"/>
        <v>5718</v>
      </c>
      <c r="G28" s="601">
        <f t="shared" si="19"/>
        <v>14236</v>
      </c>
      <c r="H28" s="529">
        <f t="shared" si="19"/>
        <v>438133</v>
      </c>
      <c r="I28" s="599">
        <f t="shared" si="19"/>
        <v>409048</v>
      </c>
      <c r="J28" s="600">
        <f t="shared" si="19"/>
        <v>240255</v>
      </c>
      <c r="K28" s="600">
        <f t="shared" si="19"/>
        <v>168793</v>
      </c>
      <c r="L28" s="600">
        <f t="shared" si="19"/>
        <v>29085</v>
      </c>
      <c r="M28" s="600">
        <f t="shared" si="19"/>
        <v>20893</v>
      </c>
      <c r="N28" s="601">
        <f t="shared" si="19"/>
        <v>8192</v>
      </c>
      <c r="O28" s="529">
        <f t="shared" si="19"/>
        <v>152358</v>
      </c>
      <c r="P28" s="599">
        <f t="shared" si="19"/>
        <v>125546</v>
      </c>
      <c r="Q28" s="601">
        <f t="shared" si="19"/>
        <v>26812</v>
      </c>
      <c r="R28" s="602">
        <f t="shared" si="19"/>
        <v>784155</v>
      </c>
      <c r="S28" s="599">
        <f t="shared" si="19"/>
        <v>1879638</v>
      </c>
      <c r="T28" s="603">
        <f t="shared" si="12"/>
        <v>0.32927801263780759</v>
      </c>
      <c r="U28" s="604">
        <f t="shared" si="13"/>
        <v>0.23309435114633775</v>
      </c>
      <c r="V28" s="605">
        <f t="shared" si="14"/>
        <v>6.6383951905015143E-2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301090</v>
      </c>
      <c r="D29" s="599">
        <f t="shared" si="20"/>
        <v>284565</v>
      </c>
      <c r="E29" s="600">
        <f t="shared" si="20"/>
        <v>277907</v>
      </c>
      <c r="F29" s="600">
        <f t="shared" si="20"/>
        <v>6658</v>
      </c>
      <c r="G29" s="601">
        <f t="shared" si="20"/>
        <v>16525</v>
      </c>
      <c r="H29" s="529">
        <f t="shared" si="20"/>
        <v>510520</v>
      </c>
      <c r="I29" s="599">
        <f t="shared" si="20"/>
        <v>476804</v>
      </c>
      <c r="J29" s="600">
        <f t="shared" si="20"/>
        <v>279554</v>
      </c>
      <c r="K29" s="600">
        <f t="shared" si="20"/>
        <v>197250</v>
      </c>
      <c r="L29" s="600">
        <f t="shared" si="20"/>
        <v>33716</v>
      </c>
      <c r="M29" s="600">
        <f t="shared" si="20"/>
        <v>24263</v>
      </c>
      <c r="N29" s="601">
        <f t="shared" si="20"/>
        <v>9453</v>
      </c>
      <c r="O29" s="529">
        <f t="shared" si="20"/>
        <v>177243</v>
      </c>
      <c r="P29" s="599">
        <f t="shared" si="20"/>
        <v>146171</v>
      </c>
      <c r="Q29" s="601">
        <f t="shared" si="20"/>
        <v>31072</v>
      </c>
      <c r="R29" s="602">
        <f t="shared" si="20"/>
        <v>915136</v>
      </c>
      <c r="S29" s="599">
        <f t="shared" si="20"/>
        <v>2193006</v>
      </c>
      <c r="T29" s="603">
        <f t="shared" si="12"/>
        <v>0.32901120707741799</v>
      </c>
      <c r="U29" s="604">
        <f t="shared" si="13"/>
        <v>0.23279462071695198</v>
      </c>
      <c r="V29" s="605">
        <f t="shared" si="14"/>
        <v>6.6042466504740271E-2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343880</v>
      </c>
      <c r="D30" s="599">
        <f t="shared" si="21"/>
        <v>325157</v>
      </c>
      <c r="E30" s="600">
        <f t="shared" si="21"/>
        <v>317579</v>
      </c>
      <c r="F30" s="600">
        <f t="shared" si="21"/>
        <v>7578</v>
      </c>
      <c r="G30" s="601">
        <f t="shared" si="21"/>
        <v>18723</v>
      </c>
      <c r="H30" s="529">
        <f t="shared" si="21"/>
        <v>582632</v>
      </c>
      <c r="I30" s="599">
        <f t="shared" si="21"/>
        <v>544448</v>
      </c>
      <c r="J30" s="600">
        <f t="shared" si="21"/>
        <v>318642</v>
      </c>
      <c r="K30" s="600">
        <f t="shared" si="21"/>
        <v>225806</v>
      </c>
      <c r="L30" s="600">
        <f t="shared" si="21"/>
        <v>38184</v>
      </c>
      <c r="M30" s="600">
        <f t="shared" si="21"/>
        <v>27512</v>
      </c>
      <c r="N30" s="601">
        <f t="shared" si="21"/>
        <v>10672</v>
      </c>
      <c r="O30" s="529">
        <f t="shared" si="21"/>
        <v>201939</v>
      </c>
      <c r="P30" s="599">
        <f t="shared" si="21"/>
        <v>166748</v>
      </c>
      <c r="Q30" s="601">
        <f t="shared" si="21"/>
        <v>35191</v>
      </c>
      <c r="R30" s="602">
        <f t="shared" si="21"/>
        <v>1046107</v>
      </c>
      <c r="S30" s="599">
        <f t="shared" si="21"/>
        <v>2506317</v>
      </c>
      <c r="T30" s="603">
        <f t="shared" si="12"/>
        <v>0.32872354357632633</v>
      </c>
      <c r="U30" s="604">
        <f t="shared" si="13"/>
        <v>0.23246540641108049</v>
      </c>
      <c r="V30" s="605">
        <f t="shared" si="14"/>
        <v>6.5537080009336945E-2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386612</v>
      </c>
      <c r="D31" s="599">
        <f t="shared" si="22"/>
        <v>365734</v>
      </c>
      <c r="E31" s="600">
        <f t="shared" si="22"/>
        <v>357244</v>
      </c>
      <c r="F31" s="600">
        <f t="shared" si="22"/>
        <v>8490</v>
      </c>
      <c r="G31" s="601">
        <f t="shared" si="22"/>
        <v>20878</v>
      </c>
      <c r="H31" s="529">
        <f t="shared" si="22"/>
        <v>654624</v>
      </c>
      <c r="I31" s="599">
        <f t="shared" si="22"/>
        <v>612056</v>
      </c>
      <c r="J31" s="600">
        <f t="shared" si="22"/>
        <v>357606</v>
      </c>
      <c r="K31" s="600">
        <f t="shared" si="22"/>
        <v>254450</v>
      </c>
      <c r="L31" s="600">
        <f t="shared" si="22"/>
        <v>42568</v>
      </c>
      <c r="M31" s="600">
        <f t="shared" si="22"/>
        <v>30704</v>
      </c>
      <c r="N31" s="601">
        <f t="shared" si="22"/>
        <v>11864</v>
      </c>
      <c r="O31" s="529">
        <f t="shared" si="22"/>
        <v>226466</v>
      </c>
      <c r="P31" s="599">
        <f t="shared" si="22"/>
        <v>187258</v>
      </c>
      <c r="Q31" s="601">
        <f t="shared" si="22"/>
        <v>39208</v>
      </c>
      <c r="R31" s="602">
        <f t="shared" si="22"/>
        <v>1177063</v>
      </c>
      <c r="S31" s="599">
        <f t="shared" si="22"/>
        <v>2819453</v>
      </c>
      <c r="T31" s="603">
        <f t="shared" si="12"/>
        <v>0.32845480658214554</v>
      </c>
      <c r="U31" s="604">
        <f t="shared" si="13"/>
        <v>0.23218120678018042</v>
      </c>
      <c r="V31" s="605">
        <f t="shared" si="14"/>
        <v>6.5026641247494743E-2</v>
      </c>
    </row>
    <row r="32" spans="1:45" ht="20.149999999999999" customHeight="1" x14ac:dyDescent="0.2">
      <c r="B32" s="537" t="s">
        <v>63</v>
      </c>
      <c r="C32" s="529">
        <f t="shared" ref="C32:S32" si="23">SUM(C8:C17)</f>
        <v>429162</v>
      </c>
      <c r="D32" s="599">
        <f t="shared" si="23"/>
        <v>406172</v>
      </c>
      <c r="E32" s="600">
        <f t="shared" si="23"/>
        <v>396783</v>
      </c>
      <c r="F32" s="600">
        <f t="shared" si="23"/>
        <v>9389</v>
      </c>
      <c r="G32" s="601">
        <f t="shared" si="23"/>
        <v>22990</v>
      </c>
      <c r="H32" s="529">
        <f t="shared" si="23"/>
        <v>726279</v>
      </c>
      <c r="I32" s="599">
        <f t="shared" si="23"/>
        <v>679408</v>
      </c>
      <c r="J32" s="600">
        <f t="shared" si="23"/>
        <v>396350</v>
      </c>
      <c r="K32" s="600">
        <f t="shared" si="23"/>
        <v>283058</v>
      </c>
      <c r="L32" s="600">
        <f t="shared" si="23"/>
        <v>46871</v>
      </c>
      <c r="M32" s="600">
        <f t="shared" si="23"/>
        <v>33835</v>
      </c>
      <c r="N32" s="601">
        <f t="shared" si="23"/>
        <v>13036</v>
      </c>
      <c r="O32" s="529">
        <f t="shared" si="23"/>
        <v>250663</v>
      </c>
      <c r="P32" s="599">
        <f t="shared" si="23"/>
        <v>207532</v>
      </c>
      <c r="Q32" s="601">
        <f t="shared" si="23"/>
        <v>43131</v>
      </c>
      <c r="R32" s="602">
        <f t="shared" si="23"/>
        <v>1308021</v>
      </c>
      <c r="S32" s="599">
        <f t="shared" si="23"/>
        <v>3132515</v>
      </c>
      <c r="T32" s="603">
        <f t="shared" si="12"/>
        <v>0.32810023692280171</v>
      </c>
      <c r="U32" s="604">
        <f t="shared" si="13"/>
        <v>0.23185172297658591</v>
      </c>
      <c r="V32" s="605">
        <f t="shared" si="14"/>
        <v>6.4535805110708139E-2</v>
      </c>
    </row>
    <row r="33" spans="1:35" ht="20.149999999999999" customHeight="1" x14ac:dyDescent="0.2">
      <c r="B33" s="537" t="s">
        <v>64</v>
      </c>
      <c r="C33" s="529">
        <f t="shared" ref="C33:S33" si="24">SUM(C8:C18)</f>
        <v>471568</v>
      </c>
      <c r="D33" s="599">
        <f t="shared" si="24"/>
        <v>446558</v>
      </c>
      <c r="E33" s="600">
        <f t="shared" si="24"/>
        <v>436297</v>
      </c>
      <c r="F33" s="600">
        <f t="shared" si="24"/>
        <v>10261</v>
      </c>
      <c r="G33" s="601">
        <f t="shared" si="24"/>
        <v>25010</v>
      </c>
      <c r="H33" s="529">
        <f t="shared" si="24"/>
        <v>797632</v>
      </c>
      <c r="I33" s="599">
        <f t="shared" si="24"/>
        <v>746641</v>
      </c>
      <c r="J33" s="600">
        <f t="shared" si="24"/>
        <v>434870</v>
      </c>
      <c r="K33" s="600">
        <f t="shared" si="24"/>
        <v>311771</v>
      </c>
      <c r="L33" s="600">
        <f t="shared" si="24"/>
        <v>50991</v>
      </c>
      <c r="M33" s="600">
        <f t="shared" si="24"/>
        <v>36835</v>
      </c>
      <c r="N33" s="601">
        <f t="shared" si="24"/>
        <v>14156</v>
      </c>
      <c r="O33" s="529">
        <f t="shared" si="24"/>
        <v>274690</v>
      </c>
      <c r="P33" s="599">
        <f t="shared" si="24"/>
        <v>227771</v>
      </c>
      <c r="Q33" s="601">
        <f t="shared" si="24"/>
        <v>46919</v>
      </c>
      <c r="R33" s="602">
        <f t="shared" si="24"/>
        <v>1439049</v>
      </c>
      <c r="S33" s="599">
        <f t="shared" si="24"/>
        <v>3445487</v>
      </c>
      <c r="T33" s="603">
        <f t="shared" si="12"/>
        <v>0.32769419248406412</v>
      </c>
      <c r="U33" s="604">
        <f t="shared" si="13"/>
        <v>0.23150051066801297</v>
      </c>
      <c r="V33" s="605">
        <f t="shared" si="14"/>
        <v>6.3927976811361628E-2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513965</v>
      </c>
      <c r="D34" s="608">
        <f t="shared" si="25"/>
        <v>486985</v>
      </c>
      <c r="E34" s="609">
        <f t="shared" si="25"/>
        <v>475886</v>
      </c>
      <c r="F34" s="609">
        <f t="shared" si="25"/>
        <v>11099</v>
      </c>
      <c r="G34" s="610">
        <f t="shared" si="25"/>
        <v>26980</v>
      </c>
      <c r="H34" s="607">
        <f t="shared" si="25"/>
        <v>868836</v>
      </c>
      <c r="I34" s="608">
        <f t="shared" si="25"/>
        <v>813849</v>
      </c>
      <c r="J34" s="609">
        <f t="shared" si="25"/>
        <v>473303</v>
      </c>
      <c r="K34" s="609">
        <f t="shared" si="25"/>
        <v>340546</v>
      </c>
      <c r="L34" s="609">
        <f t="shared" si="25"/>
        <v>54987</v>
      </c>
      <c r="M34" s="609">
        <f t="shared" si="25"/>
        <v>39746</v>
      </c>
      <c r="N34" s="610">
        <f t="shared" si="25"/>
        <v>15241</v>
      </c>
      <c r="O34" s="607">
        <f t="shared" si="25"/>
        <v>298499</v>
      </c>
      <c r="P34" s="608">
        <f t="shared" si="25"/>
        <v>247926</v>
      </c>
      <c r="Q34" s="610">
        <f t="shared" si="25"/>
        <v>50573</v>
      </c>
      <c r="R34" s="611">
        <f t="shared" si="25"/>
        <v>1570250</v>
      </c>
      <c r="S34" s="608">
        <f t="shared" si="25"/>
        <v>3757846</v>
      </c>
      <c r="T34" s="612">
        <f t="shared" si="12"/>
        <v>0.32731412195510268</v>
      </c>
      <c r="U34" s="613">
        <f t="shared" si="13"/>
        <v>0.23120585569499122</v>
      </c>
      <c r="V34" s="614">
        <f t="shared" si="14"/>
        <v>6.3288123420300268E-2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514233</v>
      </c>
      <c r="D35" s="616">
        <f t="shared" si="26"/>
        <v>486949</v>
      </c>
      <c r="E35" s="616">
        <f t="shared" si="26"/>
        <v>475734</v>
      </c>
      <c r="F35" s="616">
        <f t="shared" si="26"/>
        <v>11215</v>
      </c>
      <c r="G35" s="617">
        <f t="shared" si="26"/>
        <v>27284</v>
      </c>
      <c r="H35" s="618">
        <f t="shared" si="26"/>
        <v>870352</v>
      </c>
      <c r="I35" s="616">
        <f t="shared" si="26"/>
        <v>814688</v>
      </c>
      <c r="J35" s="616">
        <f t="shared" si="26"/>
        <v>475346</v>
      </c>
      <c r="K35" s="616">
        <f t="shared" si="26"/>
        <v>339342</v>
      </c>
      <c r="L35" s="616">
        <f t="shared" si="26"/>
        <v>55664</v>
      </c>
      <c r="M35" s="616">
        <f t="shared" si="26"/>
        <v>40205</v>
      </c>
      <c r="N35" s="619">
        <f t="shared" si="26"/>
        <v>15459</v>
      </c>
      <c r="O35" s="618">
        <f t="shared" si="26"/>
        <v>299915</v>
      </c>
      <c r="P35" s="616">
        <f t="shared" si="26"/>
        <v>248713</v>
      </c>
      <c r="Q35" s="619">
        <f t="shared" si="26"/>
        <v>51202</v>
      </c>
      <c r="R35" s="618">
        <f t="shared" si="26"/>
        <v>1569061</v>
      </c>
      <c r="S35" s="616">
        <f t="shared" si="26"/>
        <v>3758343</v>
      </c>
      <c r="T35" s="620">
        <f t="shared" si="12"/>
        <v>0.32773295620756621</v>
      </c>
      <c r="U35" s="620">
        <f t="shared" si="13"/>
        <v>0.23157865048506748</v>
      </c>
      <c r="V35" s="621">
        <f t="shared" si="14"/>
        <v>6.3955732852914685E-2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42853</v>
      </c>
      <c r="D36" s="626">
        <f>E36+F36</f>
        <v>40579</v>
      </c>
      <c r="E36" s="626">
        <f>C36-F36-G36</f>
        <v>39644</v>
      </c>
      <c r="F36" s="626">
        <f>ROUND(AVERAGE(F7:F18),0)</f>
        <v>935</v>
      </c>
      <c r="G36" s="627">
        <f>ROUND(AVERAGE(G7:G18),0)</f>
        <v>2274</v>
      </c>
      <c r="H36" s="625">
        <f>L36+I36</f>
        <v>72530</v>
      </c>
      <c r="I36" s="626">
        <f>ROUND(AVERAGE(I7:I18),0)</f>
        <v>67891</v>
      </c>
      <c r="J36" s="626">
        <f>J35/(COUNTIF(J7:J18,"&gt;0"))</f>
        <v>39612.166666666664</v>
      </c>
      <c r="K36" s="626">
        <f>AVERAGE(K7:K18)</f>
        <v>28278.5</v>
      </c>
      <c r="L36" s="626">
        <f>ROUND(L35/(COUNTIF(L7:L18,"&gt;0")),0)</f>
        <v>4639</v>
      </c>
      <c r="M36" s="626">
        <f>ROUND(AVERAGE(M7:M18),0)</f>
        <v>3350</v>
      </c>
      <c r="N36" s="628">
        <f>L36-M36</f>
        <v>1289</v>
      </c>
      <c r="O36" s="625">
        <f>AVERAGE(O7:O18)</f>
        <v>24992.916666666668</v>
      </c>
      <c r="P36" s="626">
        <f>P35/(COUNTIF(P7:P18,"&gt;0"))</f>
        <v>20726.083333333332</v>
      </c>
      <c r="Q36" s="628">
        <f>AVERAGE(Q7:Q18)</f>
        <v>4266.833333333333</v>
      </c>
      <c r="R36" s="625">
        <f>AVERAGE(R7:R18)</f>
        <v>130755.08333333333</v>
      </c>
      <c r="S36" s="626">
        <f>AVERAGE(S7:S18)</f>
        <v>313195.25</v>
      </c>
      <c r="T36" s="629">
        <f t="shared" si="12"/>
        <v>0.32773486817912117</v>
      </c>
      <c r="U36" s="630">
        <f t="shared" si="13"/>
        <v>0.23158077908269681</v>
      </c>
      <c r="V36" s="631">
        <f t="shared" si="14"/>
        <v>6.3959740796911621E-2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514781</v>
      </c>
      <c r="D37" s="635">
        <f t="shared" si="27"/>
        <v>486824</v>
      </c>
      <c r="E37" s="636">
        <f t="shared" si="27"/>
        <v>475413</v>
      </c>
      <c r="F37" s="636">
        <f t="shared" si="27"/>
        <v>11411</v>
      </c>
      <c r="G37" s="637">
        <f t="shared" si="27"/>
        <v>27957</v>
      </c>
      <c r="H37" s="634">
        <f t="shared" si="27"/>
        <v>873343</v>
      </c>
      <c r="I37" s="635">
        <f t="shared" si="27"/>
        <v>816234</v>
      </c>
      <c r="J37" s="636">
        <f t="shared" si="27"/>
        <v>479521</v>
      </c>
      <c r="K37" s="636">
        <f t="shared" si="27"/>
        <v>336713</v>
      </c>
      <c r="L37" s="636">
        <f t="shared" si="27"/>
        <v>57109</v>
      </c>
      <c r="M37" s="636">
        <f t="shared" si="27"/>
        <v>41165</v>
      </c>
      <c r="N37" s="637">
        <f t="shared" si="27"/>
        <v>15944</v>
      </c>
      <c r="O37" s="634">
        <f t="shared" si="27"/>
        <v>302812</v>
      </c>
      <c r="P37" s="638">
        <f t="shared" si="27"/>
        <v>250304</v>
      </c>
      <c r="Q37" s="637">
        <f t="shared" si="27"/>
        <v>52508</v>
      </c>
      <c r="R37" s="634">
        <f t="shared" si="27"/>
        <v>1566983</v>
      </c>
      <c r="S37" s="635">
        <f t="shared" si="27"/>
        <v>3759798</v>
      </c>
      <c r="T37" s="639">
        <f t="shared" si="12"/>
        <v>0.32851728448872769</v>
      </c>
      <c r="U37" s="639">
        <f t="shared" si="13"/>
        <v>0.23228455358505962</v>
      </c>
      <c r="V37" s="640">
        <f t="shared" si="14"/>
        <v>6.539126093642475E-2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42898.416666666664</v>
      </c>
      <c r="D38" s="643">
        <f t="shared" ref="D38:S38" si="28">D37/(COUNTIF(D8:D16,"&gt;0")+3)</f>
        <v>40568.666666666664</v>
      </c>
      <c r="E38" s="644">
        <f t="shared" si="28"/>
        <v>39617.75</v>
      </c>
      <c r="F38" s="644">
        <f t="shared" si="28"/>
        <v>950.91666666666663</v>
      </c>
      <c r="G38" s="645">
        <f t="shared" si="28"/>
        <v>2329.75</v>
      </c>
      <c r="H38" s="642">
        <f t="shared" si="28"/>
        <v>72778.583333333328</v>
      </c>
      <c r="I38" s="643">
        <f t="shared" si="28"/>
        <v>68019.5</v>
      </c>
      <c r="J38" s="644">
        <f t="shared" si="28"/>
        <v>39960.083333333336</v>
      </c>
      <c r="K38" s="644">
        <f t="shared" si="28"/>
        <v>28059.416666666668</v>
      </c>
      <c r="L38" s="644">
        <f t="shared" si="28"/>
        <v>4759.083333333333</v>
      </c>
      <c r="M38" s="644">
        <f t="shared" si="28"/>
        <v>3430.4166666666665</v>
      </c>
      <c r="N38" s="645">
        <f t="shared" si="28"/>
        <v>1328.6666666666667</v>
      </c>
      <c r="O38" s="642">
        <f t="shared" si="28"/>
        <v>25234.333333333332</v>
      </c>
      <c r="P38" s="646">
        <f t="shared" si="28"/>
        <v>20858.666666666668</v>
      </c>
      <c r="Q38" s="645">
        <f t="shared" si="28"/>
        <v>4375.666666666667</v>
      </c>
      <c r="R38" s="642">
        <f t="shared" si="28"/>
        <v>130581.91666666667</v>
      </c>
      <c r="S38" s="643">
        <f t="shared" si="28"/>
        <v>313316.5</v>
      </c>
      <c r="T38" s="647">
        <f t="shared" si="12"/>
        <v>0.32851728448872769</v>
      </c>
      <c r="U38" s="647">
        <f t="shared" si="13"/>
        <v>0.23228455358505962</v>
      </c>
      <c r="V38" s="648">
        <f t="shared" si="14"/>
        <v>6.539126093642475E-2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x14ac:dyDescent="0.2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x14ac:dyDescent="0.2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x14ac:dyDescent="0.2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C8" sqref="C8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2843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479" t="s">
        <v>815</v>
      </c>
      <c r="C2" s="480">
        <f>SUM(平成25年度!C17:C19)</f>
        <v>127353</v>
      </c>
      <c r="D2" s="480">
        <f>SUM(平成25年度!D17:D19)</f>
        <v>121251</v>
      </c>
      <c r="E2" s="480">
        <f>SUM(平成25年度!E17:E19)</f>
        <v>118642</v>
      </c>
      <c r="F2" s="480">
        <f>SUM(平成25年度!F17:F19)</f>
        <v>2609</v>
      </c>
      <c r="G2" s="480">
        <f>SUM(平成25年度!G17:G19)</f>
        <v>6102</v>
      </c>
      <c r="H2" s="480">
        <f>SUM(平成25年度!H17:H19)</f>
        <v>214212</v>
      </c>
      <c r="I2" s="480">
        <f>SUM(平成25年度!I17:I19)</f>
        <v>201793</v>
      </c>
      <c r="J2" s="480">
        <f>SUM(平成25年度!J17:J19)</f>
        <v>115697</v>
      </c>
      <c r="K2" s="480">
        <f>SUM(平成25年度!K17:K19)</f>
        <v>86096</v>
      </c>
      <c r="L2" s="480">
        <f>SUM(平成25年度!L17:L19)</f>
        <v>12419</v>
      </c>
      <c r="M2" s="480">
        <f>SUM(平成25年度!M17:M19)</f>
        <v>9042</v>
      </c>
      <c r="N2" s="480">
        <f>SUM(平成25年度!N17:N19)</f>
        <v>3377</v>
      </c>
      <c r="O2" s="480">
        <f>SUM(平成25年度!O17:O19)</f>
        <v>72033</v>
      </c>
      <c r="P2" s="480">
        <f>SUM(平成25年度!P17:P19)</f>
        <v>60668</v>
      </c>
      <c r="Q2" s="480">
        <f>SUM(平成25年度!Q17:Q19)</f>
        <v>11365</v>
      </c>
      <c r="R2" s="480">
        <f>SUM(平成25年度!R17:R19)</f>
        <v>393187</v>
      </c>
      <c r="S2" s="480">
        <f>SUM(平成25年度!S17:S19)</f>
        <v>938393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479" t="s">
        <v>816</v>
      </c>
      <c r="B3" s="477"/>
      <c r="C3" s="477" t="s">
        <v>2842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479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479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479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B7" s="758" t="s">
        <v>51</v>
      </c>
      <c r="C7" s="739">
        <v>42397</v>
      </c>
      <c r="D7" s="526">
        <v>40427</v>
      </c>
      <c r="E7" s="526">
        <v>39589</v>
      </c>
      <c r="F7" s="740">
        <v>838</v>
      </c>
      <c r="G7" s="754">
        <v>1970</v>
      </c>
      <c r="H7" s="529">
        <v>71204</v>
      </c>
      <c r="I7" s="527">
        <v>67208</v>
      </c>
      <c r="J7" s="759">
        <v>38433</v>
      </c>
      <c r="K7" s="742">
        <v>28775</v>
      </c>
      <c r="L7" s="526">
        <v>3996</v>
      </c>
      <c r="M7" s="740">
        <v>2911</v>
      </c>
      <c r="N7" s="741">
        <v>1085</v>
      </c>
      <c r="O7" s="739">
        <v>23809</v>
      </c>
      <c r="P7" s="526">
        <v>20155</v>
      </c>
      <c r="Q7" s="743">
        <v>3654</v>
      </c>
      <c r="R7" s="756">
        <v>131201</v>
      </c>
      <c r="S7" s="757">
        <v>312359</v>
      </c>
      <c r="T7" s="533">
        <v>0.32314540285516119</v>
      </c>
      <c r="U7" s="534">
        <v>0.22795565359090023</v>
      </c>
      <c r="V7" s="535">
        <v>5.6120442671760015E-2</v>
      </c>
      <c r="W7" s="478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479" t="s">
        <v>860</v>
      </c>
      <c r="B8" s="536" t="s">
        <v>40</v>
      </c>
      <c r="C8" s="739">
        <v>42832</v>
      </c>
      <c r="D8" s="526">
        <f t="shared" ref="D8:D19" si="0">E8+F8</f>
        <v>40806</v>
      </c>
      <c r="E8" s="526">
        <f t="shared" ref="E8:E18" si="1">C8-G8-F8</f>
        <v>39959</v>
      </c>
      <c r="F8" s="740">
        <v>847</v>
      </c>
      <c r="G8" s="741">
        <v>2026</v>
      </c>
      <c r="H8" s="529">
        <f t="shared" ref="H8:H19" si="2">I8+L8</f>
        <v>71927</v>
      </c>
      <c r="I8" s="527">
        <v>67780</v>
      </c>
      <c r="J8" s="759">
        <f t="shared" ref="J8:J19" si="3">I8-K8</f>
        <v>38617</v>
      </c>
      <c r="K8" s="742">
        <v>29163</v>
      </c>
      <c r="L8" s="526">
        <f t="shared" ref="L8:L19" si="4">M8+N8</f>
        <v>4147</v>
      </c>
      <c r="M8" s="740">
        <v>2987</v>
      </c>
      <c r="N8" s="741">
        <v>1160</v>
      </c>
      <c r="O8" s="739">
        <v>24174</v>
      </c>
      <c r="P8" s="526">
        <f t="shared" ref="P8:P19" si="5">O8-Q8</f>
        <v>20357</v>
      </c>
      <c r="Q8" s="743">
        <v>3817</v>
      </c>
      <c r="R8" s="744">
        <v>131519</v>
      </c>
      <c r="S8" s="745">
        <v>312636</v>
      </c>
      <c r="T8" s="534">
        <f t="shared" ref="T8:T21" si="6">C8/R8</f>
        <v>0.32567157597001195</v>
      </c>
      <c r="U8" s="534">
        <f t="shared" ref="U8:U21" si="7">H8/S8</f>
        <v>0.23006627515705166</v>
      </c>
      <c r="V8" s="535">
        <f t="shared" ref="V8:V21" si="8">L8/H8</f>
        <v>5.7655678674211355E-2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479" t="s">
        <v>862</v>
      </c>
      <c r="B9" s="536" t="s">
        <v>41</v>
      </c>
      <c r="C9" s="739">
        <v>42773</v>
      </c>
      <c r="D9" s="526">
        <f t="shared" si="0"/>
        <v>40788</v>
      </c>
      <c r="E9" s="526">
        <f t="shared" si="1"/>
        <v>39952</v>
      </c>
      <c r="F9" s="740">
        <v>836</v>
      </c>
      <c r="G9" s="741">
        <v>1985</v>
      </c>
      <c r="H9" s="529">
        <f t="shared" si="2"/>
        <v>71668</v>
      </c>
      <c r="I9" s="527">
        <v>67600</v>
      </c>
      <c r="J9" s="759">
        <f t="shared" si="3"/>
        <v>38310</v>
      </c>
      <c r="K9" s="742">
        <v>29290</v>
      </c>
      <c r="L9" s="526">
        <f t="shared" si="4"/>
        <v>4068</v>
      </c>
      <c r="M9" s="740">
        <v>2930</v>
      </c>
      <c r="N9" s="741">
        <v>1138</v>
      </c>
      <c r="O9" s="739">
        <v>24040</v>
      </c>
      <c r="P9" s="526">
        <f t="shared" si="5"/>
        <v>20294</v>
      </c>
      <c r="Q9" s="743">
        <v>3746</v>
      </c>
      <c r="R9" s="746">
        <v>131682</v>
      </c>
      <c r="S9" s="747">
        <v>312688</v>
      </c>
      <c r="T9" s="534">
        <f t="shared" si="6"/>
        <v>0.32482040066220136</v>
      </c>
      <c r="U9" s="534">
        <f t="shared" si="7"/>
        <v>0.22919971345238704</v>
      </c>
      <c r="V9" s="535">
        <f t="shared" si="8"/>
        <v>5.6761734665401575E-2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479" t="s">
        <v>864</v>
      </c>
      <c r="B10" s="537" t="s">
        <v>42</v>
      </c>
      <c r="C10" s="739">
        <v>42757</v>
      </c>
      <c r="D10" s="526">
        <f t="shared" si="0"/>
        <v>40802</v>
      </c>
      <c r="E10" s="526">
        <f t="shared" si="1"/>
        <v>39992</v>
      </c>
      <c r="F10" s="740">
        <v>810</v>
      </c>
      <c r="G10" s="741">
        <v>1955</v>
      </c>
      <c r="H10" s="529">
        <f t="shared" si="2"/>
        <v>71536</v>
      </c>
      <c r="I10" s="527">
        <v>67562</v>
      </c>
      <c r="J10" s="759">
        <f t="shared" si="3"/>
        <v>38174</v>
      </c>
      <c r="K10" s="742">
        <v>29388</v>
      </c>
      <c r="L10" s="526">
        <f t="shared" si="4"/>
        <v>3974</v>
      </c>
      <c r="M10" s="740">
        <v>2870</v>
      </c>
      <c r="N10" s="741">
        <v>1104</v>
      </c>
      <c r="O10" s="739">
        <v>23910</v>
      </c>
      <c r="P10" s="526">
        <f t="shared" si="5"/>
        <v>20245</v>
      </c>
      <c r="Q10" s="743">
        <v>3665</v>
      </c>
      <c r="R10" s="748">
        <v>131744</v>
      </c>
      <c r="S10" s="740">
        <v>312686</v>
      </c>
      <c r="T10" s="534">
        <f t="shared" si="6"/>
        <v>0.32454608938547486</v>
      </c>
      <c r="U10" s="534">
        <f t="shared" si="7"/>
        <v>0.22877903072091491</v>
      </c>
      <c r="V10" s="535">
        <f t="shared" si="8"/>
        <v>5.5552449116528742E-2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479" t="s">
        <v>866</v>
      </c>
      <c r="B11" s="537" t="s">
        <v>43</v>
      </c>
      <c r="C11" s="739">
        <v>42705</v>
      </c>
      <c r="D11" s="526">
        <f>E11+F11</f>
        <v>40780</v>
      </c>
      <c r="E11" s="526">
        <f>C11-G11-F11</f>
        <v>39974</v>
      </c>
      <c r="F11" s="740">
        <v>806</v>
      </c>
      <c r="G11" s="741">
        <v>1925</v>
      </c>
      <c r="H11" s="529">
        <f t="shared" si="2"/>
        <v>71392</v>
      </c>
      <c r="I11" s="527">
        <v>67473</v>
      </c>
      <c r="J11" s="759">
        <f t="shared" si="3"/>
        <v>37984</v>
      </c>
      <c r="K11" s="742">
        <v>29489</v>
      </c>
      <c r="L11" s="526">
        <f t="shared" si="4"/>
        <v>3919</v>
      </c>
      <c r="M11" s="740">
        <v>2832</v>
      </c>
      <c r="N11" s="741">
        <v>1087</v>
      </c>
      <c r="O11" s="739">
        <v>23823</v>
      </c>
      <c r="P11" s="526">
        <f t="shared" si="5"/>
        <v>20215</v>
      </c>
      <c r="Q11" s="743">
        <v>3608</v>
      </c>
      <c r="R11" s="748">
        <v>131767</v>
      </c>
      <c r="S11" s="740">
        <v>312610</v>
      </c>
      <c r="T11" s="534">
        <f t="shared" si="6"/>
        <v>0.32409480370654259</v>
      </c>
      <c r="U11" s="534">
        <f t="shared" si="7"/>
        <v>0.22837401234765362</v>
      </c>
      <c r="V11" s="535">
        <f t="shared" si="8"/>
        <v>5.4894105782160467E-2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479" t="s">
        <v>868</v>
      </c>
      <c r="B12" s="537" t="s">
        <v>44</v>
      </c>
      <c r="C12" s="739">
        <v>42680</v>
      </c>
      <c r="D12" s="526">
        <f t="shared" si="0"/>
        <v>40781</v>
      </c>
      <c r="E12" s="526">
        <f t="shared" si="1"/>
        <v>39961</v>
      </c>
      <c r="F12" s="740">
        <v>820</v>
      </c>
      <c r="G12" s="741">
        <v>1899</v>
      </c>
      <c r="H12" s="529">
        <f t="shared" si="2"/>
        <v>71280</v>
      </c>
      <c r="I12" s="527">
        <v>67391</v>
      </c>
      <c r="J12" s="759">
        <f t="shared" si="3"/>
        <v>37827</v>
      </c>
      <c r="K12" s="742">
        <v>29564</v>
      </c>
      <c r="L12" s="526">
        <f t="shared" si="4"/>
        <v>3889</v>
      </c>
      <c r="M12" s="740">
        <v>2818</v>
      </c>
      <c r="N12" s="741">
        <v>1071</v>
      </c>
      <c r="O12" s="739">
        <v>23723</v>
      </c>
      <c r="P12" s="526">
        <f t="shared" si="5"/>
        <v>20155</v>
      </c>
      <c r="Q12" s="743">
        <v>3568</v>
      </c>
      <c r="R12" s="748">
        <v>131842</v>
      </c>
      <c r="S12" s="740">
        <v>312651</v>
      </c>
      <c r="T12" s="534">
        <f t="shared" si="6"/>
        <v>0.32372081734196995</v>
      </c>
      <c r="U12" s="534">
        <f t="shared" si="7"/>
        <v>0.22798583724344396</v>
      </c>
      <c r="V12" s="535">
        <f t="shared" si="8"/>
        <v>5.4559483726150396E-2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550" t="s">
        <v>275</v>
      </c>
      <c r="B13" s="536" t="s">
        <v>45</v>
      </c>
      <c r="C13" s="739">
        <v>42565</v>
      </c>
      <c r="D13" s="526">
        <f t="shared" si="0"/>
        <v>40732</v>
      </c>
      <c r="E13" s="526">
        <f t="shared" si="1"/>
        <v>39928</v>
      </c>
      <c r="F13" s="740">
        <v>804</v>
      </c>
      <c r="G13" s="741">
        <v>1833</v>
      </c>
      <c r="H13" s="529">
        <f t="shared" si="2"/>
        <v>70978</v>
      </c>
      <c r="I13" s="527">
        <v>67226</v>
      </c>
      <c r="J13" s="759">
        <f t="shared" si="3"/>
        <v>37642</v>
      </c>
      <c r="K13" s="742">
        <v>29584</v>
      </c>
      <c r="L13" s="526">
        <f t="shared" si="4"/>
        <v>3752</v>
      </c>
      <c r="M13" s="740">
        <v>2730</v>
      </c>
      <c r="N13" s="741">
        <v>1022</v>
      </c>
      <c r="O13" s="739">
        <v>23526</v>
      </c>
      <c r="P13" s="526">
        <f t="shared" si="5"/>
        <v>20090</v>
      </c>
      <c r="Q13" s="743">
        <v>3436</v>
      </c>
      <c r="R13" s="748">
        <v>131987</v>
      </c>
      <c r="S13" s="740">
        <v>312734</v>
      </c>
      <c r="T13" s="534">
        <f t="shared" si="6"/>
        <v>0.32249388197322465</v>
      </c>
      <c r="U13" s="534">
        <f t="shared" si="7"/>
        <v>0.22695965261212403</v>
      </c>
      <c r="V13" s="535">
        <f t="shared" si="8"/>
        <v>5.2861450026768855E-2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42538</v>
      </c>
      <c r="D14" s="526">
        <f t="shared" si="0"/>
        <v>40720</v>
      </c>
      <c r="E14" s="526">
        <f t="shared" si="1"/>
        <v>39922</v>
      </c>
      <c r="F14" s="740">
        <v>798</v>
      </c>
      <c r="G14" s="741">
        <v>1818</v>
      </c>
      <c r="H14" s="529">
        <f t="shared" si="2"/>
        <v>70876</v>
      </c>
      <c r="I14" s="527">
        <v>67151</v>
      </c>
      <c r="J14" s="759">
        <f t="shared" si="3"/>
        <v>37460</v>
      </c>
      <c r="K14" s="742">
        <v>29691</v>
      </c>
      <c r="L14" s="526">
        <f t="shared" si="4"/>
        <v>3725</v>
      </c>
      <c r="M14" s="740">
        <v>2708</v>
      </c>
      <c r="N14" s="741">
        <v>1017</v>
      </c>
      <c r="O14" s="739">
        <v>23364</v>
      </c>
      <c r="P14" s="526">
        <f t="shared" si="5"/>
        <v>19964</v>
      </c>
      <c r="Q14" s="743">
        <v>3400</v>
      </c>
      <c r="R14" s="748">
        <v>132139</v>
      </c>
      <c r="S14" s="740">
        <v>312857</v>
      </c>
      <c r="T14" s="534">
        <f t="shared" si="6"/>
        <v>0.32191858573169163</v>
      </c>
      <c r="U14" s="534">
        <f t="shared" si="7"/>
        <v>0.22654439568237245</v>
      </c>
      <c r="V14" s="535">
        <f t="shared" si="8"/>
        <v>5.2556577684970934E-2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42493</v>
      </c>
      <c r="D15" s="526">
        <f t="shared" si="0"/>
        <v>40740</v>
      </c>
      <c r="E15" s="526">
        <f t="shared" si="1"/>
        <v>39951</v>
      </c>
      <c r="F15" s="740">
        <v>789</v>
      </c>
      <c r="G15" s="741">
        <v>1753</v>
      </c>
      <c r="H15" s="529">
        <f t="shared" si="2"/>
        <v>70678</v>
      </c>
      <c r="I15" s="527">
        <v>67085</v>
      </c>
      <c r="J15" s="759">
        <f t="shared" si="3"/>
        <v>37364</v>
      </c>
      <c r="K15" s="742">
        <v>29721</v>
      </c>
      <c r="L15" s="526">
        <f t="shared" si="4"/>
        <v>3593</v>
      </c>
      <c r="M15" s="740">
        <v>2626</v>
      </c>
      <c r="N15" s="741">
        <v>967</v>
      </c>
      <c r="O15" s="739">
        <v>23206</v>
      </c>
      <c r="P15" s="526">
        <f t="shared" si="5"/>
        <v>19918</v>
      </c>
      <c r="Q15" s="743">
        <v>3288</v>
      </c>
      <c r="R15" s="744">
        <v>132183</v>
      </c>
      <c r="S15" s="745">
        <v>312818</v>
      </c>
      <c r="T15" s="534">
        <f t="shared" si="6"/>
        <v>0.32147099097463366</v>
      </c>
      <c r="U15" s="534">
        <f t="shared" si="7"/>
        <v>0.22593968377778773</v>
      </c>
      <c r="V15" s="535">
        <f t="shared" si="8"/>
        <v>5.0836186649310958E-2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42443</v>
      </c>
      <c r="D16" s="526">
        <f t="shared" si="0"/>
        <v>40728</v>
      </c>
      <c r="E16" s="526">
        <f t="shared" si="1"/>
        <v>39964</v>
      </c>
      <c r="F16" s="740">
        <v>764</v>
      </c>
      <c r="G16" s="741">
        <v>1715</v>
      </c>
      <c r="H16" s="529">
        <f t="shared" si="2"/>
        <v>70551</v>
      </c>
      <c r="I16" s="527">
        <v>67051</v>
      </c>
      <c r="J16" s="759">
        <f t="shared" si="3"/>
        <v>37237</v>
      </c>
      <c r="K16" s="742">
        <v>29814</v>
      </c>
      <c r="L16" s="526">
        <f t="shared" si="4"/>
        <v>3500</v>
      </c>
      <c r="M16" s="740">
        <v>2560</v>
      </c>
      <c r="N16" s="741">
        <v>940</v>
      </c>
      <c r="O16" s="739">
        <v>23041</v>
      </c>
      <c r="P16" s="526">
        <f t="shared" si="5"/>
        <v>19839</v>
      </c>
      <c r="Q16" s="743">
        <v>3202</v>
      </c>
      <c r="R16" s="744">
        <v>132196</v>
      </c>
      <c r="S16" s="749">
        <v>312688</v>
      </c>
      <c r="T16" s="554">
        <f t="shared" si="6"/>
        <v>0.32106115162334714</v>
      </c>
      <c r="U16" s="534">
        <f t="shared" si="7"/>
        <v>0.22562746251854884</v>
      </c>
      <c r="V16" s="535">
        <f t="shared" si="8"/>
        <v>4.9609502345820754E-2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42294</v>
      </c>
      <c r="D17" s="526">
        <f t="shared" si="0"/>
        <v>40600</v>
      </c>
      <c r="E17" s="526">
        <f t="shared" si="1"/>
        <v>39843</v>
      </c>
      <c r="F17" s="740">
        <v>757</v>
      </c>
      <c r="G17" s="754">
        <v>1694</v>
      </c>
      <c r="H17" s="595">
        <f t="shared" si="2"/>
        <v>70267</v>
      </c>
      <c r="I17" s="527">
        <v>66795</v>
      </c>
      <c r="J17" s="759">
        <f t="shared" si="3"/>
        <v>37032</v>
      </c>
      <c r="K17" s="742">
        <v>29763</v>
      </c>
      <c r="L17" s="526">
        <f t="shared" si="4"/>
        <v>3472</v>
      </c>
      <c r="M17" s="740">
        <v>2531</v>
      </c>
      <c r="N17" s="741">
        <v>941</v>
      </c>
      <c r="O17" s="739">
        <v>22892</v>
      </c>
      <c r="P17" s="526">
        <f t="shared" si="5"/>
        <v>19726</v>
      </c>
      <c r="Q17" s="743">
        <v>3166</v>
      </c>
      <c r="R17" s="750">
        <v>132184</v>
      </c>
      <c r="S17" s="751">
        <v>312635</v>
      </c>
      <c r="T17" s="533">
        <f t="shared" si="6"/>
        <v>0.3199630817648127</v>
      </c>
      <c r="U17" s="534">
        <f t="shared" si="7"/>
        <v>0.22475730484430725</v>
      </c>
      <c r="V17" s="535">
        <f t="shared" si="8"/>
        <v>4.9411530305833465E-2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42148</v>
      </c>
      <c r="D18" s="526">
        <f t="shared" si="0"/>
        <v>40515</v>
      </c>
      <c r="E18" s="526">
        <f t="shared" si="1"/>
        <v>39788</v>
      </c>
      <c r="F18" s="740">
        <v>727</v>
      </c>
      <c r="G18" s="754">
        <v>1633</v>
      </c>
      <c r="H18" s="529">
        <f t="shared" si="2"/>
        <v>70036</v>
      </c>
      <c r="I18" s="527">
        <v>66702</v>
      </c>
      <c r="J18" s="759">
        <f t="shared" si="3"/>
        <v>36950</v>
      </c>
      <c r="K18" s="742">
        <v>29752</v>
      </c>
      <c r="L18" s="526">
        <f t="shared" si="4"/>
        <v>3334</v>
      </c>
      <c r="M18" s="740">
        <v>2435</v>
      </c>
      <c r="N18" s="741">
        <v>899</v>
      </c>
      <c r="O18" s="739">
        <v>22735</v>
      </c>
      <c r="P18" s="526">
        <f t="shared" si="5"/>
        <v>19694</v>
      </c>
      <c r="Q18" s="743">
        <v>3041</v>
      </c>
      <c r="R18" s="765">
        <v>132201</v>
      </c>
      <c r="S18" s="766">
        <v>312547</v>
      </c>
      <c r="T18" s="533">
        <f t="shared" si="6"/>
        <v>0.31881755811226842</v>
      </c>
      <c r="U18" s="534">
        <f t="shared" si="7"/>
        <v>0.22408149814267933</v>
      </c>
      <c r="V18" s="535">
        <f t="shared" si="8"/>
        <v>4.7604089325489748E-2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42107</v>
      </c>
      <c r="D19" s="526">
        <f t="shared" si="0"/>
        <v>40508</v>
      </c>
      <c r="E19" s="526">
        <f>C19-G19-F19</f>
        <v>39816</v>
      </c>
      <c r="F19" s="740">
        <v>692</v>
      </c>
      <c r="G19" s="754">
        <v>1599</v>
      </c>
      <c r="H19" s="529">
        <f t="shared" si="2"/>
        <v>69847</v>
      </c>
      <c r="I19" s="527">
        <v>66622</v>
      </c>
      <c r="J19" s="759">
        <f t="shared" si="3"/>
        <v>36850</v>
      </c>
      <c r="K19" s="742">
        <v>29772</v>
      </c>
      <c r="L19" s="526">
        <f t="shared" si="4"/>
        <v>3225</v>
      </c>
      <c r="M19" s="740">
        <v>2360</v>
      </c>
      <c r="N19" s="741">
        <v>865</v>
      </c>
      <c r="O19" s="739">
        <v>22591</v>
      </c>
      <c r="P19" s="526">
        <f t="shared" si="5"/>
        <v>19624</v>
      </c>
      <c r="Q19" s="743">
        <v>2967</v>
      </c>
      <c r="R19" s="756">
        <v>132551</v>
      </c>
      <c r="S19" s="757">
        <v>312106</v>
      </c>
      <c r="T19" s="533">
        <f t="shared" si="6"/>
        <v>0.31766640764686799</v>
      </c>
      <c r="U19" s="534">
        <f t="shared" si="7"/>
        <v>0.22379255765669356</v>
      </c>
      <c r="V19" s="535">
        <f t="shared" si="8"/>
        <v>4.6172348132346414E-2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510335</v>
      </c>
      <c r="D20" s="559">
        <f t="shared" si="9"/>
        <v>488500</v>
      </c>
      <c r="E20" s="559">
        <f t="shared" si="9"/>
        <v>479050</v>
      </c>
      <c r="F20" s="559">
        <f t="shared" si="9"/>
        <v>9450</v>
      </c>
      <c r="G20" s="575">
        <f t="shared" si="9"/>
        <v>21835</v>
      </c>
      <c r="H20" s="558">
        <f t="shared" si="9"/>
        <v>851036</v>
      </c>
      <c r="I20" s="559">
        <f t="shared" si="9"/>
        <v>806438</v>
      </c>
      <c r="J20" s="559">
        <f t="shared" si="9"/>
        <v>451447</v>
      </c>
      <c r="K20" s="559">
        <f t="shared" si="9"/>
        <v>354991</v>
      </c>
      <c r="L20" s="559">
        <f t="shared" si="9"/>
        <v>44598</v>
      </c>
      <c r="M20" s="559">
        <f t="shared" si="9"/>
        <v>32387</v>
      </c>
      <c r="N20" s="560">
        <f t="shared" si="9"/>
        <v>12211</v>
      </c>
      <c r="O20" s="558">
        <f t="shared" si="9"/>
        <v>281025</v>
      </c>
      <c r="P20" s="559">
        <f t="shared" si="9"/>
        <v>240121</v>
      </c>
      <c r="Q20" s="560">
        <f t="shared" si="9"/>
        <v>40904</v>
      </c>
      <c r="R20" s="561">
        <f t="shared" si="9"/>
        <v>1583995</v>
      </c>
      <c r="S20" s="562">
        <f t="shared" si="9"/>
        <v>3751656</v>
      </c>
      <c r="T20" s="563">
        <f t="shared" si="6"/>
        <v>0.3221822038579667</v>
      </c>
      <c r="U20" s="564">
        <f t="shared" si="7"/>
        <v>0.2268427595707069</v>
      </c>
      <c r="V20" s="565">
        <f t="shared" si="8"/>
        <v>5.2404363622690464E-2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42527.916666666664</v>
      </c>
      <c r="D21" s="562">
        <f>D20/(COUNTIF(D8:D19,"&gt;0"))</f>
        <v>40708.333333333336</v>
      </c>
      <c r="E21" s="560">
        <f>E20/(COUNTIF(E8:E19,"&gt;0"))</f>
        <v>39920.833333333336</v>
      </c>
      <c r="F21" s="560">
        <f t="shared" ref="F21:S21" si="10">AVERAGE(F8:F19)</f>
        <v>787.5</v>
      </c>
      <c r="G21" s="575">
        <f t="shared" si="10"/>
        <v>1819.5833333333333</v>
      </c>
      <c r="H21" s="574">
        <f>H20/(COUNTIF(H8:H19,"&gt;0"))</f>
        <v>70919.666666666672</v>
      </c>
      <c r="I21" s="562">
        <f t="shared" si="10"/>
        <v>67203.166666666672</v>
      </c>
      <c r="J21" s="562">
        <f>J20/(COUNTIF(J8:J19,"&gt;0"))</f>
        <v>37620.583333333336</v>
      </c>
      <c r="K21" s="562">
        <f t="shared" si="10"/>
        <v>29582.583333333332</v>
      </c>
      <c r="L21" s="560">
        <f>L20/(COUNTIF(L8:L19,"&gt;0"))</f>
        <v>3716.5</v>
      </c>
      <c r="M21" s="560">
        <f t="shared" si="10"/>
        <v>2698.9166666666665</v>
      </c>
      <c r="N21" s="575">
        <f t="shared" si="10"/>
        <v>1017.5833333333334</v>
      </c>
      <c r="O21" s="574">
        <f t="shared" si="10"/>
        <v>23418.75</v>
      </c>
      <c r="P21" s="562">
        <f>P20/(COUNTIF(P8:P19,"&gt;0"))</f>
        <v>20010.083333333332</v>
      </c>
      <c r="Q21" s="562">
        <f t="shared" si="10"/>
        <v>3408.6666666666665</v>
      </c>
      <c r="R21" s="574">
        <f t="shared" si="10"/>
        <v>131999.58333333334</v>
      </c>
      <c r="S21" s="560">
        <f t="shared" si="10"/>
        <v>312638</v>
      </c>
      <c r="T21" s="563">
        <f t="shared" si="6"/>
        <v>0.3221822038579667</v>
      </c>
      <c r="U21" s="564">
        <f t="shared" si="7"/>
        <v>0.22684275957070693</v>
      </c>
      <c r="V21" s="565">
        <f t="shared" si="8"/>
        <v>5.2404363622690457E-2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42832</v>
      </c>
      <c r="D23" s="526">
        <f t="shared" si="11"/>
        <v>40806</v>
      </c>
      <c r="E23" s="596">
        <f t="shared" si="11"/>
        <v>39959</v>
      </c>
      <c r="F23" s="596">
        <f t="shared" si="11"/>
        <v>847</v>
      </c>
      <c r="G23" s="597">
        <f t="shared" si="11"/>
        <v>2026</v>
      </c>
      <c r="H23" s="595">
        <f t="shared" si="11"/>
        <v>71927</v>
      </c>
      <c r="I23" s="526">
        <f t="shared" si="11"/>
        <v>67780</v>
      </c>
      <c r="J23" s="596">
        <f t="shared" si="11"/>
        <v>38617</v>
      </c>
      <c r="K23" s="596">
        <f t="shared" si="11"/>
        <v>29163</v>
      </c>
      <c r="L23" s="596">
        <f t="shared" si="11"/>
        <v>4147</v>
      </c>
      <c r="M23" s="596">
        <f t="shared" si="11"/>
        <v>2987</v>
      </c>
      <c r="N23" s="597">
        <f t="shared" si="11"/>
        <v>1160</v>
      </c>
      <c r="O23" s="595">
        <f t="shared" si="11"/>
        <v>24174</v>
      </c>
      <c r="P23" s="526">
        <f t="shared" si="11"/>
        <v>20357</v>
      </c>
      <c r="Q23" s="597">
        <f t="shared" si="11"/>
        <v>3817</v>
      </c>
      <c r="R23" s="598">
        <f t="shared" si="11"/>
        <v>131519</v>
      </c>
      <c r="S23" s="526">
        <f t="shared" si="11"/>
        <v>312636</v>
      </c>
      <c r="T23" s="533">
        <f t="shared" ref="T23:T38" si="12">C23/R23</f>
        <v>0.32567157597001195</v>
      </c>
      <c r="U23" s="534">
        <f t="shared" ref="U23:U38" si="13">H23/S23</f>
        <v>0.23006627515705166</v>
      </c>
      <c r="V23" s="535">
        <f t="shared" ref="V23:V38" si="14">L23/H23</f>
        <v>5.7655678674211355E-2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85605</v>
      </c>
      <c r="D24" s="599">
        <f t="shared" si="15"/>
        <v>81594</v>
      </c>
      <c r="E24" s="600">
        <f t="shared" si="15"/>
        <v>79911</v>
      </c>
      <c r="F24" s="600">
        <f t="shared" si="15"/>
        <v>1683</v>
      </c>
      <c r="G24" s="601">
        <f t="shared" si="15"/>
        <v>4011</v>
      </c>
      <c r="H24" s="529">
        <f t="shared" si="15"/>
        <v>143595</v>
      </c>
      <c r="I24" s="599">
        <f t="shared" si="15"/>
        <v>135380</v>
      </c>
      <c r="J24" s="600">
        <f t="shared" si="15"/>
        <v>76927</v>
      </c>
      <c r="K24" s="600">
        <f t="shared" si="15"/>
        <v>58453</v>
      </c>
      <c r="L24" s="600">
        <f t="shared" si="15"/>
        <v>8215</v>
      </c>
      <c r="M24" s="600">
        <f t="shared" si="15"/>
        <v>5917</v>
      </c>
      <c r="N24" s="601">
        <f t="shared" si="15"/>
        <v>2298</v>
      </c>
      <c r="O24" s="529">
        <f t="shared" si="15"/>
        <v>48214</v>
      </c>
      <c r="P24" s="599">
        <f t="shared" si="15"/>
        <v>40651</v>
      </c>
      <c r="Q24" s="601">
        <f t="shared" si="15"/>
        <v>7563</v>
      </c>
      <c r="R24" s="602">
        <f t="shared" si="15"/>
        <v>263201</v>
      </c>
      <c r="S24" s="599">
        <f t="shared" si="15"/>
        <v>625324</v>
      </c>
      <c r="T24" s="603">
        <f t="shared" si="12"/>
        <v>0.3252457247502859</v>
      </c>
      <c r="U24" s="604">
        <f t="shared" si="13"/>
        <v>0.22963295827443053</v>
      </c>
      <c r="V24" s="605">
        <f t="shared" si="14"/>
        <v>5.720951286604687E-2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128362</v>
      </c>
      <c r="D25" s="599">
        <f t="shared" si="16"/>
        <v>122396</v>
      </c>
      <c r="E25" s="600">
        <f t="shared" si="16"/>
        <v>119903</v>
      </c>
      <c r="F25" s="600">
        <f t="shared" si="16"/>
        <v>2493</v>
      </c>
      <c r="G25" s="601">
        <f t="shared" si="16"/>
        <v>5966</v>
      </c>
      <c r="H25" s="529">
        <f t="shared" si="16"/>
        <v>215131</v>
      </c>
      <c r="I25" s="599">
        <f t="shared" si="16"/>
        <v>202942</v>
      </c>
      <c r="J25" s="600">
        <f t="shared" si="16"/>
        <v>115101</v>
      </c>
      <c r="K25" s="600">
        <f t="shared" si="16"/>
        <v>87841</v>
      </c>
      <c r="L25" s="600">
        <f t="shared" si="16"/>
        <v>12189</v>
      </c>
      <c r="M25" s="600">
        <f t="shared" si="16"/>
        <v>8787</v>
      </c>
      <c r="N25" s="601">
        <f t="shared" si="16"/>
        <v>3402</v>
      </c>
      <c r="O25" s="529">
        <f t="shared" si="16"/>
        <v>72124</v>
      </c>
      <c r="P25" s="599">
        <f t="shared" si="16"/>
        <v>60896</v>
      </c>
      <c r="Q25" s="601">
        <f t="shared" si="16"/>
        <v>11228</v>
      </c>
      <c r="R25" s="602">
        <f t="shared" si="16"/>
        <v>394945</v>
      </c>
      <c r="S25" s="599">
        <f t="shared" si="16"/>
        <v>938010</v>
      </c>
      <c r="T25" s="603">
        <f t="shared" si="12"/>
        <v>0.32501234349086583</v>
      </c>
      <c r="U25" s="604">
        <f t="shared" si="13"/>
        <v>0.22934830119081887</v>
      </c>
      <c r="V25" s="605">
        <f t="shared" si="14"/>
        <v>5.6658501099330176E-2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171067</v>
      </c>
      <c r="D26" s="599">
        <f t="shared" si="17"/>
        <v>163176</v>
      </c>
      <c r="E26" s="600">
        <f t="shared" si="17"/>
        <v>159877</v>
      </c>
      <c r="F26" s="600">
        <f t="shared" si="17"/>
        <v>3299</v>
      </c>
      <c r="G26" s="601">
        <f>SUM(G8:G11)</f>
        <v>7891</v>
      </c>
      <c r="H26" s="529">
        <f t="shared" si="17"/>
        <v>286523</v>
      </c>
      <c r="I26" s="599">
        <f t="shared" si="17"/>
        <v>270415</v>
      </c>
      <c r="J26" s="600">
        <f t="shared" si="17"/>
        <v>153085</v>
      </c>
      <c r="K26" s="600">
        <f t="shared" si="17"/>
        <v>117330</v>
      </c>
      <c r="L26" s="600">
        <f t="shared" si="17"/>
        <v>16108</v>
      </c>
      <c r="M26" s="600">
        <f t="shared" si="17"/>
        <v>11619</v>
      </c>
      <c r="N26" s="601">
        <f t="shared" si="17"/>
        <v>4489</v>
      </c>
      <c r="O26" s="529">
        <f t="shared" si="17"/>
        <v>95947</v>
      </c>
      <c r="P26" s="599">
        <f t="shared" si="17"/>
        <v>81111</v>
      </c>
      <c r="Q26" s="601">
        <f t="shared" si="17"/>
        <v>14836</v>
      </c>
      <c r="R26" s="602">
        <f t="shared" si="17"/>
        <v>526712</v>
      </c>
      <c r="S26" s="599">
        <f t="shared" si="17"/>
        <v>1250620</v>
      </c>
      <c r="T26" s="603">
        <f t="shared" si="12"/>
        <v>0.32478280350552102</v>
      </c>
      <c r="U26" s="604">
        <f t="shared" si="13"/>
        <v>0.22910476403703764</v>
      </c>
      <c r="V26" s="605">
        <f t="shared" si="14"/>
        <v>5.6218872481441279E-2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213747</v>
      </c>
      <c r="D27" s="599">
        <f t="shared" si="18"/>
        <v>203957</v>
      </c>
      <c r="E27" s="600">
        <f t="shared" si="18"/>
        <v>199838</v>
      </c>
      <c r="F27" s="600">
        <f t="shared" si="18"/>
        <v>4119</v>
      </c>
      <c r="G27" s="601">
        <f t="shared" si="18"/>
        <v>9790</v>
      </c>
      <c r="H27" s="529">
        <f t="shared" si="18"/>
        <v>357803</v>
      </c>
      <c r="I27" s="599">
        <f t="shared" si="18"/>
        <v>337806</v>
      </c>
      <c r="J27" s="600">
        <f t="shared" si="18"/>
        <v>190912</v>
      </c>
      <c r="K27" s="600">
        <f t="shared" si="18"/>
        <v>146894</v>
      </c>
      <c r="L27" s="600">
        <f t="shared" si="18"/>
        <v>19997</v>
      </c>
      <c r="M27" s="600">
        <f t="shared" si="18"/>
        <v>14437</v>
      </c>
      <c r="N27" s="601">
        <f t="shared" si="18"/>
        <v>5560</v>
      </c>
      <c r="O27" s="529">
        <f t="shared" si="18"/>
        <v>119670</v>
      </c>
      <c r="P27" s="599">
        <f t="shared" si="18"/>
        <v>101266</v>
      </c>
      <c r="Q27" s="601">
        <f t="shared" si="18"/>
        <v>18404</v>
      </c>
      <c r="R27" s="602">
        <f t="shared" si="18"/>
        <v>658554</v>
      </c>
      <c r="S27" s="599">
        <f t="shared" si="18"/>
        <v>1563271</v>
      </c>
      <c r="T27" s="603">
        <f t="shared" si="12"/>
        <v>0.32457019469929571</v>
      </c>
      <c r="U27" s="604">
        <f t="shared" si="13"/>
        <v>0.22888098096875079</v>
      </c>
      <c r="V27" s="605">
        <f t="shared" si="14"/>
        <v>5.5888296073537673E-2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256312</v>
      </c>
      <c r="D28" s="599">
        <f t="shared" si="19"/>
        <v>244689</v>
      </c>
      <c r="E28" s="600">
        <f t="shared" si="19"/>
        <v>239766</v>
      </c>
      <c r="F28" s="600">
        <f t="shared" si="19"/>
        <v>4923</v>
      </c>
      <c r="G28" s="601">
        <f t="shared" si="19"/>
        <v>11623</v>
      </c>
      <c r="H28" s="529">
        <f t="shared" si="19"/>
        <v>428781</v>
      </c>
      <c r="I28" s="599">
        <f t="shared" si="19"/>
        <v>405032</v>
      </c>
      <c r="J28" s="600">
        <f t="shared" si="19"/>
        <v>228554</v>
      </c>
      <c r="K28" s="600">
        <f t="shared" si="19"/>
        <v>176478</v>
      </c>
      <c r="L28" s="600">
        <f t="shared" si="19"/>
        <v>23749</v>
      </c>
      <c r="M28" s="600">
        <f t="shared" si="19"/>
        <v>17167</v>
      </c>
      <c r="N28" s="601">
        <f t="shared" si="19"/>
        <v>6582</v>
      </c>
      <c r="O28" s="529">
        <f t="shared" si="19"/>
        <v>143196</v>
      </c>
      <c r="P28" s="599">
        <f t="shared" si="19"/>
        <v>121356</v>
      </c>
      <c r="Q28" s="601">
        <f t="shared" si="19"/>
        <v>21840</v>
      </c>
      <c r="R28" s="602">
        <f t="shared" si="19"/>
        <v>790541</v>
      </c>
      <c r="S28" s="599">
        <f t="shared" si="19"/>
        <v>1876005</v>
      </c>
      <c r="T28" s="603">
        <f t="shared" si="12"/>
        <v>0.32422353805811466</v>
      </c>
      <c r="U28" s="604">
        <f t="shared" si="13"/>
        <v>0.22856069146937241</v>
      </c>
      <c r="V28" s="605">
        <f t="shared" si="14"/>
        <v>5.5387248968587696E-2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298850</v>
      </c>
      <c r="D29" s="599">
        <f t="shared" si="20"/>
        <v>285409</v>
      </c>
      <c r="E29" s="600">
        <f t="shared" si="20"/>
        <v>279688</v>
      </c>
      <c r="F29" s="600">
        <f t="shared" si="20"/>
        <v>5721</v>
      </c>
      <c r="G29" s="601">
        <f t="shared" si="20"/>
        <v>13441</v>
      </c>
      <c r="H29" s="529">
        <f t="shared" si="20"/>
        <v>499657</v>
      </c>
      <c r="I29" s="599">
        <f t="shared" si="20"/>
        <v>472183</v>
      </c>
      <c r="J29" s="600">
        <f t="shared" si="20"/>
        <v>266014</v>
      </c>
      <c r="K29" s="600">
        <f t="shared" si="20"/>
        <v>206169</v>
      </c>
      <c r="L29" s="600">
        <f t="shared" si="20"/>
        <v>27474</v>
      </c>
      <c r="M29" s="600">
        <f t="shared" si="20"/>
        <v>19875</v>
      </c>
      <c r="N29" s="601">
        <f t="shared" si="20"/>
        <v>7599</v>
      </c>
      <c r="O29" s="529">
        <f t="shared" si="20"/>
        <v>166560</v>
      </c>
      <c r="P29" s="599">
        <f t="shared" si="20"/>
        <v>141320</v>
      </c>
      <c r="Q29" s="601">
        <f t="shared" si="20"/>
        <v>25240</v>
      </c>
      <c r="R29" s="602">
        <f t="shared" si="20"/>
        <v>922680</v>
      </c>
      <c r="S29" s="599">
        <f t="shared" si="20"/>
        <v>2188862</v>
      </c>
      <c r="T29" s="603">
        <f t="shared" si="12"/>
        <v>0.32389344084623056</v>
      </c>
      <c r="U29" s="604">
        <f t="shared" si="13"/>
        <v>0.22827249959111173</v>
      </c>
      <c r="V29" s="605">
        <f t="shared" si="14"/>
        <v>5.4985720204059986E-2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341343</v>
      </c>
      <c r="D30" s="599">
        <f t="shared" si="21"/>
        <v>326149</v>
      </c>
      <c r="E30" s="600">
        <f t="shared" si="21"/>
        <v>319639</v>
      </c>
      <c r="F30" s="600">
        <f t="shared" si="21"/>
        <v>6510</v>
      </c>
      <c r="G30" s="601">
        <f t="shared" si="21"/>
        <v>15194</v>
      </c>
      <c r="H30" s="529">
        <f t="shared" si="21"/>
        <v>570335</v>
      </c>
      <c r="I30" s="599">
        <f t="shared" si="21"/>
        <v>539268</v>
      </c>
      <c r="J30" s="600">
        <f t="shared" si="21"/>
        <v>303378</v>
      </c>
      <c r="K30" s="600">
        <f t="shared" si="21"/>
        <v>235890</v>
      </c>
      <c r="L30" s="600">
        <f t="shared" si="21"/>
        <v>31067</v>
      </c>
      <c r="M30" s="600">
        <f t="shared" si="21"/>
        <v>22501</v>
      </c>
      <c r="N30" s="601">
        <f t="shared" si="21"/>
        <v>8566</v>
      </c>
      <c r="O30" s="529">
        <f t="shared" si="21"/>
        <v>189766</v>
      </c>
      <c r="P30" s="599">
        <f t="shared" si="21"/>
        <v>161238</v>
      </c>
      <c r="Q30" s="601">
        <f t="shared" si="21"/>
        <v>28528</v>
      </c>
      <c r="R30" s="602">
        <f t="shared" si="21"/>
        <v>1054863</v>
      </c>
      <c r="S30" s="599">
        <f t="shared" si="21"/>
        <v>2501680</v>
      </c>
      <c r="T30" s="603">
        <f t="shared" si="12"/>
        <v>0.32358988797597416</v>
      </c>
      <c r="U30" s="604">
        <f t="shared" si="13"/>
        <v>0.2279807969044802</v>
      </c>
      <c r="V30" s="605">
        <f t="shared" si="14"/>
        <v>5.4471494823217934E-2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383786</v>
      </c>
      <c r="D31" s="599">
        <f t="shared" si="22"/>
        <v>366877</v>
      </c>
      <c r="E31" s="600">
        <f t="shared" si="22"/>
        <v>359603</v>
      </c>
      <c r="F31" s="600">
        <f t="shared" si="22"/>
        <v>7274</v>
      </c>
      <c r="G31" s="601">
        <f t="shared" si="22"/>
        <v>16909</v>
      </c>
      <c r="H31" s="529">
        <f t="shared" si="22"/>
        <v>640886</v>
      </c>
      <c r="I31" s="599">
        <f t="shared" si="22"/>
        <v>606319</v>
      </c>
      <c r="J31" s="600">
        <f t="shared" si="22"/>
        <v>340615</v>
      </c>
      <c r="K31" s="600">
        <f t="shared" si="22"/>
        <v>265704</v>
      </c>
      <c r="L31" s="600">
        <f t="shared" si="22"/>
        <v>34567</v>
      </c>
      <c r="M31" s="600">
        <f t="shared" si="22"/>
        <v>25061</v>
      </c>
      <c r="N31" s="601">
        <f t="shared" si="22"/>
        <v>9506</v>
      </c>
      <c r="O31" s="529">
        <f t="shared" si="22"/>
        <v>212807</v>
      </c>
      <c r="P31" s="599">
        <f t="shared" si="22"/>
        <v>181077</v>
      </c>
      <c r="Q31" s="601">
        <f t="shared" si="22"/>
        <v>31730</v>
      </c>
      <c r="R31" s="602">
        <f t="shared" si="22"/>
        <v>1187059</v>
      </c>
      <c r="S31" s="599">
        <f t="shared" si="22"/>
        <v>2814368</v>
      </c>
      <c r="T31" s="603">
        <f t="shared" si="12"/>
        <v>0.3233082770106625</v>
      </c>
      <c r="U31" s="604">
        <f t="shared" si="13"/>
        <v>0.22771933165812006</v>
      </c>
      <c r="V31" s="605">
        <f t="shared" si="14"/>
        <v>5.3936269476942855E-2</v>
      </c>
    </row>
    <row r="32" spans="1:45" ht="20.149999999999999" customHeight="1" x14ac:dyDescent="0.2">
      <c r="B32" s="537" t="s">
        <v>63</v>
      </c>
      <c r="C32" s="529">
        <f t="shared" ref="C32:S32" si="23">SUM(C8:C17)</f>
        <v>426080</v>
      </c>
      <c r="D32" s="599">
        <f t="shared" si="23"/>
        <v>407477</v>
      </c>
      <c r="E32" s="600">
        <f t="shared" si="23"/>
        <v>399446</v>
      </c>
      <c r="F32" s="600">
        <f t="shared" si="23"/>
        <v>8031</v>
      </c>
      <c r="G32" s="601">
        <f t="shared" si="23"/>
        <v>18603</v>
      </c>
      <c r="H32" s="529">
        <f t="shared" si="23"/>
        <v>711153</v>
      </c>
      <c r="I32" s="599">
        <f t="shared" si="23"/>
        <v>673114</v>
      </c>
      <c r="J32" s="600">
        <f t="shared" si="23"/>
        <v>377647</v>
      </c>
      <c r="K32" s="600">
        <f t="shared" si="23"/>
        <v>295467</v>
      </c>
      <c r="L32" s="600">
        <f t="shared" si="23"/>
        <v>38039</v>
      </c>
      <c r="M32" s="600">
        <f t="shared" si="23"/>
        <v>27592</v>
      </c>
      <c r="N32" s="601">
        <f t="shared" si="23"/>
        <v>10447</v>
      </c>
      <c r="O32" s="529">
        <f t="shared" si="23"/>
        <v>235699</v>
      </c>
      <c r="P32" s="599">
        <f t="shared" si="23"/>
        <v>200803</v>
      </c>
      <c r="Q32" s="601">
        <f t="shared" si="23"/>
        <v>34896</v>
      </c>
      <c r="R32" s="602">
        <f t="shared" si="23"/>
        <v>1319243</v>
      </c>
      <c r="S32" s="599">
        <f t="shared" si="23"/>
        <v>3127003</v>
      </c>
      <c r="T32" s="603">
        <f t="shared" si="12"/>
        <v>0.32297309896660431</v>
      </c>
      <c r="U32" s="604">
        <f t="shared" si="13"/>
        <v>0.22742319083160459</v>
      </c>
      <c r="V32" s="605">
        <f t="shared" si="14"/>
        <v>5.3489192902230601E-2</v>
      </c>
    </row>
    <row r="33" spans="1:35" ht="20.149999999999999" customHeight="1" x14ac:dyDescent="0.2">
      <c r="B33" s="537" t="s">
        <v>64</v>
      </c>
      <c r="C33" s="529">
        <f t="shared" ref="C33:S33" si="24">SUM(C8:C18)</f>
        <v>468228</v>
      </c>
      <c r="D33" s="599">
        <f t="shared" si="24"/>
        <v>447992</v>
      </c>
      <c r="E33" s="600">
        <f t="shared" si="24"/>
        <v>439234</v>
      </c>
      <c r="F33" s="600">
        <f t="shared" si="24"/>
        <v>8758</v>
      </c>
      <c r="G33" s="601">
        <f t="shared" si="24"/>
        <v>20236</v>
      </c>
      <c r="H33" s="529">
        <f t="shared" si="24"/>
        <v>781189</v>
      </c>
      <c r="I33" s="599">
        <f t="shared" si="24"/>
        <v>739816</v>
      </c>
      <c r="J33" s="600">
        <f t="shared" si="24"/>
        <v>414597</v>
      </c>
      <c r="K33" s="600">
        <f t="shared" si="24"/>
        <v>325219</v>
      </c>
      <c r="L33" s="600">
        <f t="shared" si="24"/>
        <v>41373</v>
      </c>
      <c r="M33" s="600">
        <f t="shared" si="24"/>
        <v>30027</v>
      </c>
      <c r="N33" s="601">
        <f t="shared" si="24"/>
        <v>11346</v>
      </c>
      <c r="O33" s="529">
        <f t="shared" si="24"/>
        <v>258434</v>
      </c>
      <c r="P33" s="599">
        <f t="shared" si="24"/>
        <v>220497</v>
      </c>
      <c r="Q33" s="601">
        <f t="shared" si="24"/>
        <v>37937</v>
      </c>
      <c r="R33" s="602">
        <f t="shared" si="24"/>
        <v>1451444</v>
      </c>
      <c r="S33" s="599">
        <f t="shared" si="24"/>
        <v>3439550</v>
      </c>
      <c r="T33" s="603">
        <f t="shared" si="12"/>
        <v>0.32259460234084125</v>
      </c>
      <c r="U33" s="604">
        <f t="shared" si="13"/>
        <v>0.22711953598581211</v>
      </c>
      <c r="V33" s="605">
        <f t="shared" si="14"/>
        <v>5.2961575239794723E-2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510335</v>
      </c>
      <c r="D34" s="608">
        <f t="shared" si="25"/>
        <v>488500</v>
      </c>
      <c r="E34" s="609">
        <f t="shared" si="25"/>
        <v>479050</v>
      </c>
      <c r="F34" s="609">
        <f t="shared" si="25"/>
        <v>9450</v>
      </c>
      <c r="G34" s="610">
        <f t="shared" si="25"/>
        <v>21835</v>
      </c>
      <c r="H34" s="607">
        <f t="shared" si="25"/>
        <v>851036</v>
      </c>
      <c r="I34" s="608">
        <f t="shared" si="25"/>
        <v>806438</v>
      </c>
      <c r="J34" s="609">
        <f t="shared" si="25"/>
        <v>451447</v>
      </c>
      <c r="K34" s="609">
        <f t="shared" si="25"/>
        <v>354991</v>
      </c>
      <c r="L34" s="609">
        <f t="shared" si="25"/>
        <v>44598</v>
      </c>
      <c r="M34" s="609">
        <f t="shared" si="25"/>
        <v>32387</v>
      </c>
      <c r="N34" s="610">
        <f t="shared" si="25"/>
        <v>12211</v>
      </c>
      <c r="O34" s="607">
        <f t="shared" si="25"/>
        <v>281025</v>
      </c>
      <c r="P34" s="608">
        <f t="shared" si="25"/>
        <v>240121</v>
      </c>
      <c r="Q34" s="610">
        <f t="shared" si="25"/>
        <v>40904</v>
      </c>
      <c r="R34" s="611">
        <f t="shared" si="25"/>
        <v>1583995</v>
      </c>
      <c r="S34" s="608">
        <f t="shared" si="25"/>
        <v>3751656</v>
      </c>
      <c r="T34" s="612">
        <f t="shared" si="12"/>
        <v>0.3221822038579667</v>
      </c>
      <c r="U34" s="613">
        <f t="shared" si="13"/>
        <v>0.2268427595707069</v>
      </c>
      <c r="V34" s="614">
        <f t="shared" si="14"/>
        <v>5.2404363622690464E-2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510625</v>
      </c>
      <c r="D35" s="616">
        <f t="shared" si="26"/>
        <v>488419</v>
      </c>
      <c r="E35" s="616">
        <f t="shared" si="26"/>
        <v>478823</v>
      </c>
      <c r="F35" s="616">
        <f t="shared" si="26"/>
        <v>9596</v>
      </c>
      <c r="G35" s="617">
        <f t="shared" si="26"/>
        <v>22206</v>
      </c>
      <c r="H35" s="618">
        <f t="shared" si="26"/>
        <v>852393</v>
      </c>
      <c r="I35" s="616">
        <f t="shared" si="26"/>
        <v>807024</v>
      </c>
      <c r="J35" s="616">
        <f t="shared" si="26"/>
        <v>453030</v>
      </c>
      <c r="K35" s="616">
        <f t="shared" si="26"/>
        <v>353994</v>
      </c>
      <c r="L35" s="616">
        <f t="shared" si="26"/>
        <v>45369</v>
      </c>
      <c r="M35" s="616">
        <f t="shared" si="26"/>
        <v>32938</v>
      </c>
      <c r="N35" s="619">
        <f t="shared" si="26"/>
        <v>12431</v>
      </c>
      <c r="O35" s="618">
        <f t="shared" si="26"/>
        <v>282243</v>
      </c>
      <c r="P35" s="616">
        <f t="shared" si="26"/>
        <v>240652</v>
      </c>
      <c r="Q35" s="619">
        <f t="shared" si="26"/>
        <v>41591</v>
      </c>
      <c r="R35" s="618">
        <f t="shared" si="26"/>
        <v>1582645</v>
      </c>
      <c r="S35" s="616">
        <f t="shared" si="26"/>
        <v>3751909</v>
      </c>
      <c r="T35" s="620">
        <f t="shared" si="12"/>
        <v>0.32264026360933751</v>
      </c>
      <c r="U35" s="620">
        <f t="shared" si="13"/>
        <v>0.22718914557895728</v>
      </c>
      <c r="V35" s="621">
        <f t="shared" si="14"/>
        <v>5.3225448824661861E-2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42552</v>
      </c>
      <c r="D36" s="626">
        <f>E36+F36</f>
        <v>40701</v>
      </c>
      <c r="E36" s="626">
        <f>C36-F36-G36</f>
        <v>39901</v>
      </c>
      <c r="F36" s="626">
        <f>ROUND(AVERAGE(F7:F18),0)</f>
        <v>800</v>
      </c>
      <c r="G36" s="627">
        <f>ROUND(AVERAGE(G7:G18),0)</f>
        <v>1851</v>
      </c>
      <c r="H36" s="625">
        <f>L36+I36</f>
        <v>71033</v>
      </c>
      <c r="I36" s="626">
        <f>ROUND(AVERAGE(I7:I18),0)</f>
        <v>67252</v>
      </c>
      <c r="J36" s="626">
        <f>J35/(COUNTIF(J7:J18,"&gt;0"))</f>
        <v>37752.5</v>
      </c>
      <c r="K36" s="626">
        <f>AVERAGE(K7:K18)</f>
        <v>29499.5</v>
      </c>
      <c r="L36" s="626">
        <f>ROUND(L35/(COUNTIF(L7:L18,"&gt;0")),0)</f>
        <v>3781</v>
      </c>
      <c r="M36" s="626">
        <f>ROUND(AVERAGE(M7:M18),0)</f>
        <v>2745</v>
      </c>
      <c r="N36" s="628">
        <f>L36-M36</f>
        <v>1036</v>
      </c>
      <c r="O36" s="625">
        <f>AVERAGE(O7:O18)</f>
        <v>23520.25</v>
      </c>
      <c r="P36" s="626">
        <f>P35/(COUNTIF(P7:P18,"&gt;0"))</f>
        <v>20054.333333333332</v>
      </c>
      <c r="Q36" s="628">
        <f>AVERAGE(Q7:Q18)</f>
        <v>3465.9166666666665</v>
      </c>
      <c r="R36" s="625">
        <f>AVERAGE(R7:R18)</f>
        <v>131887.08333333334</v>
      </c>
      <c r="S36" s="626">
        <f>AVERAGE(S7:S18)</f>
        <v>312659.08333333331</v>
      </c>
      <c r="T36" s="629">
        <f t="shared" si="12"/>
        <v>0.3226396317557001</v>
      </c>
      <c r="U36" s="630">
        <f t="shared" si="13"/>
        <v>0.22718994517191116</v>
      </c>
      <c r="V36" s="631">
        <f t="shared" si="14"/>
        <v>5.3228780989117735E-2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511139</v>
      </c>
      <c r="D37" s="635">
        <f t="shared" si="27"/>
        <v>488128</v>
      </c>
      <c r="E37" s="636">
        <f t="shared" si="27"/>
        <v>478245</v>
      </c>
      <c r="F37" s="636">
        <f t="shared" si="27"/>
        <v>9883</v>
      </c>
      <c r="G37" s="637">
        <f t="shared" si="27"/>
        <v>23011</v>
      </c>
      <c r="H37" s="634">
        <f t="shared" si="27"/>
        <v>855098</v>
      </c>
      <c r="I37" s="635">
        <f t="shared" si="27"/>
        <v>808112</v>
      </c>
      <c r="J37" s="636">
        <f t="shared" si="27"/>
        <v>456312</v>
      </c>
      <c r="K37" s="636">
        <f t="shared" si="27"/>
        <v>351800</v>
      </c>
      <c r="L37" s="636">
        <f t="shared" si="27"/>
        <v>46986</v>
      </c>
      <c r="M37" s="636">
        <f t="shared" si="27"/>
        <v>34103</v>
      </c>
      <c r="N37" s="637">
        <f t="shared" si="27"/>
        <v>12883</v>
      </c>
      <c r="O37" s="634">
        <f t="shared" si="27"/>
        <v>284840</v>
      </c>
      <c r="P37" s="638">
        <f t="shared" si="27"/>
        <v>241745</v>
      </c>
      <c r="Q37" s="637">
        <f t="shared" si="27"/>
        <v>43095</v>
      </c>
      <c r="R37" s="634">
        <f t="shared" si="27"/>
        <v>1580246</v>
      </c>
      <c r="S37" s="635">
        <f t="shared" si="27"/>
        <v>3752761</v>
      </c>
      <c r="T37" s="639">
        <f t="shared" si="12"/>
        <v>0.32345533543511579</v>
      </c>
      <c r="U37" s="639">
        <f t="shared" si="13"/>
        <v>0.22785836881165628</v>
      </c>
      <c r="V37" s="640">
        <f t="shared" si="14"/>
        <v>5.4948087821512857E-2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42594.916666666664</v>
      </c>
      <c r="D38" s="643">
        <f t="shared" ref="D38:S38" si="28">D37/(COUNTIF(D8:D16,"&gt;0")+3)</f>
        <v>40677.333333333336</v>
      </c>
      <c r="E38" s="644">
        <f t="shared" si="28"/>
        <v>39853.75</v>
      </c>
      <c r="F38" s="644">
        <f t="shared" si="28"/>
        <v>823.58333333333337</v>
      </c>
      <c r="G38" s="645">
        <f t="shared" si="28"/>
        <v>1917.5833333333333</v>
      </c>
      <c r="H38" s="642">
        <f t="shared" si="28"/>
        <v>71258.166666666672</v>
      </c>
      <c r="I38" s="643">
        <f t="shared" si="28"/>
        <v>67342.666666666672</v>
      </c>
      <c r="J38" s="644">
        <f t="shared" si="28"/>
        <v>38026</v>
      </c>
      <c r="K38" s="644">
        <f t="shared" si="28"/>
        <v>29316.666666666668</v>
      </c>
      <c r="L38" s="644">
        <f t="shared" si="28"/>
        <v>3915.5</v>
      </c>
      <c r="M38" s="644">
        <f t="shared" si="28"/>
        <v>2841.9166666666665</v>
      </c>
      <c r="N38" s="645">
        <f t="shared" si="28"/>
        <v>1073.5833333333333</v>
      </c>
      <c r="O38" s="642">
        <f t="shared" si="28"/>
        <v>23736.666666666668</v>
      </c>
      <c r="P38" s="646">
        <f t="shared" si="28"/>
        <v>20145.416666666668</v>
      </c>
      <c r="Q38" s="645">
        <f t="shared" si="28"/>
        <v>3591.25</v>
      </c>
      <c r="R38" s="642">
        <f t="shared" si="28"/>
        <v>131687.16666666666</v>
      </c>
      <c r="S38" s="643">
        <f t="shared" si="28"/>
        <v>312730.08333333331</v>
      </c>
      <c r="T38" s="647">
        <f t="shared" si="12"/>
        <v>0.32345533543511579</v>
      </c>
      <c r="U38" s="647">
        <f t="shared" si="13"/>
        <v>0.2278583688116563</v>
      </c>
      <c r="V38" s="648">
        <f t="shared" si="14"/>
        <v>5.494808782151285E-2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C2" sqref="C2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2844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SUM(平成26年度!C17:C19)</f>
        <v>126549</v>
      </c>
      <c r="D2" s="480">
        <f>SUM(平成26年度!D17:D19)</f>
        <v>121623</v>
      </c>
      <c r="E2" s="480">
        <f>SUM(平成26年度!E17:E19)</f>
        <v>119447</v>
      </c>
      <c r="F2" s="480">
        <f>SUM(平成26年度!F17:F19)</f>
        <v>2176</v>
      </c>
      <c r="G2" s="480">
        <f>SUM(平成26年度!G17:G19)</f>
        <v>4926</v>
      </c>
      <c r="H2" s="480">
        <f>SUM(平成26年度!H17:H19)</f>
        <v>210150</v>
      </c>
      <c r="I2" s="480">
        <f>SUM(平成26年度!I17:I19)</f>
        <v>200119</v>
      </c>
      <c r="J2" s="480">
        <f>SUM(平成26年度!J17:J19)</f>
        <v>110832</v>
      </c>
      <c r="K2" s="480">
        <f>SUM(平成26年度!K17:K19)</f>
        <v>89287</v>
      </c>
      <c r="L2" s="480">
        <f>SUM(平成26年度!L17:L19)</f>
        <v>10031</v>
      </c>
      <c r="M2" s="480">
        <f>SUM(平成26年度!M17:M19)</f>
        <v>7326</v>
      </c>
      <c r="N2" s="480">
        <f>SUM(平成26年度!N17:N19)</f>
        <v>2705</v>
      </c>
      <c r="O2" s="480">
        <f>SUM(平成26年度!O17:O19)</f>
        <v>68218</v>
      </c>
      <c r="P2" s="480">
        <f>SUM(平成26年度!P17:P19)</f>
        <v>59044</v>
      </c>
      <c r="Q2" s="480">
        <f>SUM(平成26年度!Q17:Q19)</f>
        <v>9174</v>
      </c>
      <c r="R2" s="480">
        <f>SUM(平成26年度!R17:R19)</f>
        <v>396936</v>
      </c>
      <c r="S2" s="480">
        <f>SUM(平成26年度!S17:S19)</f>
        <v>937288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2845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739">
        <v>42107</v>
      </c>
      <c r="D7" s="526">
        <v>40508</v>
      </c>
      <c r="E7" s="526">
        <v>39816</v>
      </c>
      <c r="F7" s="740">
        <v>692</v>
      </c>
      <c r="G7" s="754">
        <v>1599</v>
      </c>
      <c r="H7" s="529">
        <v>69847</v>
      </c>
      <c r="I7" s="527">
        <v>66622</v>
      </c>
      <c r="J7" s="759">
        <v>36850</v>
      </c>
      <c r="K7" s="742">
        <v>29772</v>
      </c>
      <c r="L7" s="526">
        <v>3225</v>
      </c>
      <c r="M7" s="740">
        <v>2360</v>
      </c>
      <c r="N7" s="741">
        <v>865</v>
      </c>
      <c r="O7" s="739">
        <v>22591</v>
      </c>
      <c r="P7" s="526">
        <v>19624</v>
      </c>
      <c r="Q7" s="743">
        <v>2967</v>
      </c>
      <c r="R7" s="756">
        <v>132551</v>
      </c>
      <c r="S7" s="757">
        <v>312106</v>
      </c>
      <c r="T7" s="533">
        <v>0.31766640764686799</v>
      </c>
      <c r="U7" s="534">
        <v>0.22379255765669356</v>
      </c>
      <c r="V7" s="535">
        <v>4.6172348132346414E-2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42489</v>
      </c>
      <c r="D8" s="526">
        <f t="shared" ref="D8:D19" si="0">E8+F8</f>
        <v>40934</v>
      </c>
      <c r="E8" s="526">
        <f t="shared" ref="E8:E18" si="1">C8-G8-F8</f>
        <v>40257</v>
      </c>
      <c r="F8" s="740">
        <v>677</v>
      </c>
      <c r="G8" s="741">
        <v>1555</v>
      </c>
      <c r="H8" s="529">
        <f t="shared" ref="H8:H19" si="2">I8+L8</f>
        <v>70418</v>
      </c>
      <c r="I8" s="527">
        <v>67293</v>
      </c>
      <c r="J8" s="759">
        <f t="shared" ref="J8:J19" si="3">I8-K8</f>
        <v>37287</v>
      </c>
      <c r="K8" s="742">
        <v>30006</v>
      </c>
      <c r="L8" s="526">
        <f t="shared" ref="L8:L19" si="4">M8+N8</f>
        <v>3125</v>
      </c>
      <c r="M8" s="740">
        <v>2303</v>
      </c>
      <c r="N8" s="741">
        <v>822</v>
      </c>
      <c r="O8" s="739">
        <v>22868</v>
      </c>
      <c r="P8" s="526">
        <f t="shared" ref="P8:P19" si="5">O8-Q8</f>
        <v>19984</v>
      </c>
      <c r="Q8" s="743">
        <v>2884</v>
      </c>
      <c r="R8" s="744">
        <v>132973</v>
      </c>
      <c r="S8" s="745">
        <v>312517</v>
      </c>
      <c r="T8" s="534">
        <f t="shared" ref="T8:T21" si="6">C8/R8</f>
        <v>0.31953103261564375</v>
      </c>
      <c r="U8" s="534">
        <f t="shared" ref="U8:U21" si="7">H8/S8</f>
        <v>0.22532534230137879</v>
      </c>
      <c r="V8" s="535">
        <f t="shared" ref="V8:V21" si="8">L8/H8</f>
        <v>4.4377857934050954E-2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42420</v>
      </c>
      <c r="D9" s="526">
        <f t="shared" si="0"/>
        <v>40933</v>
      </c>
      <c r="E9" s="526">
        <f t="shared" si="1"/>
        <v>40267</v>
      </c>
      <c r="F9" s="740">
        <v>666</v>
      </c>
      <c r="G9" s="741">
        <v>1487</v>
      </c>
      <c r="H9" s="529">
        <f t="shared" si="2"/>
        <v>70205</v>
      </c>
      <c r="I9" s="527">
        <v>67195</v>
      </c>
      <c r="J9" s="759">
        <f t="shared" si="3"/>
        <v>37161</v>
      </c>
      <c r="K9" s="742">
        <v>30034</v>
      </c>
      <c r="L9" s="526">
        <f t="shared" si="4"/>
        <v>3010</v>
      </c>
      <c r="M9" s="740">
        <v>2220</v>
      </c>
      <c r="N9" s="741">
        <v>790</v>
      </c>
      <c r="O9" s="739">
        <v>22762</v>
      </c>
      <c r="P9" s="526">
        <f t="shared" si="5"/>
        <v>19980</v>
      </c>
      <c r="Q9" s="743">
        <v>2782</v>
      </c>
      <c r="R9" s="746">
        <v>133194</v>
      </c>
      <c r="S9" s="747">
        <v>312646</v>
      </c>
      <c r="T9" s="534">
        <f t="shared" si="6"/>
        <v>0.31848281454119554</v>
      </c>
      <c r="U9" s="534">
        <f t="shared" si="7"/>
        <v>0.22455108973087773</v>
      </c>
      <c r="V9" s="535">
        <f t="shared" si="8"/>
        <v>4.2874439142511218E-2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42401</v>
      </c>
      <c r="D10" s="526">
        <f t="shared" si="0"/>
        <v>40944</v>
      </c>
      <c r="E10" s="526">
        <f t="shared" si="1"/>
        <v>40293</v>
      </c>
      <c r="F10" s="740">
        <v>651</v>
      </c>
      <c r="G10" s="741">
        <v>1457</v>
      </c>
      <c r="H10" s="529">
        <f t="shared" si="2"/>
        <v>70122</v>
      </c>
      <c r="I10" s="527">
        <v>67172</v>
      </c>
      <c r="J10" s="759">
        <f t="shared" si="3"/>
        <v>37127</v>
      </c>
      <c r="K10" s="742">
        <v>30045</v>
      </c>
      <c r="L10" s="526">
        <f t="shared" si="4"/>
        <v>2950</v>
      </c>
      <c r="M10" s="740">
        <v>2170</v>
      </c>
      <c r="N10" s="741">
        <v>780</v>
      </c>
      <c r="O10" s="739">
        <v>22713</v>
      </c>
      <c r="P10" s="526">
        <f t="shared" si="5"/>
        <v>19985</v>
      </c>
      <c r="Q10" s="743">
        <v>2728</v>
      </c>
      <c r="R10" s="748">
        <v>133236</v>
      </c>
      <c r="S10" s="740">
        <v>312654</v>
      </c>
      <c r="T10" s="534">
        <f t="shared" si="6"/>
        <v>0.31823981506499743</v>
      </c>
      <c r="U10" s="534">
        <f t="shared" si="7"/>
        <v>0.2242798748776603</v>
      </c>
      <c r="V10" s="535">
        <f t="shared" si="8"/>
        <v>4.2069535951627164E-2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42277</v>
      </c>
      <c r="D11" s="526">
        <f>E11+F11</f>
        <v>40857</v>
      </c>
      <c r="E11" s="526">
        <f>C11-G11-F11</f>
        <v>40224</v>
      </c>
      <c r="F11" s="740">
        <v>633</v>
      </c>
      <c r="G11" s="741">
        <v>1420</v>
      </c>
      <c r="H11" s="529">
        <f t="shared" si="2"/>
        <v>69855</v>
      </c>
      <c r="I11" s="527">
        <v>66998</v>
      </c>
      <c r="J11" s="759">
        <f t="shared" si="3"/>
        <v>36969</v>
      </c>
      <c r="K11" s="742">
        <v>30029</v>
      </c>
      <c r="L11" s="526">
        <f t="shared" si="4"/>
        <v>2857</v>
      </c>
      <c r="M11" s="740">
        <v>2114</v>
      </c>
      <c r="N11" s="741">
        <v>743</v>
      </c>
      <c r="O11" s="739">
        <v>22639</v>
      </c>
      <c r="P11" s="526">
        <f t="shared" si="5"/>
        <v>19991</v>
      </c>
      <c r="Q11" s="743">
        <v>2648</v>
      </c>
      <c r="R11" s="748">
        <v>133334</v>
      </c>
      <c r="S11" s="740">
        <v>312734</v>
      </c>
      <c r="T11" s="534">
        <f t="shared" si="6"/>
        <v>0.31707591462042689</v>
      </c>
      <c r="U11" s="534">
        <f t="shared" si="7"/>
        <v>0.22336874148637501</v>
      </c>
      <c r="V11" s="535">
        <f t="shared" si="8"/>
        <v>4.0899005081955479E-2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42151</v>
      </c>
      <c r="D12" s="526">
        <f t="shared" si="0"/>
        <v>40774</v>
      </c>
      <c r="E12" s="526">
        <f t="shared" si="1"/>
        <v>40124</v>
      </c>
      <c r="F12" s="740">
        <v>650</v>
      </c>
      <c r="G12" s="741">
        <v>1377</v>
      </c>
      <c r="H12" s="529">
        <f t="shared" si="2"/>
        <v>69534</v>
      </c>
      <c r="I12" s="527">
        <v>66736</v>
      </c>
      <c r="J12" s="759">
        <f t="shared" si="3"/>
        <v>36768</v>
      </c>
      <c r="K12" s="742">
        <v>29968</v>
      </c>
      <c r="L12" s="526">
        <f t="shared" si="4"/>
        <v>2798</v>
      </c>
      <c r="M12" s="740">
        <v>2079</v>
      </c>
      <c r="N12" s="741">
        <v>719</v>
      </c>
      <c r="O12" s="739">
        <v>22448</v>
      </c>
      <c r="P12" s="526">
        <f t="shared" si="5"/>
        <v>19875</v>
      </c>
      <c r="Q12" s="743">
        <v>2573</v>
      </c>
      <c r="R12" s="748">
        <v>133363</v>
      </c>
      <c r="S12" s="740">
        <v>312582</v>
      </c>
      <c r="T12" s="534">
        <f t="shared" si="6"/>
        <v>0.31606217616580312</v>
      </c>
      <c r="U12" s="534">
        <f t="shared" si="7"/>
        <v>0.22245042900742845</v>
      </c>
      <c r="V12" s="535">
        <f t="shared" si="8"/>
        <v>4.0239307389190897E-2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42071</v>
      </c>
      <c r="D13" s="526">
        <f t="shared" si="0"/>
        <v>40752</v>
      </c>
      <c r="E13" s="526">
        <f t="shared" si="1"/>
        <v>40136</v>
      </c>
      <c r="F13" s="740">
        <v>616</v>
      </c>
      <c r="G13" s="741">
        <v>1319</v>
      </c>
      <c r="H13" s="529">
        <f t="shared" si="2"/>
        <v>69273</v>
      </c>
      <c r="I13" s="527">
        <v>66608</v>
      </c>
      <c r="J13" s="759">
        <f t="shared" si="3"/>
        <v>36621</v>
      </c>
      <c r="K13" s="742">
        <v>29987</v>
      </c>
      <c r="L13" s="526">
        <f t="shared" si="4"/>
        <v>2665</v>
      </c>
      <c r="M13" s="740">
        <v>1981</v>
      </c>
      <c r="N13" s="741">
        <v>684</v>
      </c>
      <c r="O13" s="739">
        <v>22275</v>
      </c>
      <c r="P13" s="526">
        <f t="shared" si="5"/>
        <v>19831</v>
      </c>
      <c r="Q13" s="743">
        <v>2444</v>
      </c>
      <c r="R13" s="748">
        <v>133432</v>
      </c>
      <c r="S13" s="740">
        <v>312539</v>
      </c>
      <c r="T13" s="534">
        <f t="shared" si="6"/>
        <v>0.31529917860783019</v>
      </c>
      <c r="U13" s="534">
        <f t="shared" si="7"/>
        <v>0.22164593858686435</v>
      </c>
      <c r="V13" s="535">
        <f t="shared" si="8"/>
        <v>3.8470977148383934E-2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42070</v>
      </c>
      <c r="D14" s="526">
        <f t="shared" si="0"/>
        <v>40775</v>
      </c>
      <c r="E14" s="526">
        <f t="shared" si="1"/>
        <v>40186</v>
      </c>
      <c r="F14" s="740">
        <v>589</v>
      </c>
      <c r="G14" s="741">
        <v>1295</v>
      </c>
      <c r="H14" s="529">
        <f t="shared" si="2"/>
        <v>69153</v>
      </c>
      <c r="I14" s="527">
        <v>66547</v>
      </c>
      <c r="J14" s="759">
        <f t="shared" si="3"/>
        <v>36534</v>
      </c>
      <c r="K14" s="742">
        <v>30013</v>
      </c>
      <c r="L14" s="526">
        <f t="shared" si="4"/>
        <v>2606</v>
      </c>
      <c r="M14" s="740">
        <v>1930</v>
      </c>
      <c r="N14" s="741">
        <v>676</v>
      </c>
      <c r="O14" s="739">
        <v>22228</v>
      </c>
      <c r="P14" s="526">
        <f t="shared" si="5"/>
        <v>19826</v>
      </c>
      <c r="Q14" s="743">
        <v>2402</v>
      </c>
      <c r="R14" s="748">
        <v>133488</v>
      </c>
      <c r="S14" s="740">
        <v>312585</v>
      </c>
      <c r="T14" s="534">
        <f t="shared" si="6"/>
        <v>0.31515941507850892</v>
      </c>
      <c r="U14" s="534">
        <f t="shared" si="7"/>
        <v>0.22122942559623782</v>
      </c>
      <c r="V14" s="535">
        <f t="shared" si="8"/>
        <v>3.7684554538487125E-2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41998</v>
      </c>
      <c r="D15" s="526">
        <f t="shared" si="0"/>
        <v>40741</v>
      </c>
      <c r="E15" s="526">
        <f t="shared" si="1"/>
        <v>40184</v>
      </c>
      <c r="F15" s="740">
        <v>557</v>
      </c>
      <c r="G15" s="741">
        <v>1257</v>
      </c>
      <c r="H15" s="529">
        <f t="shared" si="2"/>
        <v>68949</v>
      </c>
      <c r="I15" s="527">
        <v>66430</v>
      </c>
      <c r="J15" s="759">
        <f t="shared" si="3"/>
        <v>36417</v>
      </c>
      <c r="K15" s="742">
        <v>30013</v>
      </c>
      <c r="L15" s="526">
        <f t="shared" si="4"/>
        <v>2519</v>
      </c>
      <c r="M15" s="740">
        <v>1861</v>
      </c>
      <c r="N15" s="741">
        <v>658</v>
      </c>
      <c r="O15" s="739">
        <v>22122</v>
      </c>
      <c r="P15" s="526">
        <f t="shared" si="5"/>
        <v>19784</v>
      </c>
      <c r="Q15" s="743">
        <v>2338</v>
      </c>
      <c r="R15" s="744">
        <v>133536</v>
      </c>
      <c r="S15" s="745">
        <v>312566</v>
      </c>
      <c r="T15" s="534">
        <f t="shared" si="6"/>
        <v>0.31450694943685598</v>
      </c>
      <c r="U15" s="534">
        <f t="shared" si="7"/>
        <v>0.22059021134736342</v>
      </c>
      <c r="V15" s="535">
        <f t="shared" si="8"/>
        <v>3.6534249952863709E-2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41911</v>
      </c>
      <c r="D16" s="526">
        <f t="shared" si="0"/>
        <v>40687</v>
      </c>
      <c r="E16" s="526">
        <f t="shared" si="1"/>
        <v>40142</v>
      </c>
      <c r="F16" s="740">
        <v>545</v>
      </c>
      <c r="G16" s="741">
        <v>1224</v>
      </c>
      <c r="H16" s="529">
        <f t="shared" si="2"/>
        <v>68716</v>
      </c>
      <c r="I16" s="527">
        <v>66264</v>
      </c>
      <c r="J16" s="759">
        <f t="shared" si="3"/>
        <v>36288</v>
      </c>
      <c r="K16" s="742">
        <v>29976</v>
      </c>
      <c r="L16" s="526">
        <f t="shared" si="4"/>
        <v>2452</v>
      </c>
      <c r="M16" s="740">
        <v>1812</v>
      </c>
      <c r="N16" s="741">
        <v>640</v>
      </c>
      <c r="O16" s="739">
        <v>21945</v>
      </c>
      <c r="P16" s="526">
        <f t="shared" si="5"/>
        <v>19702</v>
      </c>
      <c r="Q16" s="743">
        <v>2243</v>
      </c>
      <c r="R16" s="744">
        <v>133534</v>
      </c>
      <c r="S16" s="749">
        <v>312477</v>
      </c>
      <c r="T16" s="554">
        <f t="shared" si="6"/>
        <v>0.3138601404885647</v>
      </c>
      <c r="U16" s="534">
        <f t="shared" si="7"/>
        <v>0.21990738518354952</v>
      </c>
      <c r="V16" s="535">
        <f t="shared" si="8"/>
        <v>3.5683101461086213E-2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41748</v>
      </c>
      <c r="D17" s="526">
        <f t="shared" si="0"/>
        <v>40581</v>
      </c>
      <c r="E17" s="526">
        <f t="shared" si="1"/>
        <v>40059</v>
      </c>
      <c r="F17" s="740">
        <v>522</v>
      </c>
      <c r="G17" s="754">
        <v>1167</v>
      </c>
      <c r="H17" s="595">
        <f t="shared" si="2"/>
        <v>68419</v>
      </c>
      <c r="I17" s="527">
        <v>66075</v>
      </c>
      <c r="J17" s="759">
        <f t="shared" si="3"/>
        <v>36231</v>
      </c>
      <c r="K17" s="742">
        <v>29844</v>
      </c>
      <c r="L17" s="526">
        <f t="shared" si="4"/>
        <v>2344</v>
      </c>
      <c r="M17" s="740">
        <v>1729</v>
      </c>
      <c r="N17" s="741">
        <v>615</v>
      </c>
      <c r="O17" s="739">
        <v>21804</v>
      </c>
      <c r="P17" s="526">
        <f t="shared" si="5"/>
        <v>19668</v>
      </c>
      <c r="Q17" s="743">
        <v>2136</v>
      </c>
      <c r="R17" s="750">
        <v>133511</v>
      </c>
      <c r="S17" s="751">
        <v>312267</v>
      </c>
      <c r="T17" s="533">
        <f t="shared" si="6"/>
        <v>0.31269333612960731</v>
      </c>
      <c r="U17" s="534">
        <f t="shared" si="7"/>
        <v>0.21910416406472666</v>
      </c>
      <c r="V17" s="535">
        <f t="shared" si="8"/>
        <v>3.4259489323141233E-2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41563</v>
      </c>
      <c r="D18" s="526">
        <f t="shared" si="0"/>
        <v>40450</v>
      </c>
      <c r="E18" s="526">
        <f t="shared" si="1"/>
        <v>39957</v>
      </c>
      <c r="F18" s="740">
        <v>493</v>
      </c>
      <c r="G18" s="754">
        <v>1113</v>
      </c>
      <c r="H18" s="529">
        <f t="shared" si="2"/>
        <v>68081</v>
      </c>
      <c r="I18" s="527">
        <v>65863</v>
      </c>
      <c r="J18" s="759">
        <f t="shared" si="3"/>
        <v>36010</v>
      </c>
      <c r="K18" s="742">
        <v>29853</v>
      </c>
      <c r="L18" s="526">
        <f t="shared" si="4"/>
        <v>2218</v>
      </c>
      <c r="M18" s="740">
        <v>1645</v>
      </c>
      <c r="N18" s="741">
        <v>573</v>
      </c>
      <c r="O18" s="739">
        <v>21583</v>
      </c>
      <c r="P18" s="526">
        <f t="shared" si="5"/>
        <v>19571</v>
      </c>
      <c r="Q18" s="743">
        <v>2012</v>
      </c>
      <c r="R18" s="765">
        <v>133541</v>
      </c>
      <c r="S18" s="766">
        <v>312261</v>
      </c>
      <c r="T18" s="533">
        <f t="shared" si="6"/>
        <v>0.31123774720872244</v>
      </c>
      <c r="U18" s="534">
        <f t="shared" si="7"/>
        <v>0.21802594624368718</v>
      </c>
      <c r="V18" s="535">
        <f t="shared" si="8"/>
        <v>3.2578839911282152E-2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41519</v>
      </c>
      <c r="D19" s="526">
        <f t="shared" si="0"/>
        <v>40475</v>
      </c>
      <c r="E19" s="526">
        <f>C19-G19-F19</f>
        <v>40004</v>
      </c>
      <c r="F19" s="740">
        <v>471</v>
      </c>
      <c r="G19" s="754">
        <v>1044</v>
      </c>
      <c r="H19" s="529">
        <f t="shared" si="2"/>
        <v>67885</v>
      </c>
      <c r="I19" s="527">
        <v>65793</v>
      </c>
      <c r="J19" s="759">
        <f t="shared" si="3"/>
        <v>35956</v>
      </c>
      <c r="K19" s="742">
        <v>29837</v>
      </c>
      <c r="L19" s="526">
        <f t="shared" si="4"/>
        <v>2092</v>
      </c>
      <c r="M19" s="740">
        <v>1551</v>
      </c>
      <c r="N19" s="741">
        <v>541</v>
      </c>
      <c r="O19" s="739">
        <v>21453</v>
      </c>
      <c r="P19" s="526">
        <f t="shared" si="5"/>
        <v>19555</v>
      </c>
      <c r="Q19" s="743">
        <v>1898</v>
      </c>
      <c r="R19" s="756">
        <v>133906</v>
      </c>
      <c r="S19" s="757">
        <v>312115</v>
      </c>
      <c r="T19" s="533">
        <f t="shared" si="6"/>
        <v>0.31006078891162459</v>
      </c>
      <c r="U19" s="534">
        <f t="shared" si="7"/>
        <v>0.21749995995065921</v>
      </c>
      <c r="V19" s="535">
        <f t="shared" si="8"/>
        <v>3.081682256757752E-2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504618</v>
      </c>
      <c r="D20" s="559">
        <f t="shared" si="9"/>
        <v>488903</v>
      </c>
      <c r="E20" s="559">
        <f t="shared" si="9"/>
        <v>481833</v>
      </c>
      <c r="F20" s="559">
        <f t="shared" si="9"/>
        <v>7070</v>
      </c>
      <c r="G20" s="575">
        <f t="shared" si="9"/>
        <v>15715</v>
      </c>
      <c r="H20" s="558">
        <f t="shared" si="9"/>
        <v>830610</v>
      </c>
      <c r="I20" s="559">
        <f t="shared" si="9"/>
        <v>798974</v>
      </c>
      <c r="J20" s="559">
        <f t="shared" si="9"/>
        <v>439369</v>
      </c>
      <c r="K20" s="559">
        <f t="shared" si="9"/>
        <v>359605</v>
      </c>
      <c r="L20" s="559">
        <f t="shared" si="9"/>
        <v>31636</v>
      </c>
      <c r="M20" s="559">
        <f t="shared" si="9"/>
        <v>23395</v>
      </c>
      <c r="N20" s="560">
        <f t="shared" si="9"/>
        <v>8241</v>
      </c>
      <c r="O20" s="558">
        <f t="shared" si="9"/>
        <v>266840</v>
      </c>
      <c r="P20" s="559">
        <f t="shared" si="9"/>
        <v>237752</v>
      </c>
      <c r="Q20" s="560">
        <f t="shared" si="9"/>
        <v>29088</v>
      </c>
      <c r="R20" s="561">
        <f t="shared" si="9"/>
        <v>1601048</v>
      </c>
      <c r="S20" s="562">
        <f t="shared" si="9"/>
        <v>3749943</v>
      </c>
      <c r="T20" s="563">
        <f t="shared" si="6"/>
        <v>0.31517980722626682</v>
      </c>
      <c r="U20" s="564">
        <f t="shared" si="7"/>
        <v>0.22149936679037521</v>
      </c>
      <c r="V20" s="565">
        <f t="shared" si="8"/>
        <v>3.8087670507217584E-2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42051.5</v>
      </c>
      <c r="D21" s="562">
        <f>D20/(COUNTIF(D8:D19,"&gt;0"))</f>
        <v>40741.916666666664</v>
      </c>
      <c r="E21" s="560">
        <f>E20/(COUNTIF(E8:E19,"&gt;0"))</f>
        <v>40152.75</v>
      </c>
      <c r="F21" s="560">
        <f t="shared" ref="F21:S21" si="10">AVERAGE(F8:F19)</f>
        <v>589.16666666666663</v>
      </c>
      <c r="G21" s="575">
        <f t="shared" si="10"/>
        <v>1309.5833333333333</v>
      </c>
      <c r="H21" s="574">
        <f>H20/(COUNTIF(H8:H19,"&gt;0"))</f>
        <v>69217.5</v>
      </c>
      <c r="I21" s="562">
        <f t="shared" si="10"/>
        <v>66581.166666666672</v>
      </c>
      <c r="J21" s="562">
        <f>J20/(COUNTIF(J8:J19,"&gt;0"))</f>
        <v>36614.083333333336</v>
      </c>
      <c r="K21" s="562">
        <f t="shared" si="10"/>
        <v>29967.083333333332</v>
      </c>
      <c r="L21" s="560">
        <f>L20/(COUNTIF(L8:L19,"&gt;0"))</f>
        <v>2636.3333333333335</v>
      </c>
      <c r="M21" s="560">
        <f t="shared" si="10"/>
        <v>1949.5833333333333</v>
      </c>
      <c r="N21" s="575">
        <f t="shared" si="10"/>
        <v>686.75</v>
      </c>
      <c r="O21" s="574">
        <f t="shared" si="10"/>
        <v>22236.666666666668</v>
      </c>
      <c r="P21" s="562">
        <f>P20/(COUNTIF(P8:P19,"&gt;0"))</f>
        <v>19812.666666666668</v>
      </c>
      <c r="Q21" s="562">
        <f t="shared" si="10"/>
        <v>2424</v>
      </c>
      <c r="R21" s="574">
        <f t="shared" si="10"/>
        <v>133420.66666666666</v>
      </c>
      <c r="S21" s="560">
        <f t="shared" si="10"/>
        <v>312495.25</v>
      </c>
      <c r="T21" s="563">
        <f t="shared" si="6"/>
        <v>0.31517980722626682</v>
      </c>
      <c r="U21" s="564">
        <f t="shared" si="7"/>
        <v>0.22149936679037521</v>
      </c>
      <c r="V21" s="565">
        <f t="shared" si="8"/>
        <v>3.8087670507217591E-2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42489</v>
      </c>
      <c r="D23" s="526">
        <f t="shared" si="11"/>
        <v>40934</v>
      </c>
      <c r="E23" s="596">
        <f t="shared" si="11"/>
        <v>40257</v>
      </c>
      <c r="F23" s="596">
        <f t="shared" si="11"/>
        <v>677</v>
      </c>
      <c r="G23" s="597">
        <f t="shared" si="11"/>
        <v>1555</v>
      </c>
      <c r="H23" s="595">
        <f t="shared" si="11"/>
        <v>70418</v>
      </c>
      <c r="I23" s="526">
        <f t="shared" si="11"/>
        <v>67293</v>
      </c>
      <c r="J23" s="596">
        <f t="shared" si="11"/>
        <v>37287</v>
      </c>
      <c r="K23" s="596">
        <f t="shared" si="11"/>
        <v>30006</v>
      </c>
      <c r="L23" s="596">
        <f t="shared" si="11"/>
        <v>3125</v>
      </c>
      <c r="M23" s="596">
        <f t="shared" si="11"/>
        <v>2303</v>
      </c>
      <c r="N23" s="597">
        <f t="shared" si="11"/>
        <v>822</v>
      </c>
      <c r="O23" s="595">
        <f t="shared" si="11"/>
        <v>22868</v>
      </c>
      <c r="P23" s="526">
        <f t="shared" si="11"/>
        <v>19984</v>
      </c>
      <c r="Q23" s="597">
        <f t="shared" si="11"/>
        <v>2884</v>
      </c>
      <c r="R23" s="598">
        <f t="shared" si="11"/>
        <v>132973</v>
      </c>
      <c r="S23" s="526">
        <f t="shared" si="11"/>
        <v>312517</v>
      </c>
      <c r="T23" s="533">
        <f t="shared" ref="T23:T38" si="12">C23/R23</f>
        <v>0.31953103261564375</v>
      </c>
      <c r="U23" s="534">
        <f t="shared" ref="U23:U38" si="13">H23/S23</f>
        <v>0.22532534230137879</v>
      </c>
      <c r="V23" s="535">
        <f t="shared" ref="V23:V38" si="14">L23/H23</f>
        <v>4.4377857934050954E-2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84909</v>
      </c>
      <c r="D24" s="599">
        <f t="shared" si="15"/>
        <v>81867</v>
      </c>
      <c r="E24" s="600">
        <f t="shared" si="15"/>
        <v>80524</v>
      </c>
      <c r="F24" s="600">
        <f t="shared" si="15"/>
        <v>1343</v>
      </c>
      <c r="G24" s="601">
        <f t="shared" si="15"/>
        <v>3042</v>
      </c>
      <c r="H24" s="529">
        <f t="shared" si="15"/>
        <v>140623</v>
      </c>
      <c r="I24" s="599">
        <f t="shared" si="15"/>
        <v>134488</v>
      </c>
      <c r="J24" s="600">
        <f t="shared" si="15"/>
        <v>74448</v>
      </c>
      <c r="K24" s="600">
        <f t="shared" si="15"/>
        <v>60040</v>
      </c>
      <c r="L24" s="600">
        <f t="shared" si="15"/>
        <v>6135</v>
      </c>
      <c r="M24" s="600">
        <f t="shared" si="15"/>
        <v>4523</v>
      </c>
      <c r="N24" s="601">
        <f t="shared" si="15"/>
        <v>1612</v>
      </c>
      <c r="O24" s="529">
        <f t="shared" si="15"/>
        <v>45630</v>
      </c>
      <c r="P24" s="599">
        <f t="shared" si="15"/>
        <v>39964</v>
      </c>
      <c r="Q24" s="601">
        <f t="shared" si="15"/>
        <v>5666</v>
      </c>
      <c r="R24" s="602">
        <f t="shared" si="15"/>
        <v>266167</v>
      </c>
      <c r="S24" s="599">
        <f t="shared" si="15"/>
        <v>625163</v>
      </c>
      <c r="T24" s="603">
        <f t="shared" si="12"/>
        <v>0.31900648840765383</v>
      </c>
      <c r="U24" s="604">
        <f t="shared" si="13"/>
        <v>0.22493813613409622</v>
      </c>
      <c r="V24" s="605">
        <f t="shared" si="14"/>
        <v>4.3627287143639379E-2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127310</v>
      </c>
      <c r="D25" s="599">
        <f t="shared" si="16"/>
        <v>122811</v>
      </c>
      <c r="E25" s="600">
        <f t="shared" si="16"/>
        <v>120817</v>
      </c>
      <c r="F25" s="600">
        <f t="shared" si="16"/>
        <v>1994</v>
      </c>
      <c r="G25" s="601">
        <f t="shared" si="16"/>
        <v>4499</v>
      </c>
      <c r="H25" s="529">
        <f t="shared" si="16"/>
        <v>210745</v>
      </c>
      <c r="I25" s="599">
        <f t="shared" si="16"/>
        <v>201660</v>
      </c>
      <c r="J25" s="600">
        <f t="shared" si="16"/>
        <v>111575</v>
      </c>
      <c r="K25" s="600">
        <f t="shared" si="16"/>
        <v>90085</v>
      </c>
      <c r="L25" s="600">
        <f t="shared" si="16"/>
        <v>9085</v>
      </c>
      <c r="M25" s="600">
        <f t="shared" si="16"/>
        <v>6693</v>
      </c>
      <c r="N25" s="601">
        <f t="shared" si="16"/>
        <v>2392</v>
      </c>
      <c r="O25" s="529">
        <f t="shared" si="16"/>
        <v>68343</v>
      </c>
      <c r="P25" s="599">
        <f t="shared" si="16"/>
        <v>59949</v>
      </c>
      <c r="Q25" s="601">
        <f t="shared" si="16"/>
        <v>8394</v>
      </c>
      <c r="R25" s="602">
        <f t="shared" si="16"/>
        <v>399403</v>
      </c>
      <c r="S25" s="599">
        <f t="shared" si="16"/>
        <v>937817</v>
      </c>
      <c r="T25" s="603">
        <f t="shared" si="12"/>
        <v>0.318750735472693</v>
      </c>
      <c r="U25" s="604">
        <f t="shared" si="13"/>
        <v>0.22471868178973084</v>
      </c>
      <c r="V25" s="605">
        <f t="shared" si="14"/>
        <v>4.3108970556834089E-2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169587</v>
      </c>
      <c r="D26" s="599">
        <f t="shared" si="17"/>
        <v>163668</v>
      </c>
      <c r="E26" s="600">
        <f t="shared" si="17"/>
        <v>161041</v>
      </c>
      <c r="F26" s="600">
        <f t="shared" si="17"/>
        <v>2627</v>
      </c>
      <c r="G26" s="601">
        <f>SUM(G8:G11)</f>
        <v>5919</v>
      </c>
      <c r="H26" s="529">
        <f t="shared" si="17"/>
        <v>280600</v>
      </c>
      <c r="I26" s="599">
        <f t="shared" si="17"/>
        <v>268658</v>
      </c>
      <c r="J26" s="600">
        <f t="shared" si="17"/>
        <v>148544</v>
      </c>
      <c r="K26" s="600">
        <f t="shared" si="17"/>
        <v>120114</v>
      </c>
      <c r="L26" s="600">
        <f t="shared" si="17"/>
        <v>11942</v>
      </c>
      <c r="M26" s="600">
        <f t="shared" si="17"/>
        <v>8807</v>
      </c>
      <c r="N26" s="601">
        <f t="shared" si="17"/>
        <v>3135</v>
      </c>
      <c r="O26" s="529">
        <f t="shared" si="17"/>
        <v>90982</v>
      </c>
      <c r="P26" s="599">
        <f t="shared" si="17"/>
        <v>79940</v>
      </c>
      <c r="Q26" s="601">
        <f t="shared" si="17"/>
        <v>11042</v>
      </c>
      <c r="R26" s="602">
        <f t="shared" si="17"/>
        <v>532737</v>
      </c>
      <c r="S26" s="599">
        <f t="shared" si="17"/>
        <v>1250551</v>
      </c>
      <c r="T26" s="603">
        <f t="shared" si="12"/>
        <v>0.31833155947493791</v>
      </c>
      <c r="U26" s="604">
        <f t="shared" si="13"/>
        <v>0.22438109281428747</v>
      </c>
      <c r="V26" s="605">
        <f t="shared" si="14"/>
        <v>4.255880256593015E-2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211738</v>
      </c>
      <c r="D27" s="599">
        <f t="shared" si="18"/>
        <v>204442</v>
      </c>
      <c r="E27" s="600">
        <f t="shared" si="18"/>
        <v>201165</v>
      </c>
      <c r="F27" s="600">
        <f t="shared" si="18"/>
        <v>3277</v>
      </c>
      <c r="G27" s="601">
        <f t="shared" si="18"/>
        <v>7296</v>
      </c>
      <c r="H27" s="529">
        <f t="shared" si="18"/>
        <v>350134</v>
      </c>
      <c r="I27" s="599">
        <f t="shared" si="18"/>
        <v>335394</v>
      </c>
      <c r="J27" s="600">
        <f t="shared" si="18"/>
        <v>185312</v>
      </c>
      <c r="K27" s="600">
        <f t="shared" si="18"/>
        <v>150082</v>
      </c>
      <c r="L27" s="600">
        <f t="shared" si="18"/>
        <v>14740</v>
      </c>
      <c r="M27" s="600">
        <f t="shared" si="18"/>
        <v>10886</v>
      </c>
      <c r="N27" s="601">
        <f t="shared" si="18"/>
        <v>3854</v>
      </c>
      <c r="O27" s="529">
        <f t="shared" si="18"/>
        <v>113430</v>
      </c>
      <c r="P27" s="599">
        <f t="shared" si="18"/>
        <v>99815</v>
      </c>
      <c r="Q27" s="601">
        <f t="shared" si="18"/>
        <v>13615</v>
      </c>
      <c r="R27" s="602">
        <f t="shared" si="18"/>
        <v>666100</v>
      </c>
      <c r="S27" s="599">
        <f t="shared" si="18"/>
        <v>1563133</v>
      </c>
      <c r="T27" s="603">
        <f t="shared" si="12"/>
        <v>0.31787719561627381</v>
      </c>
      <c r="U27" s="604">
        <f t="shared" si="13"/>
        <v>0.22399501513946671</v>
      </c>
      <c r="V27" s="605">
        <f t="shared" si="14"/>
        <v>4.2098168129915972E-2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253809</v>
      </c>
      <c r="D28" s="599">
        <f t="shared" si="19"/>
        <v>245194</v>
      </c>
      <c r="E28" s="600">
        <f t="shared" si="19"/>
        <v>241301</v>
      </c>
      <c r="F28" s="600">
        <f t="shared" si="19"/>
        <v>3893</v>
      </c>
      <c r="G28" s="601">
        <f t="shared" si="19"/>
        <v>8615</v>
      </c>
      <c r="H28" s="529">
        <f t="shared" si="19"/>
        <v>419407</v>
      </c>
      <c r="I28" s="599">
        <f t="shared" si="19"/>
        <v>402002</v>
      </c>
      <c r="J28" s="600">
        <f t="shared" si="19"/>
        <v>221933</v>
      </c>
      <c r="K28" s="600">
        <f t="shared" si="19"/>
        <v>180069</v>
      </c>
      <c r="L28" s="600">
        <f t="shared" si="19"/>
        <v>17405</v>
      </c>
      <c r="M28" s="600">
        <f t="shared" si="19"/>
        <v>12867</v>
      </c>
      <c r="N28" s="601">
        <f t="shared" si="19"/>
        <v>4538</v>
      </c>
      <c r="O28" s="529">
        <f t="shared" si="19"/>
        <v>135705</v>
      </c>
      <c r="P28" s="599">
        <f t="shared" si="19"/>
        <v>119646</v>
      </c>
      <c r="Q28" s="601">
        <f t="shared" si="19"/>
        <v>16059</v>
      </c>
      <c r="R28" s="602">
        <f t="shared" si="19"/>
        <v>799532</v>
      </c>
      <c r="S28" s="599">
        <f t="shared" si="19"/>
        <v>1875672</v>
      </c>
      <c r="T28" s="603">
        <f t="shared" si="12"/>
        <v>0.31744695646953469</v>
      </c>
      <c r="U28" s="604">
        <f t="shared" si="13"/>
        <v>0.2236035938053135</v>
      </c>
      <c r="V28" s="605">
        <f t="shared" si="14"/>
        <v>4.1499068923503898E-2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295879</v>
      </c>
      <c r="D29" s="599">
        <f t="shared" si="20"/>
        <v>285969</v>
      </c>
      <c r="E29" s="600">
        <f t="shared" si="20"/>
        <v>281487</v>
      </c>
      <c r="F29" s="600">
        <f t="shared" si="20"/>
        <v>4482</v>
      </c>
      <c r="G29" s="601">
        <f t="shared" si="20"/>
        <v>9910</v>
      </c>
      <c r="H29" s="529">
        <f t="shared" si="20"/>
        <v>488560</v>
      </c>
      <c r="I29" s="599">
        <f t="shared" si="20"/>
        <v>468549</v>
      </c>
      <c r="J29" s="600">
        <f t="shared" si="20"/>
        <v>258467</v>
      </c>
      <c r="K29" s="600">
        <f t="shared" si="20"/>
        <v>210082</v>
      </c>
      <c r="L29" s="600">
        <f t="shared" si="20"/>
        <v>20011</v>
      </c>
      <c r="M29" s="600">
        <f t="shared" si="20"/>
        <v>14797</v>
      </c>
      <c r="N29" s="601">
        <f t="shared" si="20"/>
        <v>5214</v>
      </c>
      <c r="O29" s="529">
        <f t="shared" si="20"/>
        <v>157933</v>
      </c>
      <c r="P29" s="599">
        <f t="shared" si="20"/>
        <v>139472</v>
      </c>
      <c r="Q29" s="601">
        <f t="shared" si="20"/>
        <v>18461</v>
      </c>
      <c r="R29" s="602">
        <f t="shared" si="20"/>
        <v>933020</v>
      </c>
      <c r="S29" s="599">
        <f t="shared" si="20"/>
        <v>2188257</v>
      </c>
      <c r="T29" s="603">
        <f t="shared" si="12"/>
        <v>0.31711967589119205</v>
      </c>
      <c r="U29" s="604">
        <f t="shared" si="13"/>
        <v>0.22326445202734413</v>
      </c>
      <c r="V29" s="605">
        <f t="shared" si="14"/>
        <v>4.0959145243163582E-2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337877</v>
      </c>
      <c r="D30" s="599">
        <f t="shared" si="21"/>
        <v>326710</v>
      </c>
      <c r="E30" s="600">
        <f t="shared" si="21"/>
        <v>321671</v>
      </c>
      <c r="F30" s="600">
        <f t="shared" si="21"/>
        <v>5039</v>
      </c>
      <c r="G30" s="601">
        <f t="shared" si="21"/>
        <v>11167</v>
      </c>
      <c r="H30" s="529">
        <f t="shared" si="21"/>
        <v>557509</v>
      </c>
      <c r="I30" s="599">
        <f t="shared" si="21"/>
        <v>534979</v>
      </c>
      <c r="J30" s="600">
        <f t="shared" si="21"/>
        <v>294884</v>
      </c>
      <c r="K30" s="600">
        <f t="shared" si="21"/>
        <v>240095</v>
      </c>
      <c r="L30" s="600">
        <f t="shared" si="21"/>
        <v>22530</v>
      </c>
      <c r="M30" s="600">
        <f t="shared" si="21"/>
        <v>16658</v>
      </c>
      <c r="N30" s="601">
        <f t="shared" si="21"/>
        <v>5872</v>
      </c>
      <c r="O30" s="529">
        <f t="shared" si="21"/>
        <v>180055</v>
      </c>
      <c r="P30" s="599">
        <f t="shared" si="21"/>
        <v>159256</v>
      </c>
      <c r="Q30" s="601">
        <f t="shared" si="21"/>
        <v>20799</v>
      </c>
      <c r="R30" s="602">
        <f t="shared" si="21"/>
        <v>1066556</v>
      </c>
      <c r="S30" s="599">
        <f t="shared" si="21"/>
        <v>2500823</v>
      </c>
      <c r="T30" s="603">
        <f t="shared" si="12"/>
        <v>0.31679255472755297</v>
      </c>
      <c r="U30" s="604">
        <f t="shared" si="13"/>
        <v>0.22293021137441554</v>
      </c>
      <c r="V30" s="605">
        <f t="shared" si="14"/>
        <v>4.0411903664335461E-2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379788</v>
      </c>
      <c r="D31" s="599">
        <f t="shared" si="22"/>
        <v>367397</v>
      </c>
      <c r="E31" s="600">
        <f t="shared" si="22"/>
        <v>361813</v>
      </c>
      <c r="F31" s="600">
        <f t="shared" si="22"/>
        <v>5584</v>
      </c>
      <c r="G31" s="601">
        <f t="shared" si="22"/>
        <v>12391</v>
      </c>
      <c r="H31" s="529">
        <f t="shared" si="22"/>
        <v>626225</v>
      </c>
      <c r="I31" s="599">
        <f t="shared" si="22"/>
        <v>601243</v>
      </c>
      <c r="J31" s="600">
        <f t="shared" si="22"/>
        <v>331172</v>
      </c>
      <c r="K31" s="600">
        <f t="shared" si="22"/>
        <v>270071</v>
      </c>
      <c r="L31" s="600">
        <f t="shared" si="22"/>
        <v>24982</v>
      </c>
      <c r="M31" s="600">
        <f t="shared" si="22"/>
        <v>18470</v>
      </c>
      <c r="N31" s="601">
        <f t="shared" si="22"/>
        <v>6512</v>
      </c>
      <c r="O31" s="529">
        <f t="shared" si="22"/>
        <v>202000</v>
      </c>
      <c r="P31" s="599">
        <f t="shared" si="22"/>
        <v>178958</v>
      </c>
      <c r="Q31" s="601">
        <f t="shared" si="22"/>
        <v>23042</v>
      </c>
      <c r="R31" s="602">
        <f t="shared" si="22"/>
        <v>1200090</v>
      </c>
      <c r="S31" s="599">
        <f t="shared" si="22"/>
        <v>2813300</v>
      </c>
      <c r="T31" s="603">
        <f t="shared" si="12"/>
        <v>0.31646626503012276</v>
      </c>
      <c r="U31" s="604">
        <f t="shared" si="13"/>
        <v>0.22259446201969219</v>
      </c>
      <c r="V31" s="605">
        <f t="shared" si="14"/>
        <v>3.9893009700986068E-2</v>
      </c>
    </row>
    <row r="32" spans="1:45" ht="20.149999999999999" customHeight="1" x14ac:dyDescent="0.2">
      <c r="B32" s="537" t="s">
        <v>63</v>
      </c>
      <c r="C32" s="529">
        <f t="shared" ref="C32:S32" si="23">SUM(C8:C17)</f>
        <v>421536</v>
      </c>
      <c r="D32" s="599">
        <f t="shared" si="23"/>
        <v>407978</v>
      </c>
      <c r="E32" s="600">
        <f t="shared" si="23"/>
        <v>401872</v>
      </c>
      <c r="F32" s="600">
        <f t="shared" si="23"/>
        <v>6106</v>
      </c>
      <c r="G32" s="601">
        <f t="shared" si="23"/>
        <v>13558</v>
      </c>
      <c r="H32" s="529">
        <f t="shared" si="23"/>
        <v>694644</v>
      </c>
      <c r="I32" s="599">
        <f t="shared" si="23"/>
        <v>667318</v>
      </c>
      <c r="J32" s="600">
        <f t="shared" si="23"/>
        <v>367403</v>
      </c>
      <c r="K32" s="600">
        <f t="shared" si="23"/>
        <v>299915</v>
      </c>
      <c r="L32" s="600">
        <f t="shared" si="23"/>
        <v>27326</v>
      </c>
      <c r="M32" s="600">
        <f t="shared" si="23"/>
        <v>20199</v>
      </c>
      <c r="N32" s="601">
        <f t="shared" si="23"/>
        <v>7127</v>
      </c>
      <c r="O32" s="529">
        <f t="shared" si="23"/>
        <v>223804</v>
      </c>
      <c r="P32" s="599">
        <f t="shared" si="23"/>
        <v>198626</v>
      </c>
      <c r="Q32" s="601">
        <f t="shared" si="23"/>
        <v>25178</v>
      </c>
      <c r="R32" s="602">
        <f t="shared" si="23"/>
        <v>1333601</v>
      </c>
      <c r="S32" s="599">
        <f t="shared" si="23"/>
        <v>3125567</v>
      </c>
      <c r="T32" s="603">
        <f t="shared" si="12"/>
        <v>0.31608854522454616</v>
      </c>
      <c r="U32" s="604">
        <f t="shared" si="13"/>
        <v>0.22224575573008035</v>
      </c>
      <c r="V32" s="605">
        <f t="shared" si="14"/>
        <v>3.9338135793298437E-2</v>
      </c>
    </row>
    <row r="33" spans="1:35" ht="20.149999999999999" customHeight="1" x14ac:dyDescent="0.2">
      <c r="B33" s="537" t="s">
        <v>64</v>
      </c>
      <c r="C33" s="529">
        <f t="shared" ref="C33:S33" si="24">SUM(C8:C18)</f>
        <v>463099</v>
      </c>
      <c r="D33" s="599">
        <f t="shared" si="24"/>
        <v>448428</v>
      </c>
      <c r="E33" s="600">
        <f t="shared" si="24"/>
        <v>441829</v>
      </c>
      <c r="F33" s="600">
        <f t="shared" si="24"/>
        <v>6599</v>
      </c>
      <c r="G33" s="601">
        <f t="shared" si="24"/>
        <v>14671</v>
      </c>
      <c r="H33" s="529">
        <f t="shared" si="24"/>
        <v>762725</v>
      </c>
      <c r="I33" s="599">
        <f t="shared" si="24"/>
        <v>733181</v>
      </c>
      <c r="J33" s="600">
        <f t="shared" si="24"/>
        <v>403413</v>
      </c>
      <c r="K33" s="600">
        <f t="shared" si="24"/>
        <v>329768</v>
      </c>
      <c r="L33" s="600">
        <f t="shared" si="24"/>
        <v>29544</v>
      </c>
      <c r="M33" s="600">
        <f t="shared" si="24"/>
        <v>21844</v>
      </c>
      <c r="N33" s="601">
        <f t="shared" si="24"/>
        <v>7700</v>
      </c>
      <c r="O33" s="529">
        <f t="shared" si="24"/>
        <v>245387</v>
      </c>
      <c r="P33" s="599">
        <f t="shared" si="24"/>
        <v>218197</v>
      </c>
      <c r="Q33" s="601">
        <f t="shared" si="24"/>
        <v>27190</v>
      </c>
      <c r="R33" s="602">
        <f t="shared" si="24"/>
        <v>1467142</v>
      </c>
      <c r="S33" s="599">
        <f t="shared" si="24"/>
        <v>3437828</v>
      </c>
      <c r="T33" s="603">
        <f t="shared" si="12"/>
        <v>0.31564701985220245</v>
      </c>
      <c r="U33" s="604">
        <f t="shared" si="13"/>
        <v>0.22186246665045489</v>
      </c>
      <c r="V33" s="605">
        <f t="shared" si="14"/>
        <v>3.8734799567340786E-2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504618</v>
      </c>
      <c r="D34" s="608">
        <f t="shared" si="25"/>
        <v>488903</v>
      </c>
      <c r="E34" s="609">
        <f t="shared" si="25"/>
        <v>481833</v>
      </c>
      <c r="F34" s="609">
        <f t="shared" si="25"/>
        <v>7070</v>
      </c>
      <c r="G34" s="610">
        <f t="shared" si="25"/>
        <v>15715</v>
      </c>
      <c r="H34" s="607">
        <f t="shared" si="25"/>
        <v>830610</v>
      </c>
      <c r="I34" s="608">
        <f t="shared" si="25"/>
        <v>798974</v>
      </c>
      <c r="J34" s="609">
        <f t="shared" si="25"/>
        <v>439369</v>
      </c>
      <c r="K34" s="609">
        <f t="shared" si="25"/>
        <v>359605</v>
      </c>
      <c r="L34" s="609">
        <f t="shared" si="25"/>
        <v>31636</v>
      </c>
      <c r="M34" s="609">
        <f t="shared" si="25"/>
        <v>23395</v>
      </c>
      <c r="N34" s="610">
        <f t="shared" si="25"/>
        <v>8241</v>
      </c>
      <c r="O34" s="607">
        <f t="shared" si="25"/>
        <v>266840</v>
      </c>
      <c r="P34" s="608">
        <f t="shared" si="25"/>
        <v>237752</v>
      </c>
      <c r="Q34" s="610">
        <f t="shared" si="25"/>
        <v>29088</v>
      </c>
      <c r="R34" s="611">
        <f t="shared" si="25"/>
        <v>1601048</v>
      </c>
      <c r="S34" s="608">
        <f t="shared" si="25"/>
        <v>3749943</v>
      </c>
      <c r="T34" s="612">
        <f t="shared" si="12"/>
        <v>0.31517980722626682</v>
      </c>
      <c r="U34" s="613">
        <f t="shared" si="13"/>
        <v>0.22149936679037521</v>
      </c>
      <c r="V34" s="614">
        <f t="shared" si="14"/>
        <v>3.8087670507217584E-2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505206</v>
      </c>
      <c r="D35" s="616">
        <f t="shared" si="26"/>
        <v>488936</v>
      </c>
      <c r="E35" s="616">
        <f t="shared" si="26"/>
        <v>481645</v>
      </c>
      <c r="F35" s="616">
        <f t="shared" si="26"/>
        <v>7291</v>
      </c>
      <c r="G35" s="617">
        <f t="shared" si="26"/>
        <v>16270</v>
      </c>
      <c r="H35" s="618">
        <f t="shared" si="26"/>
        <v>832572</v>
      </c>
      <c r="I35" s="616">
        <f t="shared" si="26"/>
        <v>799803</v>
      </c>
      <c r="J35" s="616">
        <f t="shared" si="26"/>
        <v>440263</v>
      </c>
      <c r="K35" s="616">
        <f t="shared" si="26"/>
        <v>359540</v>
      </c>
      <c r="L35" s="616">
        <f t="shared" si="26"/>
        <v>32769</v>
      </c>
      <c r="M35" s="616">
        <f t="shared" si="26"/>
        <v>24204</v>
      </c>
      <c r="N35" s="619">
        <f t="shared" si="26"/>
        <v>8565</v>
      </c>
      <c r="O35" s="618">
        <f t="shared" si="26"/>
        <v>267978</v>
      </c>
      <c r="P35" s="616">
        <f t="shared" si="26"/>
        <v>237821</v>
      </c>
      <c r="Q35" s="619">
        <f t="shared" si="26"/>
        <v>30157</v>
      </c>
      <c r="R35" s="618">
        <f t="shared" si="26"/>
        <v>1599693</v>
      </c>
      <c r="S35" s="616">
        <f t="shared" si="26"/>
        <v>3749934</v>
      </c>
      <c r="T35" s="620">
        <f t="shared" si="12"/>
        <v>0.31581434687780718</v>
      </c>
      <c r="U35" s="620">
        <f t="shared" si="13"/>
        <v>0.22202310760669389</v>
      </c>
      <c r="V35" s="621">
        <f t="shared" si="14"/>
        <v>3.9358758161456307E-2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42101</v>
      </c>
      <c r="D36" s="626">
        <f>E36+F36</f>
        <v>40745</v>
      </c>
      <c r="E36" s="626">
        <f>C36-F36-G36</f>
        <v>40137</v>
      </c>
      <c r="F36" s="626">
        <f>ROUND(AVERAGE(F7:F18),0)</f>
        <v>608</v>
      </c>
      <c r="G36" s="627">
        <f>ROUND(AVERAGE(G7:G18),0)</f>
        <v>1356</v>
      </c>
      <c r="H36" s="625">
        <f>L36+I36</f>
        <v>69381</v>
      </c>
      <c r="I36" s="626">
        <f>ROUND(AVERAGE(I7:I18),0)</f>
        <v>66650</v>
      </c>
      <c r="J36" s="626">
        <f>J35/(COUNTIF(J7:J18,"&gt;0"))</f>
        <v>36688.583333333336</v>
      </c>
      <c r="K36" s="626">
        <f>AVERAGE(K7:K18)</f>
        <v>29961.666666666668</v>
      </c>
      <c r="L36" s="626">
        <f>ROUND(L35/(COUNTIF(L7:L18,"&gt;0")),0)</f>
        <v>2731</v>
      </c>
      <c r="M36" s="626">
        <f>ROUND(AVERAGE(M7:M18),0)</f>
        <v>2017</v>
      </c>
      <c r="N36" s="628">
        <f>L36-M36</f>
        <v>714</v>
      </c>
      <c r="O36" s="625">
        <f>AVERAGE(O7:O18)</f>
        <v>22331.5</v>
      </c>
      <c r="P36" s="626">
        <f>P35/(COUNTIF(P7:P18,"&gt;0"))</f>
        <v>19818.416666666668</v>
      </c>
      <c r="Q36" s="628">
        <f>AVERAGE(Q7:Q18)</f>
        <v>2513.0833333333335</v>
      </c>
      <c r="R36" s="625">
        <f>AVERAGE(R7:R18)</f>
        <v>133307.75</v>
      </c>
      <c r="S36" s="626">
        <f>AVERAGE(S7:S18)</f>
        <v>312494.5</v>
      </c>
      <c r="T36" s="629">
        <f t="shared" si="12"/>
        <v>0.31581809759747653</v>
      </c>
      <c r="U36" s="630">
        <f t="shared" si="13"/>
        <v>0.22202310760669389</v>
      </c>
      <c r="V36" s="631">
        <f t="shared" si="14"/>
        <v>3.9362361453423846E-2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506337</v>
      </c>
      <c r="D37" s="635">
        <f t="shared" si="27"/>
        <v>489020</v>
      </c>
      <c r="E37" s="636">
        <f t="shared" si="27"/>
        <v>481260</v>
      </c>
      <c r="F37" s="636">
        <f t="shared" si="27"/>
        <v>7760</v>
      </c>
      <c r="G37" s="637">
        <f t="shared" si="27"/>
        <v>17317</v>
      </c>
      <c r="H37" s="634">
        <f t="shared" si="27"/>
        <v>836375</v>
      </c>
      <c r="I37" s="635">
        <f t="shared" si="27"/>
        <v>801362</v>
      </c>
      <c r="J37" s="636">
        <f t="shared" si="27"/>
        <v>442004</v>
      </c>
      <c r="K37" s="636">
        <f t="shared" si="27"/>
        <v>359358</v>
      </c>
      <c r="L37" s="636">
        <f t="shared" si="27"/>
        <v>35013</v>
      </c>
      <c r="M37" s="636">
        <f t="shared" si="27"/>
        <v>25796</v>
      </c>
      <c r="N37" s="637">
        <f t="shared" si="27"/>
        <v>9217</v>
      </c>
      <c r="O37" s="634">
        <f t="shared" si="27"/>
        <v>270218</v>
      </c>
      <c r="P37" s="638">
        <f t="shared" si="27"/>
        <v>238002</v>
      </c>
      <c r="Q37" s="637">
        <f t="shared" si="27"/>
        <v>32216</v>
      </c>
      <c r="R37" s="634">
        <f t="shared" si="27"/>
        <v>1597026</v>
      </c>
      <c r="S37" s="635">
        <f t="shared" si="27"/>
        <v>3750588</v>
      </c>
      <c r="T37" s="639">
        <f t="shared" si="12"/>
        <v>0.31704994157890981</v>
      </c>
      <c r="U37" s="639">
        <f t="shared" si="13"/>
        <v>0.22299836718935803</v>
      </c>
      <c r="V37" s="640">
        <f t="shared" si="14"/>
        <v>4.1862800777163353E-2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42194.75</v>
      </c>
      <c r="D38" s="643">
        <f t="shared" ref="D38:S38" si="28">D37/(COUNTIF(D8:D16,"&gt;0")+3)</f>
        <v>40751.666666666664</v>
      </c>
      <c r="E38" s="644">
        <f t="shared" si="28"/>
        <v>40105</v>
      </c>
      <c r="F38" s="644">
        <f t="shared" si="28"/>
        <v>646.66666666666663</v>
      </c>
      <c r="G38" s="645">
        <f t="shared" si="28"/>
        <v>1443.0833333333333</v>
      </c>
      <c r="H38" s="642">
        <f t="shared" si="28"/>
        <v>69697.916666666672</v>
      </c>
      <c r="I38" s="643">
        <f t="shared" si="28"/>
        <v>66780.166666666672</v>
      </c>
      <c r="J38" s="644">
        <f t="shared" si="28"/>
        <v>36833.666666666664</v>
      </c>
      <c r="K38" s="644">
        <f t="shared" si="28"/>
        <v>29946.5</v>
      </c>
      <c r="L38" s="644">
        <f t="shared" si="28"/>
        <v>2917.75</v>
      </c>
      <c r="M38" s="644">
        <f t="shared" si="28"/>
        <v>2149.6666666666665</v>
      </c>
      <c r="N38" s="645">
        <f t="shared" si="28"/>
        <v>768.08333333333337</v>
      </c>
      <c r="O38" s="642">
        <f t="shared" si="28"/>
        <v>22518.166666666668</v>
      </c>
      <c r="P38" s="646">
        <f t="shared" si="28"/>
        <v>19833.5</v>
      </c>
      <c r="Q38" s="645">
        <f t="shared" si="28"/>
        <v>2684.6666666666665</v>
      </c>
      <c r="R38" s="642">
        <f t="shared" si="28"/>
        <v>133085.5</v>
      </c>
      <c r="S38" s="643">
        <f t="shared" si="28"/>
        <v>312549</v>
      </c>
      <c r="T38" s="647">
        <f t="shared" si="12"/>
        <v>0.31704994157890981</v>
      </c>
      <c r="U38" s="647">
        <f t="shared" si="13"/>
        <v>0.22299836718935806</v>
      </c>
      <c r="V38" s="648">
        <f t="shared" si="14"/>
        <v>4.1862800777163353E-2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D2" sqref="D2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2846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SUM(平成27年度!C17:C19)</f>
        <v>124830</v>
      </c>
      <c r="D2" s="480">
        <f>SUM(平成27年度!D17:D19)</f>
        <v>121506</v>
      </c>
      <c r="E2" s="480">
        <f>SUM(平成27年度!E17:E19)</f>
        <v>120020</v>
      </c>
      <c r="F2" s="480">
        <f>SUM(平成27年度!F17:F19)</f>
        <v>1486</v>
      </c>
      <c r="G2" s="480">
        <f>SUM(平成27年度!G17:G19)</f>
        <v>3324</v>
      </c>
      <c r="H2" s="480">
        <f>SUM(平成27年度!H17:H19)</f>
        <v>204385</v>
      </c>
      <c r="I2" s="480">
        <f>SUM(平成27年度!I17:I19)</f>
        <v>197731</v>
      </c>
      <c r="J2" s="480">
        <f>SUM(平成27年度!J17:J19)</f>
        <v>108197</v>
      </c>
      <c r="K2" s="480">
        <f>SUM(平成27年度!K17:K19)</f>
        <v>89534</v>
      </c>
      <c r="L2" s="480">
        <f>SUM(平成27年度!L17:L19)</f>
        <v>6654</v>
      </c>
      <c r="M2" s="480">
        <f>SUM(平成27年度!M17:M19)</f>
        <v>4925</v>
      </c>
      <c r="N2" s="480">
        <f>SUM(平成27年度!N17:N19)</f>
        <v>1729</v>
      </c>
      <c r="O2" s="480">
        <f>SUM(平成27年度!O17:O19)</f>
        <v>64840</v>
      </c>
      <c r="P2" s="480">
        <f>SUM(平成27年度!P17:P19)</f>
        <v>58794</v>
      </c>
      <c r="Q2" s="480">
        <f>SUM(平成27年度!Q17:Q19)</f>
        <v>6046</v>
      </c>
      <c r="R2" s="480">
        <f>SUM(平成27年度!R17:R19)</f>
        <v>400958</v>
      </c>
      <c r="S2" s="480">
        <f>SUM(平成27年度!S17:S19)</f>
        <v>936643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2847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739">
        <v>41519</v>
      </c>
      <c r="D7" s="526">
        <v>40475</v>
      </c>
      <c r="E7" s="526">
        <v>40004</v>
      </c>
      <c r="F7" s="740">
        <v>471</v>
      </c>
      <c r="G7" s="754">
        <v>1044</v>
      </c>
      <c r="H7" s="529">
        <v>67885</v>
      </c>
      <c r="I7" s="527">
        <v>65793</v>
      </c>
      <c r="J7" s="759">
        <v>35956</v>
      </c>
      <c r="K7" s="742">
        <v>29837</v>
      </c>
      <c r="L7" s="526">
        <v>2092</v>
      </c>
      <c r="M7" s="740">
        <v>1551</v>
      </c>
      <c r="N7" s="741">
        <v>541</v>
      </c>
      <c r="O7" s="739">
        <v>21453</v>
      </c>
      <c r="P7" s="526">
        <v>19555</v>
      </c>
      <c r="Q7" s="743">
        <v>1898</v>
      </c>
      <c r="R7" s="756">
        <v>133906</v>
      </c>
      <c r="S7" s="757">
        <v>312115</v>
      </c>
      <c r="T7" s="533">
        <v>0.31006078891162459</v>
      </c>
      <c r="U7" s="534">
        <v>0.21749995995065921</v>
      </c>
      <c r="V7" s="535">
        <v>3.081682256757752E-2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41799</v>
      </c>
      <c r="D8" s="526">
        <f t="shared" ref="D8:D19" si="0">E8+F8</f>
        <v>40815</v>
      </c>
      <c r="E8" s="526">
        <f t="shared" ref="E8:E18" si="1">C8-G8-F8</f>
        <v>40367</v>
      </c>
      <c r="F8" s="740">
        <v>448</v>
      </c>
      <c r="G8" s="741">
        <v>984</v>
      </c>
      <c r="H8" s="529">
        <f t="shared" ref="H8:H19" si="2">I8+L8</f>
        <v>68297</v>
      </c>
      <c r="I8" s="527">
        <v>66307</v>
      </c>
      <c r="J8" s="759">
        <f t="shared" ref="J8:J19" si="3">I8-K8</f>
        <v>36245</v>
      </c>
      <c r="K8" s="742">
        <v>30062</v>
      </c>
      <c r="L8" s="526">
        <f t="shared" ref="L8:L19" si="4">M8+N8</f>
        <v>1990</v>
      </c>
      <c r="M8" s="740">
        <v>1464</v>
      </c>
      <c r="N8" s="741">
        <v>526</v>
      </c>
      <c r="O8" s="739">
        <v>21683</v>
      </c>
      <c r="P8" s="526">
        <f t="shared" ref="P8:P19" si="5">O8-Q8</f>
        <v>19864</v>
      </c>
      <c r="Q8" s="743">
        <v>1819</v>
      </c>
      <c r="R8" s="744">
        <v>134102</v>
      </c>
      <c r="S8" s="745">
        <v>312127</v>
      </c>
      <c r="T8" s="534">
        <f t="shared" ref="T8:T21" si="6">C8/R8</f>
        <v>0.31169557501006695</v>
      </c>
      <c r="U8" s="534">
        <f t="shared" ref="U8:U21" si="7">H8/S8</f>
        <v>0.21881157349412259</v>
      </c>
      <c r="V8" s="535">
        <f t="shared" ref="V8:V21" si="8">L8/H8</f>
        <v>2.9137443811587626E-2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41722</v>
      </c>
      <c r="D9" s="526">
        <f t="shared" si="0"/>
        <v>40777</v>
      </c>
      <c r="E9" s="526">
        <f t="shared" si="1"/>
        <v>40350</v>
      </c>
      <c r="F9" s="740">
        <v>427</v>
      </c>
      <c r="G9" s="741">
        <v>945</v>
      </c>
      <c r="H9" s="529">
        <f t="shared" si="2"/>
        <v>68099</v>
      </c>
      <c r="I9" s="527">
        <v>66195</v>
      </c>
      <c r="J9" s="759">
        <f t="shared" si="3"/>
        <v>36131</v>
      </c>
      <c r="K9" s="742">
        <v>30064</v>
      </c>
      <c r="L9" s="526">
        <f t="shared" si="4"/>
        <v>1904</v>
      </c>
      <c r="M9" s="740">
        <v>1403</v>
      </c>
      <c r="N9" s="741">
        <v>501</v>
      </c>
      <c r="O9" s="739">
        <v>21564</v>
      </c>
      <c r="P9" s="526">
        <f t="shared" si="5"/>
        <v>19840</v>
      </c>
      <c r="Q9" s="743">
        <v>1724</v>
      </c>
      <c r="R9" s="746">
        <v>134315</v>
      </c>
      <c r="S9" s="747">
        <v>312245</v>
      </c>
      <c r="T9" s="534">
        <f t="shared" si="6"/>
        <v>0.31062800134013324</v>
      </c>
      <c r="U9" s="534">
        <f t="shared" si="7"/>
        <v>0.21809476532850805</v>
      </c>
      <c r="V9" s="535">
        <f t="shared" si="8"/>
        <v>2.7959294556454573E-2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41621</v>
      </c>
      <c r="D10" s="526">
        <f t="shared" si="0"/>
        <v>40730</v>
      </c>
      <c r="E10" s="526">
        <f t="shared" si="1"/>
        <v>40313</v>
      </c>
      <c r="F10" s="740">
        <v>417</v>
      </c>
      <c r="G10" s="741">
        <v>891</v>
      </c>
      <c r="H10" s="529">
        <f t="shared" si="2"/>
        <v>67826</v>
      </c>
      <c r="I10" s="527">
        <v>66018</v>
      </c>
      <c r="J10" s="759">
        <f t="shared" si="3"/>
        <v>35940</v>
      </c>
      <c r="K10" s="742">
        <v>30078</v>
      </c>
      <c r="L10" s="526">
        <f t="shared" si="4"/>
        <v>1808</v>
      </c>
      <c r="M10" s="740">
        <v>1335</v>
      </c>
      <c r="N10" s="741">
        <v>473</v>
      </c>
      <c r="O10" s="739">
        <v>21471</v>
      </c>
      <c r="P10" s="526">
        <f t="shared" si="5"/>
        <v>19819</v>
      </c>
      <c r="Q10" s="743">
        <v>1652</v>
      </c>
      <c r="R10" s="748">
        <v>134430</v>
      </c>
      <c r="S10" s="740">
        <v>312309</v>
      </c>
      <c r="T10" s="534">
        <f t="shared" si="6"/>
        <v>0.30961094993677007</v>
      </c>
      <c r="U10" s="534">
        <f t="shared" si="7"/>
        <v>0.21717593793326481</v>
      </c>
      <c r="V10" s="535">
        <f t="shared" si="8"/>
        <v>2.6656444431339014E-2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41465</v>
      </c>
      <c r="D11" s="526">
        <f>E11+F11</f>
        <v>40612</v>
      </c>
      <c r="E11" s="526">
        <f>C11-G11-F11</f>
        <v>40213</v>
      </c>
      <c r="F11" s="740">
        <v>399</v>
      </c>
      <c r="G11" s="741">
        <v>853</v>
      </c>
      <c r="H11" s="529">
        <f t="shared" si="2"/>
        <v>67488</v>
      </c>
      <c r="I11" s="527">
        <v>65767</v>
      </c>
      <c r="J11" s="759">
        <f t="shared" si="3"/>
        <v>35772</v>
      </c>
      <c r="K11" s="742">
        <v>29995</v>
      </c>
      <c r="L11" s="526">
        <f t="shared" si="4"/>
        <v>1721</v>
      </c>
      <c r="M11" s="740">
        <v>1277</v>
      </c>
      <c r="N11" s="741">
        <v>444</v>
      </c>
      <c r="O11" s="739">
        <v>21310</v>
      </c>
      <c r="P11" s="526">
        <f t="shared" si="5"/>
        <v>19754</v>
      </c>
      <c r="Q11" s="743">
        <v>1556</v>
      </c>
      <c r="R11" s="748">
        <v>134454</v>
      </c>
      <c r="S11" s="740">
        <v>312158</v>
      </c>
      <c r="T11" s="534">
        <f t="shared" si="6"/>
        <v>0.3083954363574159</v>
      </c>
      <c r="U11" s="534">
        <f t="shared" si="7"/>
        <v>0.21619820731808892</v>
      </c>
      <c r="V11" s="535">
        <f t="shared" si="8"/>
        <v>2.5500829777145566E-2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41321</v>
      </c>
      <c r="D12" s="526">
        <f t="shared" si="0"/>
        <v>40513</v>
      </c>
      <c r="E12" s="526">
        <f t="shared" si="1"/>
        <v>40126</v>
      </c>
      <c r="F12" s="740">
        <v>387</v>
      </c>
      <c r="G12" s="741">
        <v>808</v>
      </c>
      <c r="H12" s="529">
        <f t="shared" si="2"/>
        <v>67098</v>
      </c>
      <c r="I12" s="527">
        <v>65466</v>
      </c>
      <c r="J12" s="759">
        <f t="shared" si="3"/>
        <v>35531</v>
      </c>
      <c r="K12" s="742">
        <v>29935</v>
      </c>
      <c r="L12" s="526">
        <f t="shared" si="4"/>
        <v>1632</v>
      </c>
      <c r="M12" s="740">
        <v>1218</v>
      </c>
      <c r="N12" s="741">
        <v>414</v>
      </c>
      <c r="O12" s="739">
        <v>21128</v>
      </c>
      <c r="P12" s="526">
        <f t="shared" si="5"/>
        <v>19638</v>
      </c>
      <c r="Q12" s="743">
        <v>1490</v>
      </c>
      <c r="R12" s="748">
        <v>134501</v>
      </c>
      <c r="S12" s="740">
        <v>312179</v>
      </c>
      <c r="T12" s="534">
        <f t="shared" si="6"/>
        <v>0.30721704671340733</v>
      </c>
      <c r="U12" s="534">
        <f t="shared" si="7"/>
        <v>0.21493438059574796</v>
      </c>
      <c r="V12" s="535">
        <f t="shared" si="8"/>
        <v>2.4322632567289636E-2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41137</v>
      </c>
      <c r="D13" s="526">
        <f t="shared" si="0"/>
        <v>40367</v>
      </c>
      <c r="E13" s="526">
        <f t="shared" si="1"/>
        <v>39993</v>
      </c>
      <c r="F13" s="740">
        <v>374</v>
      </c>
      <c r="G13" s="741">
        <v>770</v>
      </c>
      <c r="H13" s="529">
        <f t="shared" si="2"/>
        <v>66664</v>
      </c>
      <c r="I13" s="527">
        <v>65107</v>
      </c>
      <c r="J13" s="759">
        <f t="shared" si="3"/>
        <v>35238</v>
      </c>
      <c r="K13" s="742">
        <v>29869</v>
      </c>
      <c r="L13" s="526">
        <f t="shared" si="4"/>
        <v>1557</v>
      </c>
      <c r="M13" s="740">
        <v>1166</v>
      </c>
      <c r="N13" s="741">
        <v>391</v>
      </c>
      <c r="O13" s="739">
        <v>20946</v>
      </c>
      <c r="P13" s="526">
        <f t="shared" si="5"/>
        <v>19527</v>
      </c>
      <c r="Q13" s="743">
        <v>1419</v>
      </c>
      <c r="R13" s="748">
        <v>134541</v>
      </c>
      <c r="S13" s="740">
        <v>312182</v>
      </c>
      <c r="T13" s="534">
        <f t="shared" si="6"/>
        <v>0.30575809604507176</v>
      </c>
      <c r="U13" s="534">
        <f t="shared" si="7"/>
        <v>0.21354210044140917</v>
      </c>
      <c r="V13" s="535">
        <f t="shared" si="8"/>
        <v>2.3355934237369494E-2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40855</v>
      </c>
      <c r="D14" s="526">
        <f t="shared" si="0"/>
        <v>40121</v>
      </c>
      <c r="E14" s="526">
        <f t="shared" si="1"/>
        <v>39771</v>
      </c>
      <c r="F14" s="740">
        <v>350</v>
      </c>
      <c r="G14" s="741">
        <v>734</v>
      </c>
      <c r="H14" s="529">
        <f t="shared" si="2"/>
        <v>66022</v>
      </c>
      <c r="I14" s="527">
        <v>64553</v>
      </c>
      <c r="J14" s="759">
        <f t="shared" si="3"/>
        <v>34852</v>
      </c>
      <c r="K14" s="742">
        <v>29701</v>
      </c>
      <c r="L14" s="526">
        <f t="shared" si="4"/>
        <v>1469</v>
      </c>
      <c r="M14" s="740">
        <v>1106</v>
      </c>
      <c r="N14" s="741">
        <v>363</v>
      </c>
      <c r="O14" s="739">
        <v>20606</v>
      </c>
      <c r="P14" s="526">
        <f t="shared" si="5"/>
        <v>19278</v>
      </c>
      <c r="Q14" s="743">
        <v>1328</v>
      </c>
      <c r="R14" s="748">
        <v>134643</v>
      </c>
      <c r="S14" s="740">
        <v>312231</v>
      </c>
      <c r="T14" s="534">
        <f t="shared" si="6"/>
        <v>0.30343203879889785</v>
      </c>
      <c r="U14" s="534">
        <f t="shared" si="7"/>
        <v>0.21145241824162239</v>
      </c>
      <c r="V14" s="535">
        <f t="shared" si="8"/>
        <v>2.2250159037896459E-2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40615</v>
      </c>
      <c r="D15" s="526">
        <f t="shared" si="0"/>
        <v>39922</v>
      </c>
      <c r="E15" s="526">
        <f t="shared" si="1"/>
        <v>39592</v>
      </c>
      <c r="F15" s="740">
        <v>330</v>
      </c>
      <c r="G15" s="741">
        <v>693</v>
      </c>
      <c r="H15" s="529">
        <f t="shared" si="2"/>
        <v>65480</v>
      </c>
      <c r="I15" s="527">
        <v>64094</v>
      </c>
      <c r="J15" s="759">
        <f t="shared" si="3"/>
        <v>34476</v>
      </c>
      <c r="K15" s="742">
        <v>29618</v>
      </c>
      <c r="L15" s="526">
        <f t="shared" si="4"/>
        <v>1386</v>
      </c>
      <c r="M15" s="740">
        <v>1040</v>
      </c>
      <c r="N15" s="741">
        <v>346</v>
      </c>
      <c r="O15" s="739">
        <v>20383</v>
      </c>
      <c r="P15" s="526">
        <f t="shared" si="5"/>
        <v>19114</v>
      </c>
      <c r="Q15" s="743">
        <v>1269</v>
      </c>
      <c r="R15" s="744">
        <v>134724</v>
      </c>
      <c r="S15" s="745">
        <v>312295</v>
      </c>
      <c r="T15" s="534">
        <f t="shared" si="6"/>
        <v>0.30146818681155546</v>
      </c>
      <c r="U15" s="534">
        <f t="shared" si="7"/>
        <v>0.20967354584607503</v>
      </c>
      <c r="V15" s="535">
        <f t="shared" si="8"/>
        <v>2.1166768478924864E-2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40410</v>
      </c>
      <c r="D16" s="526">
        <f t="shared" si="0"/>
        <v>39757</v>
      </c>
      <c r="E16" s="526">
        <f t="shared" si="1"/>
        <v>39432</v>
      </c>
      <c r="F16" s="740">
        <v>325</v>
      </c>
      <c r="G16" s="741">
        <v>653</v>
      </c>
      <c r="H16" s="529">
        <f t="shared" si="2"/>
        <v>65092</v>
      </c>
      <c r="I16" s="527">
        <v>63767</v>
      </c>
      <c r="J16" s="759">
        <f t="shared" si="3"/>
        <v>34231</v>
      </c>
      <c r="K16" s="742">
        <v>29536</v>
      </c>
      <c r="L16" s="526">
        <f t="shared" si="4"/>
        <v>1325</v>
      </c>
      <c r="M16" s="740">
        <v>994</v>
      </c>
      <c r="N16" s="741">
        <v>331</v>
      </c>
      <c r="O16" s="739">
        <v>20177</v>
      </c>
      <c r="P16" s="526">
        <f t="shared" si="5"/>
        <v>18975</v>
      </c>
      <c r="Q16" s="743">
        <v>1202</v>
      </c>
      <c r="R16" s="744">
        <v>134717</v>
      </c>
      <c r="S16" s="749">
        <v>312218</v>
      </c>
      <c r="T16" s="554">
        <f t="shared" si="6"/>
        <v>0.29996214286244499</v>
      </c>
      <c r="U16" s="534">
        <f t="shared" si="7"/>
        <v>0.20848253463925848</v>
      </c>
      <c r="V16" s="535">
        <f t="shared" si="8"/>
        <v>2.035580409266884E-2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40296</v>
      </c>
      <c r="D17" s="526">
        <f t="shared" si="0"/>
        <v>39678</v>
      </c>
      <c r="E17" s="526">
        <f t="shared" si="1"/>
        <v>39365</v>
      </c>
      <c r="F17" s="740">
        <v>313</v>
      </c>
      <c r="G17" s="754">
        <v>618</v>
      </c>
      <c r="H17" s="595">
        <f t="shared" si="2"/>
        <v>64829</v>
      </c>
      <c r="I17" s="527">
        <v>63577</v>
      </c>
      <c r="J17" s="759">
        <f t="shared" si="3"/>
        <v>34177</v>
      </c>
      <c r="K17" s="742">
        <v>29400</v>
      </c>
      <c r="L17" s="526">
        <f t="shared" si="4"/>
        <v>1252</v>
      </c>
      <c r="M17" s="740">
        <v>947</v>
      </c>
      <c r="N17" s="741">
        <v>305</v>
      </c>
      <c r="O17" s="739">
        <v>20059</v>
      </c>
      <c r="P17" s="526">
        <f t="shared" si="5"/>
        <v>18930</v>
      </c>
      <c r="Q17" s="743">
        <v>1129</v>
      </c>
      <c r="R17" s="750">
        <v>134766</v>
      </c>
      <c r="S17" s="751">
        <v>312074</v>
      </c>
      <c r="T17" s="533">
        <f t="shared" si="6"/>
        <v>0.29900716798005433</v>
      </c>
      <c r="U17" s="534">
        <f t="shared" si="7"/>
        <v>0.20773598569570037</v>
      </c>
      <c r="V17" s="535">
        <f t="shared" si="8"/>
        <v>1.9312344783970137E-2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40084</v>
      </c>
      <c r="D18" s="526">
        <f t="shared" si="0"/>
        <v>39500</v>
      </c>
      <c r="E18" s="526">
        <f t="shared" si="1"/>
        <v>39206</v>
      </c>
      <c r="F18" s="740">
        <v>294</v>
      </c>
      <c r="G18" s="754">
        <v>584</v>
      </c>
      <c r="H18" s="529">
        <f t="shared" si="2"/>
        <v>64436</v>
      </c>
      <c r="I18" s="527">
        <v>63258</v>
      </c>
      <c r="J18" s="759">
        <f t="shared" si="3"/>
        <v>33926</v>
      </c>
      <c r="K18" s="742">
        <v>29332</v>
      </c>
      <c r="L18" s="526">
        <f t="shared" si="4"/>
        <v>1178</v>
      </c>
      <c r="M18" s="740">
        <v>893</v>
      </c>
      <c r="N18" s="741">
        <v>285</v>
      </c>
      <c r="O18" s="739">
        <v>19876</v>
      </c>
      <c r="P18" s="526">
        <f t="shared" si="5"/>
        <v>18816</v>
      </c>
      <c r="Q18" s="743">
        <v>1060</v>
      </c>
      <c r="R18" s="765">
        <v>134692</v>
      </c>
      <c r="S18" s="766">
        <v>311827</v>
      </c>
      <c r="T18" s="533">
        <f t="shared" si="6"/>
        <v>0.29759748166186561</v>
      </c>
      <c r="U18" s="534">
        <f t="shared" si="7"/>
        <v>0.20664022037860738</v>
      </c>
      <c r="V18" s="535">
        <f t="shared" si="8"/>
        <v>1.8281705878701347E-2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39954</v>
      </c>
      <c r="D19" s="526">
        <f t="shared" si="0"/>
        <v>39404</v>
      </c>
      <c r="E19" s="526">
        <f>C19-G19-F19</f>
        <v>39130</v>
      </c>
      <c r="F19" s="740">
        <v>274</v>
      </c>
      <c r="G19" s="754">
        <v>550</v>
      </c>
      <c r="H19" s="529">
        <f t="shared" si="2"/>
        <v>64090</v>
      </c>
      <c r="I19" s="527">
        <v>62989</v>
      </c>
      <c r="J19" s="759">
        <f t="shared" si="3"/>
        <v>33751</v>
      </c>
      <c r="K19" s="742">
        <v>29238</v>
      </c>
      <c r="L19" s="526">
        <f t="shared" si="4"/>
        <v>1101</v>
      </c>
      <c r="M19" s="740">
        <v>838</v>
      </c>
      <c r="N19" s="741">
        <v>263</v>
      </c>
      <c r="O19" s="739">
        <v>19716</v>
      </c>
      <c r="P19" s="526">
        <f t="shared" si="5"/>
        <v>18730</v>
      </c>
      <c r="Q19" s="743">
        <v>986</v>
      </c>
      <c r="R19" s="756">
        <v>135074</v>
      </c>
      <c r="S19" s="757">
        <v>311672</v>
      </c>
      <c r="T19" s="533">
        <f t="shared" si="6"/>
        <v>0.29579341694182448</v>
      </c>
      <c r="U19" s="534">
        <f t="shared" si="7"/>
        <v>0.20563284478554378</v>
      </c>
      <c r="V19" s="535">
        <f t="shared" si="8"/>
        <v>1.7178967077547198E-2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491279</v>
      </c>
      <c r="D20" s="559">
        <f t="shared" si="9"/>
        <v>482196</v>
      </c>
      <c r="E20" s="559">
        <f t="shared" si="9"/>
        <v>477858</v>
      </c>
      <c r="F20" s="559">
        <f t="shared" si="9"/>
        <v>4338</v>
      </c>
      <c r="G20" s="575">
        <f t="shared" si="9"/>
        <v>9083</v>
      </c>
      <c r="H20" s="558">
        <f t="shared" si="9"/>
        <v>795421</v>
      </c>
      <c r="I20" s="559">
        <f t="shared" si="9"/>
        <v>777098</v>
      </c>
      <c r="J20" s="559">
        <f t="shared" si="9"/>
        <v>420270</v>
      </c>
      <c r="K20" s="559">
        <f t="shared" si="9"/>
        <v>356828</v>
      </c>
      <c r="L20" s="559">
        <f t="shared" si="9"/>
        <v>18323</v>
      </c>
      <c r="M20" s="559">
        <f t="shared" si="9"/>
        <v>13681</v>
      </c>
      <c r="N20" s="560">
        <f t="shared" si="9"/>
        <v>4642</v>
      </c>
      <c r="O20" s="558">
        <f t="shared" si="9"/>
        <v>248919</v>
      </c>
      <c r="P20" s="559">
        <f t="shared" si="9"/>
        <v>232285</v>
      </c>
      <c r="Q20" s="560">
        <f t="shared" si="9"/>
        <v>16634</v>
      </c>
      <c r="R20" s="561">
        <f t="shared" si="9"/>
        <v>1614959</v>
      </c>
      <c r="S20" s="562">
        <f t="shared" si="9"/>
        <v>3745517</v>
      </c>
      <c r="T20" s="563">
        <f t="shared" si="6"/>
        <v>0.30420524607745458</v>
      </c>
      <c r="U20" s="564">
        <f t="shared" si="7"/>
        <v>0.21236614331212486</v>
      </c>
      <c r="V20" s="565">
        <f t="shared" si="8"/>
        <v>2.3035600015589228E-2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40939.916666666664</v>
      </c>
      <c r="D21" s="562">
        <f>D20/(COUNTIF(D8:D19,"&gt;0"))</f>
        <v>40183</v>
      </c>
      <c r="E21" s="560">
        <f>E20/(COUNTIF(E8:E19,"&gt;0"))</f>
        <v>39821.5</v>
      </c>
      <c r="F21" s="560">
        <f t="shared" ref="F21:S21" si="10">AVERAGE(F8:F19)</f>
        <v>361.5</v>
      </c>
      <c r="G21" s="575">
        <f t="shared" si="10"/>
        <v>756.91666666666663</v>
      </c>
      <c r="H21" s="574">
        <f>H20/(COUNTIF(H8:H19,"&gt;0"))</f>
        <v>66285.083333333328</v>
      </c>
      <c r="I21" s="562">
        <f t="shared" si="10"/>
        <v>64758.166666666664</v>
      </c>
      <c r="J21" s="562">
        <f>J20/(COUNTIF(J8:J19,"&gt;0"))</f>
        <v>35022.5</v>
      </c>
      <c r="K21" s="562">
        <f t="shared" si="10"/>
        <v>29735.666666666668</v>
      </c>
      <c r="L21" s="560">
        <f>L20/(COUNTIF(L8:L19,"&gt;0"))</f>
        <v>1526.9166666666667</v>
      </c>
      <c r="M21" s="560">
        <f t="shared" si="10"/>
        <v>1140.0833333333333</v>
      </c>
      <c r="N21" s="575">
        <f t="shared" si="10"/>
        <v>386.83333333333331</v>
      </c>
      <c r="O21" s="574">
        <f t="shared" si="10"/>
        <v>20743.25</v>
      </c>
      <c r="P21" s="562">
        <f>P20/(COUNTIF(P8:P19,"&gt;0"))</f>
        <v>19357.083333333332</v>
      </c>
      <c r="Q21" s="562">
        <f t="shared" si="10"/>
        <v>1386.1666666666667</v>
      </c>
      <c r="R21" s="574">
        <f t="shared" si="10"/>
        <v>134579.91666666666</v>
      </c>
      <c r="S21" s="560">
        <f t="shared" si="10"/>
        <v>312126.41666666669</v>
      </c>
      <c r="T21" s="563">
        <f t="shared" si="6"/>
        <v>0.30420524607745458</v>
      </c>
      <c r="U21" s="564">
        <f t="shared" si="7"/>
        <v>0.21236614331212483</v>
      </c>
      <c r="V21" s="565">
        <f t="shared" si="8"/>
        <v>2.3035600015589231E-2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41799</v>
      </c>
      <c r="D23" s="526">
        <f t="shared" si="11"/>
        <v>40815</v>
      </c>
      <c r="E23" s="596">
        <f t="shared" si="11"/>
        <v>40367</v>
      </c>
      <c r="F23" s="596">
        <f t="shared" si="11"/>
        <v>448</v>
      </c>
      <c r="G23" s="597">
        <f t="shared" si="11"/>
        <v>984</v>
      </c>
      <c r="H23" s="595">
        <f t="shared" si="11"/>
        <v>68297</v>
      </c>
      <c r="I23" s="526">
        <f t="shared" si="11"/>
        <v>66307</v>
      </c>
      <c r="J23" s="596">
        <f t="shared" si="11"/>
        <v>36245</v>
      </c>
      <c r="K23" s="596">
        <f t="shared" si="11"/>
        <v>30062</v>
      </c>
      <c r="L23" s="596">
        <f t="shared" si="11"/>
        <v>1990</v>
      </c>
      <c r="M23" s="596">
        <f t="shared" si="11"/>
        <v>1464</v>
      </c>
      <c r="N23" s="597">
        <f t="shared" si="11"/>
        <v>526</v>
      </c>
      <c r="O23" s="595">
        <f t="shared" si="11"/>
        <v>21683</v>
      </c>
      <c r="P23" s="526">
        <f t="shared" si="11"/>
        <v>19864</v>
      </c>
      <c r="Q23" s="597">
        <f t="shared" si="11"/>
        <v>1819</v>
      </c>
      <c r="R23" s="598">
        <f t="shared" si="11"/>
        <v>134102</v>
      </c>
      <c r="S23" s="526">
        <f t="shared" si="11"/>
        <v>312127</v>
      </c>
      <c r="T23" s="533">
        <f t="shared" ref="T23:T38" si="12">C23/R23</f>
        <v>0.31169557501006695</v>
      </c>
      <c r="U23" s="534">
        <f t="shared" ref="U23:U38" si="13">H23/S23</f>
        <v>0.21881157349412259</v>
      </c>
      <c r="V23" s="535">
        <f t="shared" ref="V23:V38" si="14">L23/H23</f>
        <v>2.9137443811587626E-2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83521</v>
      </c>
      <c r="D24" s="599">
        <f t="shared" si="15"/>
        <v>81592</v>
      </c>
      <c r="E24" s="600">
        <f t="shared" si="15"/>
        <v>80717</v>
      </c>
      <c r="F24" s="600">
        <f t="shared" si="15"/>
        <v>875</v>
      </c>
      <c r="G24" s="601">
        <f t="shared" si="15"/>
        <v>1929</v>
      </c>
      <c r="H24" s="529">
        <f t="shared" si="15"/>
        <v>136396</v>
      </c>
      <c r="I24" s="599">
        <f t="shared" si="15"/>
        <v>132502</v>
      </c>
      <c r="J24" s="600">
        <f t="shared" si="15"/>
        <v>72376</v>
      </c>
      <c r="K24" s="600">
        <f t="shared" si="15"/>
        <v>60126</v>
      </c>
      <c r="L24" s="600">
        <f t="shared" si="15"/>
        <v>3894</v>
      </c>
      <c r="M24" s="600">
        <f t="shared" si="15"/>
        <v>2867</v>
      </c>
      <c r="N24" s="601">
        <f t="shared" si="15"/>
        <v>1027</v>
      </c>
      <c r="O24" s="529">
        <f t="shared" si="15"/>
        <v>43247</v>
      </c>
      <c r="P24" s="599">
        <f t="shared" si="15"/>
        <v>39704</v>
      </c>
      <c r="Q24" s="601">
        <f t="shared" si="15"/>
        <v>3543</v>
      </c>
      <c r="R24" s="602">
        <f t="shared" si="15"/>
        <v>268417</v>
      </c>
      <c r="S24" s="599">
        <f t="shared" si="15"/>
        <v>624372</v>
      </c>
      <c r="T24" s="603">
        <f t="shared" si="12"/>
        <v>0.31116136459315169</v>
      </c>
      <c r="U24" s="604">
        <f t="shared" si="13"/>
        <v>0.21845310167656462</v>
      </c>
      <c r="V24" s="605">
        <f t="shared" si="14"/>
        <v>2.8549224317428665E-2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125142</v>
      </c>
      <c r="D25" s="599">
        <f t="shared" si="16"/>
        <v>122322</v>
      </c>
      <c r="E25" s="600">
        <f t="shared" si="16"/>
        <v>121030</v>
      </c>
      <c r="F25" s="600">
        <f t="shared" si="16"/>
        <v>1292</v>
      </c>
      <c r="G25" s="601">
        <f t="shared" si="16"/>
        <v>2820</v>
      </c>
      <c r="H25" s="529">
        <f t="shared" si="16"/>
        <v>204222</v>
      </c>
      <c r="I25" s="599">
        <f t="shared" si="16"/>
        <v>198520</v>
      </c>
      <c r="J25" s="600">
        <f t="shared" si="16"/>
        <v>108316</v>
      </c>
      <c r="K25" s="600">
        <f t="shared" si="16"/>
        <v>90204</v>
      </c>
      <c r="L25" s="600">
        <f t="shared" si="16"/>
        <v>5702</v>
      </c>
      <c r="M25" s="600">
        <f t="shared" si="16"/>
        <v>4202</v>
      </c>
      <c r="N25" s="601">
        <f t="shared" si="16"/>
        <v>1500</v>
      </c>
      <c r="O25" s="529">
        <f t="shared" si="16"/>
        <v>64718</v>
      </c>
      <c r="P25" s="599">
        <f t="shared" si="16"/>
        <v>59523</v>
      </c>
      <c r="Q25" s="601">
        <f t="shared" si="16"/>
        <v>5195</v>
      </c>
      <c r="R25" s="602">
        <f t="shared" si="16"/>
        <v>402847</v>
      </c>
      <c r="S25" s="599">
        <f t="shared" si="16"/>
        <v>936681</v>
      </c>
      <c r="T25" s="603">
        <f t="shared" si="12"/>
        <v>0.31064399139127263</v>
      </c>
      <c r="U25" s="604">
        <f t="shared" si="13"/>
        <v>0.21802726862186805</v>
      </c>
      <c r="V25" s="605">
        <f t="shared" si="14"/>
        <v>2.7920596213924061E-2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166607</v>
      </c>
      <c r="D26" s="599">
        <f t="shared" si="17"/>
        <v>162934</v>
      </c>
      <c r="E26" s="600">
        <f t="shared" si="17"/>
        <v>161243</v>
      </c>
      <c r="F26" s="600">
        <f t="shared" si="17"/>
        <v>1691</v>
      </c>
      <c r="G26" s="601">
        <f>SUM(G8:G11)</f>
        <v>3673</v>
      </c>
      <c r="H26" s="529">
        <f t="shared" si="17"/>
        <v>271710</v>
      </c>
      <c r="I26" s="599">
        <f t="shared" si="17"/>
        <v>264287</v>
      </c>
      <c r="J26" s="600">
        <f t="shared" si="17"/>
        <v>144088</v>
      </c>
      <c r="K26" s="600">
        <f t="shared" si="17"/>
        <v>120199</v>
      </c>
      <c r="L26" s="600">
        <f t="shared" si="17"/>
        <v>7423</v>
      </c>
      <c r="M26" s="600">
        <f t="shared" si="17"/>
        <v>5479</v>
      </c>
      <c r="N26" s="601">
        <f t="shared" si="17"/>
        <v>1944</v>
      </c>
      <c r="O26" s="529">
        <f t="shared" si="17"/>
        <v>86028</v>
      </c>
      <c r="P26" s="599">
        <f t="shared" si="17"/>
        <v>79277</v>
      </c>
      <c r="Q26" s="601">
        <f t="shared" si="17"/>
        <v>6751</v>
      </c>
      <c r="R26" s="602">
        <f t="shared" si="17"/>
        <v>537301</v>
      </c>
      <c r="S26" s="599">
        <f t="shared" si="17"/>
        <v>1248839</v>
      </c>
      <c r="T26" s="603">
        <f t="shared" si="12"/>
        <v>0.31008131382595605</v>
      </c>
      <c r="U26" s="604">
        <f t="shared" si="13"/>
        <v>0.2175700790894583</v>
      </c>
      <c r="V26" s="605">
        <f t="shared" si="14"/>
        <v>2.7319568657760113E-2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207928</v>
      </c>
      <c r="D27" s="599">
        <f t="shared" si="18"/>
        <v>203447</v>
      </c>
      <c r="E27" s="600">
        <f t="shared" si="18"/>
        <v>201369</v>
      </c>
      <c r="F27" s="600">
        <f t="shared" si="18"/>
        <v>2078</v>
      </c>
      <c r="G27" s="601">
        <f t="shared" si="18"/>
        <v>4481</v>
      </c>
      <c r="H27" s="529">
        <f t="shared" si="18"/>
        <v>338808</v>
      </c>
      <c r="I27" s="599">
        <f t="shared" si="18"/>
        <v>329753</v>
      </c>
      <c r="J27" s="600">
        <f t="shared" si="18"/>
        <v>179619</v>
      </c>
      <c r="K27" s="600">
        <f t="shared" si="18"/>
        <v>150134</v>
      </c>
      <c r="L27" s="600">
        <f t="shared" si="18"/>
        <v>9055</v>
      </c>
      <c r="M27" s="600">
        <f t="shared" si="18"/>
        <v>6697</v>
      </c>
      <c r="N27" s="601">
        <f t="shared" si="18"/>
        <v>2358</v>
      </c>
      <c r="O27" s="529">
        <f t="shared" si="18"/>
        <v>107156</v>
      </c>
      <c r="P27" s="599">
        <f t="shared" si="18"/>
        <v>98915</v>
      </c>
      <c r="Q27" s="601">
        <f t="shared" si="18"/>
        <v>8241</v>
      </c>
      <c r="R27" s="602">
        <f t="shared" si="18"/>
        <v>671802</v>
      </c>
      <c r="S27" s="599">
        <f t="shared" si="18"/>
        <v>1561018</v>
      </c>
      <c r="T27" s="603">
        <f t="shared" si="12"/>
        <v>0.30950786094712429</v>
      </c>
      <c r="U27" s="604">
        <f t="shared" si="13"/>
        <v>0.21704298092654922</v>
      </c>
      <c r="V27" s="605">
        <f t="shared" si="14"/>
        <v>2.6726051332908313E-2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249065</v>
      </c>
      <c r="D28" s="599">
        <f t="shared" si="19"/>
        <v>243814</v>
      </c>
      <c r="E28" s="600">
        <f t="shared" si="19"/>
        <v>241362</v>
      </c>
      <c r="F28" s="600">
        <f t="shared" si="19"/>
        <v>2452</v>
      </c>
      <c r="G28" s="601">
        <f t="shared" si="19"/>
        <v>5251</v>
      </c>
      <c r="H28" s="529">
        <f t="shared" si="19"/>
        <v>405472</v>
      </c>
      <c r="I28" s="599">
        <f t="shared" si="19"/>
        <v>394860</v>
      </c>
      <c r="J28" s="600">
        <f t="shared" si="19"/>
        <v>214857</v>
      </c>
      <c r="K28" s="600">
        <f t="shared" si="19"/>
        <v>180003</v>
      </c>
      <c r="L28" s="600">
        <f t="shared" si="19"/>
        <v>10612</v>
      </c>
      <c r="M28" s="600">
        <f t="shared" si="19"/>
        <v>7863</v>
      </c>
      <c r="N28" s="601">
        <f t="shared" si="19"/>
        <v>2749</v>
      </c>
      <c r="O28" s="529">
        <f t="shared" si="19"/>
        <v>128102</v>
      </c>
      <c r="P28" s="599">
        <f t="shared" si="19"/>
        <v>118442</v>
      </c>
      <c r="Q28" s="601">
        <f t="shared" si="19"/>
        <v>9660</v>
      </c>
      <c r="R28" s="602">
        <f t="shared" si="19"/>
        <v>806343</v>
      </c>
      <c r="S28" s="599">
        <f t="shared" si="19"/>
        <v>1873200</v>
      </c>
      <c r="T28" s="603">
        <f t="shared" si="12"/>
        <v>0.30888220025473029</v>
      </c>
      <c r="U28" s="604">
        <f t="shared" si="13"/>
        <v>0.21645953448644031</v>
      </c>
      <c r="V28" s="605">
        <f t="shared" si="14"/>
        <v>2.617196748480783E-2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289920</v>
      </c>
      <c r="D29" s="599">
        <f t="shared" si="20"/>
        <v>283935</v>
      </c>
      <c r="E29" s="600">
        <f t="shared" si="20"/>
        <v>281133</v>
      </c>
      <c r="F29" s="600">
        <f t="shared" si="20"/>
        <v>2802</v>
      </c>
      <c r="G29" s="601">
        <f t="shared" si="20"/>
        <v>5985</v>
      </c>
      <c r="H29" s="529">
        <f t="shared" si="20"/>
        <v>471494</v>
      </c>
      <c r="I29" s="599">
        <f t="shared" si="20"/>
        <v>459413</v>
      </c>
      <c r="J29" s="600">
        <f t="shared" si="20"/>
        <v>249709</v>
      </c>
      <c r="K29" s="600">
        <f t="shared" si="20"/>
        <v>209704</v>
      </c>
      <c r="L29" s="600">
        <f t="shared" si="20"/>
        <v>12081</v>
      </c>
      <c r="M29" s="600">
        <f t="shared" si="20"/>
        <v>8969</v>
      </c>
      <c r="N29" s="601">
        <f t="shared" si="20"/>
        <v>3112</v>
      </c>
      <c r="O29" s="529">
        <f t="shared" si="20"/>
        <v>148708</v>
      </c>
      <c r="P29" s="599">
        <f t="shared" si="20"/>
        <v>137720</v>
      </c>
      <c r="Q29" s="601">
        <f t="shared" si="20"/>
        <v>10988</v>
      </c>
      <c r="R29" s="602">
        <f t="shared" si="20"/>
        <v>940986</v>
      </c>
      <c r="S29" s="599">
        <f t="shared" si="20"/>
        <v>2185431</v>
      </c>
      <c r="T29" s="603">
        <f t="shared" si="12"/>
        <v>0.30810235221352922</v>
      </c>
      <c r="U29" s="604">
        <f t="shared" si="13"/>
        <v>0.21574417128703674</v>
      </c>
      <c r="V29" s="605">
        <f t="shared" si="14"/>
        <v>2.5622807501261946E-2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330535</v>
      </c>
      <c r="D30" s="599">
        <f t="shared" si="21"/>
        <v>323857</v>
      </c>
      <c r="E30" s="600">
        <f t="shared" si="21"/>
        <v>320725</v>
      </c>
      <c r="F30" s="600">
        <f t="shared" si="21"/>
        <v>3132</v>
      </c>
      <c r="G30" s="601">
        <f t="shared" si="21"/>
        <v>6678</v>
      </c>
      <c r="H30" s="529">
        <f t="shared" si="21"/>
        <v>536974</v>
      </c>
      <c r="I30" s="599">
        <f t="shared" si="21"/>
        <v>523507</v>
      </c>
      <c r="J30" s="600">
        <f t="shared" si="21"/>
        <v>284185</v>
      </c>
      <c r="K30" s="600">
        <f t="shared" si="21"/>
        <v>239322</v>
      </c>
      <c r="L30" s="600">
        <f t="shared" si="21"/>
        <v>13467</v>
      </c>
      <c r="M30" s="600">
        <f t="shared" si="21"/>
        <v>10009</v>
      </c>
      <c r="N30" s="601">
        <f t="shared" si="21"/>
        <v>3458</v>
      </c>
      <c r="O30" s="529">
        <f t="shared" si="21"/>
        <v>169091</v>
      </c>
      <c r="P30" s="599">
        <f t="shared" si="21"/>
        <v>156834</v>
      </c>
      <c r="Q30" s="601">
        <f t="shared" si="21"/>
        <v>12257</v>
      </c>
      <c r="R30" s="602">
        <f t="shared" si="21"/>
        <v>1075710</v>
      </c>
      <c r="S30" s="599">
        <f t="shared" si="21"/>
        <v>2497726</v>
      </c>
      <c r="T30" s="603">
        <f t="shared" si="12"/>
        <v>0.30727147651318665</v>
      </c>
      <c r="U30" s="604">
        <f t="shared" si="13"/>
        <v>0.21498515049288833</v>
      </c>
      <c r="V30" s="605">
        <f t="shared" si="14"/>
        <v>2.5079426564414663E-2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370945</v>
      </c>
      <c r="D31" s="599">
        <f t="shared" si="22"/>
        <v>363614</v>
      </c>
      <c r="E31" s="600">
        <f t="shared" si="22"/>
        <v>360157</v>
      </c>
      <c r="F31" s="600">
        <f t="shared" si="22"/>
        <v>3457</v>
      </c>
      <c r="G31" s="601">
        <f t="shared" si="22"/>
        <v>7331</v>
      </c>
      <c r="H31" s="529">
        <f t="shared" si="22"/>
        <v>602066</v>
      </c>
      <c r="I31" s="599">
        <f t="shared" si="22"/>
        <v>587274</v>
      </c>
      <c r="J31" s="600">
        <f t="shared" si="22"/>
        <v>318416</v>
      </c>
      <c r="K31" s="600">
        <f t="shared" si="22"/>
        <v>268858</v>
      </c>
      <c r="L31" s="600">
        <f t="shared" si="22"/>
        <v>14792</v>
      </c>
      <c r="M31" s="600">
        <f t="shared" si="22"/>
        <v>11003</v>
      </c>
      <c r="N31" s="601">
        <f t="shared" si="22"/>
        <v>3789</v>
      </c>
      <c r="O31" s="529">
        <f t="shared" si="22"/>
        <v>189268</v>
      </c>
      <c r="P31" s="599">
        <f t="shared" si="22"/>
        <v>175809</v>
      </c>
      <c r="Q31" s="601">
        <f t="shared" si="22"/>
        <v>13459</v>
      </c>
      <c r="R31" s="602">
        <f t="shared" si="22"/>
        <v>1210427</v>
      </c>
      <c r="S31" s="599">
        <f t="shared" si="22"/>
        <v>2809944</v>
      </c>
      <c r="T31" s="603">
        <f t="shared" si="12"/>
        <v>0.30645796896467115</v>
      </c>
      <c r="U31" s="604">
        <f t="shared" si="13"/>
        <v>0.21426263299197421</v>
      </c>
      <c r="V31" s="605">
        <f t="shared" si="14"/>
        <v>2.456873498918723E-2</v>
      </c>
    </row>
    <row r="32" spans="1:45" ht="20.149999999999999" customHeight="1" x14ac:dyDescent="0.2">
      <c r="B32" s="537" t="s">
        <v>63</v>
      </c>
      <c r="C32" s="529">
        <f t="shared" ref="C32:S32" si="23">SUM(C8:C17)</f>
        <v>411241</v>
      </c>
      <c r="D32" s="599">
        <f t="shared" si="23"/>
        <v>403292</v>
      </c>
      <c r="E32" s="600">
        <f t="shared" si="23"/>
        <v>399522</v>
      </c>
      <c r="F32" s="600">
        <f t="shared" si="23"/>
        <v>3770</v>
      </c>
      <c r="G32" s="601">
        <f t="shared" si="23"/>
        <v>7949</v>
      </c>
      <c r="H32" s="529">
        <f t="shared" si="23"/>
        <v>666895</v>
      </c>
      <c r="I32" s="599">
        <f t="shared" si="23"/>
        <v>650851</v>
      </c>
      <c r="J32" s="600">
        <f t="shared" si="23"/>
        <v>352593</v>
      </c>
      <c r="K32" s="600">
        <f t="shared" si="23"/>
        <v>298258</v>
      </c>
      <c r="L32" s="600">
        <f t="shared" si="23"/>
        <v>16044</v>
      </c>
      <c r="M32" s="600">
        <f t="shared" si="23"/>
        <v>11950</v>
      </c>
      <c r="N32" s="601">
        <f t="shared" si="23"/>
        <v>4094</v>
      </c>
      <c r="O32" s="529">
        <f t="shared" si="23"/>
        <v>209327</v>
      </c>
      <c r="P32" s="599">
        <f t="shared" si="23"/>
        <v>194739</v>
      </c>
      <c r="Q32" s="601">
        <f t="shared" si="23"/>
        <v>14588</v>
      </c>
      <c r="R32" s="602">
        <f t="shared" si="23"/>
        <v>1345193</v>
      </c>
      <c r="S32" s="599">
        <f t="shared" si="23"/>
        <v>3122018</v>
      </c>
      <c r="T32" s="603">
        <f t="shared" si="12"/>
        <v>0.30571152243581406</v>
      </c>
      <c r="U32" s="604">
        <f t="shared" si="13"/>
        <v>0.21361023543105773</v>
      </c>
      <c r="V32" s="605">
        <f t="shared" si="14"/>
        <v>2.4057760217125634E-2</v>
      </c>
    </row>
    <row r="33" spans="1:35" ht="20.149999999999999" customHeight="1" x14ac:dyDescent="0.2">
      <c r="B33" s="537" t="s">
        <v>64</v>
      </c>
      <c r="C33" s="529">
        <f t="shared" ref="C33:S33" si="24">SUM(C8:C18)</f>
        <v>451325</v>
      </c>
      <c r="D33" s="599">
        <f t="shared" si="24"/>
        <v>442792</v>
      </c>
      <c r="E33" s="600">
        <f t="shared" si="24"/>
        <v>438728</v>
      </c>
      <c r="F33" s="600">
        <f t="shared" si="24"/>
        <v>4064</v>
      </c>
      <c r="G33" s="601">
        <f t="shared" si="24"/>
        <v>8533</v>
      </c>
      <c r="H33" s="529">
        <f t="shared" si="24"/>
        <v>731331</v>
      </c>
      <c r="I33" s="599">
        <f t="shared" si="24"/>
        <v>714109</v>
      </c>
      <c r="J33" s="600">
        <f t="shared" si="24"/>
        <v>386519</v>
      </c>
      <c r="K33" s="600">
        <f t="shared" si="24"/>
        <v>327590</v>
      </c>
      <c r="L33" s="600">
        <f t="shared" si="24"/>
        <v>17222</v>
      </c>
      <c r="M33" s="600">
        <f t="shared" si="24"/>
        <v>12843</v>
      </c>
      <c r="N33" s="601">
        <f t="shared" si="24"/>
        <v>4379</v>
      </c>
      <c r="O33" s="529">
        <f t="shared" si="24"/>
        <v>229203</v>
      </c>
      <c r="P33" s="599">
        <f t="shared" si="24"/>
        <v>213555</v>
      </c>
      <c r="Q33" s="601">
        <f t="shared" si="24"/>
        <v>15648</v>
      </c>
      <c r="R33" s="602">
        <f t="shared" si="24"/>
        <v>1479885</v>
      </c>
      <c r="S33" s="599">
        <f t="shared" si="24"/>
        <v>3433845</v>
      </c>
      <c r="T33" s="603">
        <f t="shared" si="12"/>
        <v>0.30497302155235034</v>
      </c>
      <c r="U33" s="604">
        <f t="shared" si="13"/>
        <v>0.21297728930688484</v>
      </c>
      <c r="V33" s="605">
        <f t="shared" si="14"/>
        <v>2.3548844504061771E-2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491279</v>
      </c>
      <c r="D34" s="608">
        <f t="shared" si="25"/>
        <v>482196</v>
      </c>
      <c r="E34" s="609">
        <f t="shared" si="25"/>
        <v>477858</v>
      </c>
      <c r="F34" s="609">
        <f t="shared" si="25"/>
        <v>4338</v>
      </c>
      <c r="G34" s="610">
        <f t="shared" si="25"/>
        <v>9083</v>
      </c>
      <c r="H34" s="607">
        <f t="shared" si="25"/>
        <v>795421</v>
      </c>
      <c r="I34" s="608">
        <f t="shared" si="25"/>
        <v>777098</v>
      </c>
      <c r="J34" s="609">
        <f t="shared" si="25"/>
        <v>420270</v>
      </c>
      <c r="K34" s="609">
        <f t="shared" si="25"/>
        <v>356828</v>
      </c>
      <c r="L34" s="609">
        <f t="shared" si="25"/>
        <v>18323</v>
      </c>
      <c r="M34" s="609">
        <f t="shared" si="25"/>
        <v>13681</v>
      </c>
      <c r="N34" s="610">
        <f t="shared" si="25"/>
        <v>4642</v>
      </c>
      <c r="O34" s="607">
        <f t="shared" si="25"/>
        <v>248919</v>
      </c>
      <c r="P34" s="608">
        <f t="shared" si="25"/>
        <v>232285</v>
      </c>
      <c r="Q34" s="610">
        <f t="shared" si="25"/>
        <v>16634</v>
      </c>
      <c r="R34" s="611">
        <f t="shared" si="25"/>
        <v>1614959</v>
      </c>
      <c r="S34" s="608">
        <f t="shared" si="25"/>
        <v>3745517</v>
      </c>
      <c r="T34" s="612">
        <f t="shared" si="12"/>
        <v>0.30420524607745458</v>
      </c>
      <c r="U34" s="613">
        <f t="shared" si="13"/>
        <v>0.21236614331212486</v>
      </c>
      <c r="V34" s="614">
        <f t="shared" si="14"/>
        <v>2.3035600015589228E-2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492844</v>
      </c>
      <c r="D35" s="616">
        <f t="shared" si="26"/>
        <v>483267</v>
      </c>
      <c r="E35" s="616">
        <f t="shared" si="26"/>
        <v>478732</v>
      </c>
      <c r="F35" s="616">
        <f t="shared" si="26"/>
        <v>4535</v>
      </c>
      <c r="G35" s="617">
        <f t="shared" si="26"/>
        <v>9577</v>
      </c>
      <c r="H35" s="618">
        <f t="shared" si="26"/>
        <v>799216</v>
      </c>
      <c r="I35" s="616">
        <f t="shared" si="26"/>
        <v>779902</v>
      </c>
      <c r="J35" s="616">
        <f t="shared" si="26"/>
        <v>422475</v>
      </c>
      <c r="K35" s="616">
        <f t="shared" si="26"/>
        <v>357427</v>
      </c>
      <c r="L35" s="616">
        <f t="shared" si="26"/>
        <v>19314</v>
      </c>
      <c r="M35" s="616">
        <f t="shared" si="26"/>
        <v>14394</v>
      </c>
      <c r="N35" s="619">
        <f t="shared" si="26"/>
        <v>4920</v>
      </c>
      <c r="O35" s="618">
        <f t="shared" si="26"/>
        <v>250656</v>
      </c>
      <c r="P35" s="616">
        <f t="shared" si="26"/>
        <v>233110</v>
      </c>
      <c r="Q35" s="619">
        <f t="shared" si="26"/>
        <v>17546</v>
      </c>
      <c r="R35" s="618">
        <f t="shared" si="26"/>
        <v>1613791</v>
      </c>
      <c r="S35" s="616">
        <f t="shared" si="26"/>
        <v>3745960</v>
      </c>
      <c r="T35" s="620">
        <f t="shared" si="12"/>
        <v>0.30539518438261215</v>
      </c>
      <c r="U35" s="620">
        <f t="shared" si="13"/>
        <v>0.21335412017213212</v>
      </c>
      <c r="V35" s="621">
        <f t="shared" si="14"/>
        <v>2.4166182859202016E-2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41070</v>
      </c>
      <c r="D36" s="626">
        <f>E36+F36</f>
        <v>40272</v>
      </c>
      <c r="E36" s="626">
        <f>C36-F36-G36</f>
        <v>39894</v>
      </c>
      <c r="F36" s="626">
        <f>ROUND(AVERAGE(F7:F18),0)</f>
        <v>378</v>
      </c>
      <c r="G36" s="627">
        <f>ROUND(AVERAGE(G7:G18),0)</f>
        <v>798</v>
      </c>
      <c r="H36" s="625">
        <f>L36+I36</f>
        <v>66602</v>
      </c>
      <c r="I36" s="626">
        <f>ROUND(AVERAGE(I7:I18),0)</f>
        <v>64992</v>
      </c>
      <c r="J36" s="626">
        <f>J35/(COUNTIF(J7:J18,"&gt;0"))</f>
        <v>35206.25</v>
      </c>
      <c r="K36" s="626">
        <f>AVERAGE(K7:K18)</f>
        <v>29785.583333333332</v>
      </c>
      <c r="L36" s="626">
        <f>ROUND(L35/(COUNTIF(L7:L18,"&gt;0")),0)</f>
        <v>1610</v>
      </c>
      <c r="M36" s="626">
        <f>ROUND(AVERAGE(M7:M18),0)</f>
        <v>1200</v>
      </c>
      <c r="N36" s="628">
        <f>L36-M36</f>
        <v>410</v>
      </c>
      <c r="O36" s="625">
        <f>AVERAGE(O7:O18)</f>
        <v>20888</v>
      </c>
      <c r="P36" s="626">
        <f>P35/(COUNTIF(P7:P18,"&gt;0"))</f>
        <v>19425.833333333332</v>
      </c>
      <c r="Q36" s="628">
        <f>AVERAGE(Q7:Q18)</f>
        <v>1462.1666666666667</v>
      </c>
      <c r="R36" s="625">
        <f>AVERAGE(R7:R18)</f>
        <v>134482.58333333334</v>
      </c>
      <c r="S36" s="626">
        <f>AVERAGE(S7:S18)</f>
        <v>312163.33333333331</v>
      </c>
      <c r="T36" s="629">
        <f t="shared" si="12"/>
        <v>0.30539270574690275</v>
      </c>
      <c r="U36" s="630">
        <f t="shared" si="13"/>
        <v>0.21335625580625528</v>
      </c>
      <c r="V36" s="631">
        <f t="shared" si="14"/>
        <v>2.4173448244797453E-2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495775</v>
      </c>
      <c r="D37" s="635">
        <f t="shared" si="27"/>
        <v>485120</v>
      </c>
      <c r="E37" s="636">
        <f t="shared" si="27"/>
        <v>480177</v>
      </c>
      <c r="F37" s="636">
        <f t="shared" si="27"/>
        <v>4943</v>
      </c>
      <c r="G37" s="637">
        <f t="shared" si="27"/>
        <v>10655</v>
      </c>
      <c r="H37" s="634">
        <f t="shared" si="27"/>
        <v>806451</v>
      </c>
      <c r="I37" s="635">
        <f t="shared" si="27"/>
        <v>785005</v>
      </c>
      <c r="J37" s="636">
        <f t="shared" si="27"/>
        <v>426613</v>
      </c>
      <c r="K37" s="636">
        <f t="shared" si="27"/>
        <v>358392</v>
      </c>
      <c r="L37" s="636">
        <f t="shared" si="27"/>
        <v>21446</v>
      </c>
      <c r="M37" s="636">
        <f t="shared" si="27"/>
        <v>15928</v>
      </c>
      <c r="N37" s="637">
        <f t="shared" si="27"/>
        <v>5518</v>
      </c>
      <c r="O37" s="634">
        <f t="shared" si="27"/>
        <v>254108</v>
      </c>
      <c r="P37" s="638">
        <f t="shared" si="27"/>
        <v>234603</v>
      </c>
      <c r="Q37" s="637">
        <f t="shared" si="27"/>
        <v>19505</v>
      </c>
      <c r="R37" s="634">
        <f t="shared" si="27"/>
        <v>1611385</v>
      </c>
      <c r="S37" s="635">
        <f t="shared" si="27"/>
        <v>3746587</v>
      </c>
      <c r="T37" s="639">
        <f t="shared" si="12"/>
        <v>0.30767010987442478</v>
      </c>
      <c r="U37" s="639">
        <f t="shared" si="13"/>
        <v>0.21524950575016674</v>
      </c>
      <c r="V37" s="640">
        <f t="shared" si="14"/>
        <v>2.6593060210725761E-2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41314.583333333336</v>
      </c>
      <c r="D38" s="643">
        <f t="shared" ref="D38:S38" si="28">D37/(COUNTIF(D8:D16,"&gt;0")+3)</f>
        <v>40426.666666666664</v>
      </c>
      <c r="E38" s="644">
        <f t="shared" si="28"/>
        <v>40014.75</v>
      </c>
      <c r="F38" s="644">
        <f t="shared" si="28"/>
        <v>411.91666666666669</v>
      </c>
      <c r="G38" s="645">
        <f t="shared" si="28"/>
        <v>887.91666666666663</v>
      </c>
      <c r="H38" s="642">
        <f t="shared" si="28"/>
        <v>67204.25</v>
      </c>
      <c r="I38" s="643">
        <f t="shared" si="28"/>
        <v>65417.083333333336</v>
      </c>
      <c r="J38" s="644">
        <f t="shared" si="28"/>
        <v>35551.083333333336</v>
      </c>
      <c r="K38" s="644">
        <f t="shared" si="28"/>
        <v>29866</v>
      </c>
      <c r="L38" s="644">
        <f t="shared" si="28"/>
        <v>1787.1666666666667</v>
      </c>
      <c r="M38" s="644">
        <f t="shared" si="28"/>
        <v>1327.3333333333333</v>
      </c>
      <c r="N38" s="645">
        <f t="shared" si="28"/>
        <v>459.83333333333331</v>
      </c>
      <c r="O38" s="642">
        <f t="shared" si="28"/>
        <v>21175.666666666668</v>
      </c>
      <c r="P38" s="646">
        <f t="shared" si="28"/>
        <v>19550.25</v>
      </c>
      <c r="Q38" s="645">
        <f t="shared" si="28"/>
        <v>1625.4166666666667</v>
      </c>
      <c r="R38" s="642">
        <f t="shared" si="28"/>
        <v>134282.08333333334</v>
      </c>
      <c r="S38" s="643">
        <f t="shared" si="28"/>
        <v>312215.58333333331</v>
      </c>
      <c r="T38" s="647">
        <f t="shared" si="12"/>
        <v>0.30767010987442478</v>
      </c>
      <c r="U38" s="647">
        <f t="shared" si="13"/>
        <v>0.21524950575016677</v>
      </c>
      <c r="V38" s="648">
        <f t="shared" si="14"/>
        <v>2.6593060210725761E-2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S12" sqref="S12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2848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SUM(平成28年度!C17:C19)</f>
        <v>120334</v>
      </c>
      <c r="D2" s="480">
        <f>SUM(平成28年度!D17:D19)</f>
        <v>118582</v>
      </c>
      <c r="E2" s="480">
        <f>SUM(平成28年度!E17:E19)</f>
        <v>117701</v>
      </c>
      <c r="F2" s="480">
        <f>SUM(平成28年度!F17:F19)</f>
        <v>881</v>
      </c>
      <c r="G2" s="480">
        <f>SUM(平成28年度!G17:G19)</f>
        <v>1752</v>
      </c>
      <c r="H2" s="480">
        <f>SUM(平成28年度!H17:H19)</f>
        <v>193355</v>
      </c>
      <c r="I2" s="480">
        <f>SUM(平成28年度!I17:I19)</f>
        <v>189824</v>
      </c>
      <c r="J2" s="480">
        <f>SUM(平成28年度!J17:J19)</f>
        <v>101854</v>
      </c>
      <c r="K2" s="480">
        <f>SUM(平成28年度!K17:K19)</f>
        <v>87970</v>
      </c>
      <c r="L2" s="480">
        <f>SUM(平成28年度!L17:L19)</f>
        <v>3531</v>
      </c>
      <c r="M2" s="480">
        <f>SUM(平成28年度!M17:M19)</f>
        <v>2678</v>
      </c>
      <c r="N2" s="480">
        <f>SUM(平成28年度!N17:N19)</f>
        <v>853</v>
      </c>
      <c r="O2" s="480">
        <f>SUM(平成28年度!O17:O19)</f>
        <v>59651</v>
      </c>
      <c r="P2" s="480">
        <f>SUM(平成28年度!P17:P19)</f>
        <v>56476</v>
      </c>
      <c r="Q2" s="480">
        <f>SUM(平成28年度!Q17:Q19)</f>
        <v>3175</v>
      </c>
      <c r="R2" s="480">
        <f>SUM(平成28年度!R17:R19)</f>
        <v>404532</v>
      </c>
      <c r="S2" s="480">
        <f>SUM(平成28年度!S17:S19)</f>
        <v>935573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2849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739">
        <v>39954</v>
      </c>
      <c r="D7" s="526">
        <v>39404</v>
      </c>
      <c r="E7" s="526">
        <v>39130</v>
      </c>
      <c r="F7" s="740">
        <v>274</v>
      </c>
      <c r="G7" s="754">
        <v>550</v>
      </c>
      <c r="H7" s="529">
        <v>64090</v>
      </c>
      <c r="I7" s="527">
        <v>62989</v>
      </c>
      <c r="J7" s="759">
        <v>33751</v>
      </c>
      <c r="K7" s="742">
        <v>29238</v>
      </c>
      <c r="L7" s="526">
        <v>1101</v>
      </c>
      <c r="M7" s="740">
        <v>838</v>
      </c>
      <c r="N7" s="741">
        <v>263</v>
      </c>
      <c r="O7" s="739">
        <v>19716</v>
      </c>
      <c r="P7" s="526">
        <v>18730</v>
      </c>
      <c r="Q7" s="743">
        <v>986</v>
      </c>
      <c r="R7" s="756">
        <v>135074</v>
      </c>
      <c r="S7" s="757">
        <v>311672</v>
      </c>
      <c r="T7" s="533">
        <v>0.29579341694182448</v>
      </c>
      <c r="U7" s="534">
        <v>0.20563284478554378</v>
      </c>
      <c r="V7" s="535">
        <v>1.7178967077547198E-2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40323</v>
      </c>
      <c r="D8" s="526">
        <f t="shared" ref="D8:D19" si="0">E8+F8</f>
        <v>39808</v>
      </c>
      <c r="E8" s="526">
        <f t="shared" ref="E8:E18" si="1">C8-G8-F8</f>
        <v>39547</v>
      </c>
      <c r="F8" s="740">
        <v>261</v>
      </c>
      <c r="G8" s="741">
        <v>515</v>
      </c>
      <c r="H8" s="529">
        <f t="shared" ref="H8:H19" si="2">I8+L8</f>
        <v>64526</v>
      </c>
      <c r="I8" s="527">
        <v>63497</v>
      </c>
      <c r="J8" s="759">
        <f t="shared" ref="J8:J19" si="3">I8-K8</f>
        <v>34115</v>
      </c>
      <c r="K8" s="742">
        <v>29382</v>
      </c>
      <c r="L8" s="526">
        <f t="shared" ref="L8:L19" si="4">M8+N8</f>
        <v>1029</v>
      </c>
      <c r="M8" s="740">
        <v>786</v>
      </c>
      <c r="N8" s="741">
        <v>243</v>
      </c>
      <c r="O8" s="739">
        <v>19952</v>
      </c>
      <c r="P8" s="526">
        <f t="shared" ref="P8:P19" si="5">O8-Q8</f>
        <v>19019</v>
      </c>
      <c r="Q8" s="743">
        <v>933</v>
      </c>
      <c r="R8" s="744">
        <v>135536</v>
      </c>
      <c r="S8" s="745">
        <v>311883</v>
      </c>
      <c r="T8" s="534">
        <f t="shared" ref="T8:T21" si="6">C8/R8</f>
        <v>0.29750767323810651</v>
      </c>
      <c r="U8" s="534">
        <f t="shared" ref="U8:U21" si="7">H8/S8</f>
        <v>0.20689168694670759</v>
      </c>
      <c r="V8" s="535">
        <f t="shared" ref="V8:V21" si="8">L8/H8</f>
        <v>1.5947060099804729E-2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40167</v>
      </c>
      <c r="D9" s="526">
        <f t="shared" si="0"/>
        <v>39687</v>
      </c>
      <c r="E9" s="526">
        <f t="shared" si="1"/>
        <v>39436</v>
      </c>
      <c r="F9" s="740">
        <v>251</v>
      </c>
      <c r="G9" s="741">
        <v>480</v>
      </c>
      <c r="H9" s="529">
        <f t="shared" si="2"/>
        <v>64122</v>
      </c>
      <c r="I9" s="527">
        <v>63156</v>
      </c>
      <c r="J9" s="759">
        <f t="shared" si="3"/>
        <v>33802</v>
      </c>
      <c r="K9" s="742">
        <v>29354</v>
      </c>
      <c r="L9" s="526">
        <f t="shared" si="4"/>
        <v>966</v>
      </c>
      <c r="M9" s="740">
        <v>741</v>
      </c>
      <c r="N9" s="741">
        <v>225</v>
      </c>
      <c r="O9" s="739">
        <v>19814</v>
      </c>
      <c r="P9" s="526">
        <f t="shared" si="5"/>
        <v>18940</v>
      </c>
      <c r="Q9" s="743">
        <v>874</v>
      </c>
      <c r="R9" s="746">
        <v>135798</v>
      </c>
      <c r="S9" s="747">
        <v>312069</v>
      </c>
      <c r="T9" s="534">
        <f t="shared" si="6"/>
        <v>0.29578491583086641</v>
      </c>
      <c r="U9" s="534">
        <f t="shared" si="7"/>
        <v>0.20547378945041</v>
      </c>
      <c r="V9" s="535">
        <f t="shared" si="8"/>
        <v>1.5065032282212034E-2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40047</v>
      </c>
      <c r="D10" s="526">
        <f t="shared" si="0"/>
        <v>39595</v>
      </c>
      <c r="E10" s="526">
        <f t="shared" si="1"/>
        <v>39358</v>
      </c>
      <c r="F10" s="740">
        <v>237</v>
      </c>
      <c r="G10" s="741">
        <v>452</v>
      </c>
      <c r="H10" s="529">
        <f t="shared" si="2"/>
        <v>63939</v>
      </c>
      <c r="I10" s="527">
        <v>63033</v>
      </c>
      <c r="J10" s="759">
        <f t="shared" si="3"/>
        <v>33730</v>
      </c>
      <c r="K10" s="742">
        <v>29303</v>
      </c>
      <c r="L10" s="526">
        <f t="shared" si="4"/>
        <v>906</v>
      </c>
      <c r="M10" s="740">
        <v>698</v>
      </c>
      <c r="N10" s="741">
        <v>208</v>
      </c>
      <c r="O10" s="739">
        <v>19709</v>
      </c>
      <c r="P10" s="526">
        <f t="shared" si="5"/>
        <v>18881</v>
      </c>
      <c r="Q10" s="743">
        <v>828</v>
      </c>
      <c r="R10" s="748">
        <v>135823</v>
      </c>
      <c r="S10" s="740">
        <v>312056</v>
      </c>
      <c r="T10" s="534">
        <f t="shared" si="6"/>
        <v>0.29484696995354248</v>
      </c>
      <c r="U10" s="534">
        <f t="shared" si="7"/>
        <v>0.20489591611761993</v>
      </c>
      <c r="V10" s="535">
        <f t="shared" si="8"/>
        <v>1.4169755548256932E-2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39927</v>
      </c>
      <c r="D11" s="526">
        <f>E11+F11</f>
        <v>39503</v>
      </c>
      <c r="E11" s="526">
        <f>C11-G11-F11</f>
        <v>39272</v>
      </c>
      <c r="F11" s="740">
        <v>231</v>
      </c>
      <c r="G11" s="741">
        <v>424</v>
      </c>
      <c r="H11" s="529">
        <f t="shared" si="2"/>
        <v>63588</v>
      </c>
      <c r="I11" s="527">
        <v>62731</v>
      </c>
      <c r="J11" s="759">
        <f t="shared" si="3"/>
        <v>33470</v>
      </c>
      <c r="K11" s="742">
        <v>29261</v>
      </c>
      <c r="L11" s="526">
        <f t="shared" si="4"/>
        <v>857</v>
      </c>
      <c r="M11" s="740">
        <v>663</v>
      </c>
      <c r="N11" s="741">
        <v>194</v>
      </c>
      <c r="O11" s="739">
        <v>19547</v>
      </c>
      <c r="P11" s="526">
        <f t="shared" si="5"/>
        <v>18759</v>
      </c>
      <c r="Q11" s="870">
        <v>788</v>
      </c>
      <c r="R11" s="748">
        <v>135892</v>
      </c>
      <c r="S11" s="740">
        <v>312002</v>
      </c>
      <c r="T11" s="534">
        <f t="shared" si="6"/>
        <v>0.29381420539840464</v>
      </c>
      <c r="U11" s="534">
        <f t="shared" si="7"/>
        <v>0.20380638585650093</v>
      </c>
      <c r="V11" s="535">
        <f t="shared" si="8"/>
        <v>1.3477385670252249E-2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39718</v>
      </c>
      <c r="D12" s="526">
        <f t="shared" si="0"/>
        <v>39315</v>
      </c>
      <c r="E12" s="526">
        <f t="shared" si="1"/>
        <v>39093</v>
      </c>
      <c r="F12" s="740">
        <v>222</v>
      </c>
      <c r="G12" s="741">
        <v>403</v>
      </c>
      <c r="H12" s="529">
        <f t="shared" si="2"/>
        <v>63201</v>
      </c>
      <c r="I12" s="527">
        <v>62387</v>
      </c>
      <c r="J12" s="759">
        <f t="shared" si="3"/>
        <v>33224</v>
      </c>
      <c r="K12" s="742">
        <v>29163</v>
      </c>
      <c r="L12" s="526">
        <f t="shared" si="4"/>
        <v>814</v>
      </c>
      <c r="M12" s="740">
        <v>633</v>
      </c>
      <c r="N12" s="741">
        <v>181</v>
      </c>
      <c r="O12" s="739">
        <v>19436</v>
      </c>
      <c r="P12" s="526">
        <f t="shared" si="5"/>
        <v>18697</v>
      </c>
      <c r="Q12" s="743">
        <v>739</v>
      </c>
      <c r="R12" s="748">
        <v>135998</v>
      </c>
      <c r="S12" s="740">
        <v>311943</v>
      </c>
      <c r="T12" s="534">
        <f t="shared" si="6"/>
        <v>0.29204841247665408</v>
      </c>
      <c r="U12" s="534">
        <f t="shared" si="7"/>
        <v>0.20260432194343198</v>
      </c>
      <c r="V12" s="535">
        <f t="shared" si="8"/>
        <v>1.2879543045204981E-2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39545</v>
      </c>
      <c r="D13" s="526">
        <f t="shared" si="0"/>
        <v>39167</v>
      </c>
      <c r="E13" s="526">
        <f t="shared" si="1"/>
        <v>38958</v>
      </c>
      <c r="F13" s="740">
        <v>209</v>
      </c>
      <c r="G13" s="741">
        <v>378</v>
      </c>
      <c r="H13" s="529">
        <f t="shared" si="2"/>
        <v>62808</v>
      </c>
      <c r="I13" s="527">
        <v>62048</v>
      </c>
      <c r="J13" s="759">
        <f t="shared" si="3"/>
        <v>32991</v>
      </c>
      <c r="K13" s="742">
        <v>29057</v>
      </c>
      <c r="L13" s="526">
        <f t="shared" si="4"/>
        <v>760</v>
      </c>
      <c r="M13" s="740">
        <v>594</v>
      </c>
      <c r="N13" s="741">
        <v>166</v>
      </c>
      <c r="O13" s="739">
        <v>19301</v>
      </c>
      <c r="P13" s="526">
        <f t="shared" si="5"/>
        <v>18617</v>
      </c>
      <c r="Q13" s="743">
        <v>684</v>
      </c>
      <c r="R13" s="748">
        <v>136033</v>
      </c>
      <c r="S13" s="740">
        <v>311874</v>
      </c>
      <c r="T13" s="534">
        <f t="shared" si="6"/>
        <v>0.29070152095447427</v>
      </c>
      <c r="U13" s="534">
        <f t="shared" si="7"/>
        <v>0.20138902248985166</v>
      </c>
      <c r="V13" s="535">
        <f t="shared" si="8"/>
        <v>1.2100369379696854E-2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39482</v>
      </c>
      <c r="D14" s="526">
        <f t="shared" si="0"/>
        <v>39136</v>
      </c>
      <c r="E14" s="526">
        <f t="shared" si="1"/>
        <v>38940</v>
      </c>
      <c r="F14" s="740">
        <v>196</v>
      </c>
      <c r="G14" s="741">
        <v>346</v>
      </c>
      <c r="H14" s="529">
        <f t="shared" si="2"/>
        <v>62564</v>
      </c>
      <c r="I14" s="527">
        <v>61867</v>
      </c>
      <c r="J14" s="759">
        <f t="shared" si="3"/>
        <v>32888</v>
      </c>
      <c r="K14" s="742">
        <v>28979</v>
      </c>
      <c r="L14" s="526">
        <f t="shared" si="4"/>
        <v>697</v>
      </c>
      <c r="M14" s="740">
        <v>549</v>
      </c>
      <c r="N14" s="741">
        <v>148</v>
      </c>
      <c r="O14" s="739">
        <v>19201</v>
      </c>
      <c r="P14" s="526">
        <f t="shared" si="5"/>
        <v>18563</v>
      </c>
      <c r="Q14" s="743">
        <v>638</v>
      </c>
      <c r="R14" s="748">
        <v>136300</v>
      </c>
      <c r="S14" s="740">
        <v>312159</v>
      </c>
      <c r="T14" s="534">
        <f t="shared" si="6"/>
        <v>0.2896698459280998</v>
      </c>
      <c r="U14" s="534">
        <f t="shared" si="7"/>
        <v>0.20042350212551938</v>
      </c>
      <c r="V14" s="535">
        <f t="shared" si="8"/>
        <v>1.1140592033757432E-2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39378</v>
      </c>
      <c r="D15" s="526">
        <f t="shared" si="0"/>
        <v>39052</v>
      </c>
      <c r="E15" s="526">
        <f t="shared" si="1"/>
        <v>38866</v>
      </c>
      <c r="F15" s="740">
        <v>186</v>
      </c>
      <c r="G15" s="741">
        <v>326</v>
      </c>
      <c r="H15" s="529">
        <f t="shared" si="2"/>
        <v>62309</v>
      </c>
      <c r="I15" s="527">
        <v>61653</v>
      </c>
      <c r="J15" s="759">
        <f t="shared" si="3"/>
        <v>32764</v>
      </c>
      <c r="K15" s="742">
        <v>28889</v>
      </c>
      <c r="L15" s="526">
        <f t="shared" si="4"/>
        <v>656</v>
      </c>
      <c r="M15" s="740">
        <v>518</v>
      </c>
      <c r="N15" s="741">
        <v>138</v>
      </c>
      <c r="O15" s="739">
        <v>19054</v>
      </c>
      <c r="P15" s="526">
        <f t="shared" si="5"/>
        <v>18474</v>
      </c>
      <c r="Q15" s="743">
        <v>580</v>
      </c>
      <c r="R15" s="744">
        <v>136435</v>
      </c>
      <c r="S15" s="745">
        <v>312257</v>
      </c>
      <c r="T15" s="534">
        <f t="shared" si="6"/>
        <v>0.28862095503353247</v>
      </c>
      <c r="U15" s="534">
        <f t="shared" si="7"/>
        <v>0.19954396538748531</v>
      </c>
      <c r="V15" s="535">
        <f t="shared" si="8"/>
        <v>1.0528174100049753E-2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39218</v>
      </c>
      <c r="D16" s="526">
        <f t="shared" si="0"/>
        <v>38916</v>
      </c>
      <c r="E16" s="526">
        <f t="shared" si="1"/>
        <v>38752</v>
      </c>
      <c r="F16" s="740">
        <v>164</v>
      </c>
      <c r="G16" s="741">
        <v>302</v>
      </c>
      <c r="H16" s="529">
        <f t="shared" si="2"/>
        <v>62014</v>
      </c>
      <c r="I16" s="527">
        <v>61415</v>
      </c>
      <c r="J16" s="759">
        <f t="shared" si="3"/>
        <v>32588</v>
      </c>
      <c r="K16" s="742">
        <v>28827</v>
      </c>
      <c r="L16" s="526">
        <f t="shared" si="4"/>
        <v>599</v>
      </c>
      <c r="M16" s="740">
        <v>472</v>
      </c>
      <c r="N16" s="741">
        <v>127</v>
      </c>
      <c r="O16" s="739">
        <v>18953</v>
      </c>
      <c r="P16" s="526">
        <f t="shared" si="5"/>
        <v>18415</v>
      </c>
      <c r="Q16" s="743">
        <v>538</v>
      </c>
      <c r="R16" s="744">
        <v>136451</v>
      </c>
      <c r="S16" s="749">
        <v>312163</v>
      </c>
      <c r="T16" s="554">
        <f t="shared" si="6"/>
        <v>0.28741452975793508</v>
      </c>
      <c r="U16" s="534">
        <f t="shared" si="7"/>
        <v>0.19865903390216008</v>
      </c>
      <c r="V16" s="535">
        <f t="shared" si="8"/>
        <v>9.6591092333989104E-3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39125</v>
      </c>
      <c r="D17" s="526">
        <f t="shared" si="0"/>
        <v>38847</v>
      </c>
      <c r="E17" s="526">
        <f t="shared" si="1"/>
        <v>38694</v>
      </c>
      <c r="F17" s="740">
        <v>153</v>
      </c>
      <c r="G17" s="754">
        <v>278</v>
      </c>
      <c r="H17" s="595">
        <f t="shared" si="2"/>
        <v>61810</v>
      </c>
      <c r="I17" s="527">
        <v>61259</v>
      </c>
      <c r="J17" s="759">
        <f t="shared" si="3"/>
        <v>32607</v>
      </c>
      <c r="K17" s="742">
        <v>28652</v>
      </c>
      <c r="L17" s="526">
        <f t="shared" si="4"/>
        <v>551</v>
      </c>
      <c r="M17" s="740">
        <v>436</v>
      </c>
      <c r="N17" s="741">
        <v>115</v>
      </c>
      <c r="O17" s="739">
        <v>18832</v>
      </c>
      <c r="P17" s="526">
        <f t="shared" si="5"/>
        <v>18367</v>
      </c>
      <c r="Q17" s="743">
        <v>465</v>
      </c>
      <c r="R17" s="750">
        <v>136516</v>
      </c>
      <c r="S17" s="751">
        <v>312167</v>
      </c>
      <c r="T17" s="533">
        <f t="shared" si="6"/>
        <v>0.28659644290779102</v>
      </c>
      <c r="U17" s="534">
        <f t="shared" si="7"/>
        <v>0.19800299198826268</v>
      </c>
      <c r="V17" s="535">
        <f t="shared" si="8"/>
        <v>8.9144151431807157E-3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38947</v>
      </c>
      <c r="D18" s="526">
        <f t="shared" si="0"/>
        <v>38710</v>
      </c>
      <c r="E18" s="526">
        <f t="shared" si="1"/>
        <v>38575</v>
      </c>
      <c r="F18" s="740">
        <v>135</v>
      </c>
      <c r="G18" s="754">
        <v>237</v>
      </c>
      <c r="H18" s="529">
        <f t="shared" si="2"/>
        <v>61473</v>
      </c>
      <c r="I18" s="527">
        <v>61010</v>
      </c>
      <c r="J18" s="759">
        <f t="shared" si="3"/>
        <v>32443</v>
      </c>
      <c r="K18" s="742">
        <v>28567</v>
      </c>
      <c r="L18" s="526">
        <f t="shared" si="4"/>
        <v>463</v>
      </c>
      <c r="M18" s="740">
        <v>376</v>
      </c>
      <c r="N18" s="741">
        <v>87</v>
      </c>
      <c r="O18" s="739">
        <v>18677</v>
      </c>
      <c r="P18" s="526">
        <f t="shared" si="5"/>
        <v>18266</v>
      </c>
      <c r="Q18" s="743">
        <v>411</v>
      </c>
      <c r="R18" s="765">
        <v>136528</v>
      </c>
      <c r="S18" s="766">
        <v>312049</v>
      </c>
      <c r="T18" s="533">
        <f t="shared" si="6"/>
        <v>0.28526749091761394</v>
      </c>
      <c r="U18" s="534">
        <f t="shared" si="7"/>
        <v>0.19699790737993073</v>
      </c>
      <c r="V18" s="535">
        <f t="shared" si="8"/>
        <v>7.5317619117336067E-3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38830</v>
      </c>
      <c r="D19" s="526">
        <f t="shared" si="0"/>
        <v>38619</v>
      </c>
      <c r="E19" s="526">
        <f>C19-G19-F19</f>
        <v>38489</v>
      </c>
      <c r="F19" s="740">
        <v>130</v>
      </c>
      <c r="G19" s="754">
        <v>211</v>
      </c>
      <c r="H19" s="529">
        <f t="shared" si="2"/>
        <v>61151</v>
      </c>
      <c r="I19" s="527">
        <v>60732</v>
      </c>
      <c r="J19" s="759">
        <f t="shared" si="3"/>
        <v>32272</v>
      </c>
      <c r="K19" s="742">
        <v>28460</v>
      </c>
      <c r="L19" s="526">
        <f t="shared" si="4"/>
        <v>419</v>
      </c>
      <c r="M19" s="740">
        <v>345</v>
      </c>
      <c r="N19" s="741">
        <v>74</v>
      </c>
      <c r="O19" s="739">
        <v>18523</v>
      </c>
      <c r="P19" s="526">
        <f t="shared" si="5"/>
        <v>18160</v>
      </c>
      <c r="Q19" s="743">
        <v>363</v>
      </c>
      <c r="R19" s="756">
        <v>136943</v>
      </c>
      <c r="S19" s="757">
        <v>311763</v>
      </c>
      <c r="T19" s="533">
        <f t="shared" si="6"/>
        <v>0.28354862972185507</v>
      </c>
      <c r="U19" s="534">
        <f t="shared" si="7"/>
        <v>0.19614579023168241</v>
      </c>
      <c r="V19" s="535">
        <f t="shared" si="8"/>
        <v>6.8518912200945204E-3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474707</v>
      </c>
      <c r="D20" s="559">
        <f t="shared" si="9"/>
        <v>470355</v>
      </c>
      <c r="E20" s="559">
        <f t="shared" si="9"/>
        <v>467980</v>
      </c>
      <c r="F20" s="559">
        <f t="shared" si="9"/>
        <v>2375</v>
      </c>
      <c r="G20" s="575">
        <f t="shared" si="9"/>
        <v>4352</v>
      </c>
      <c r="H20" s="558">
        <f t="shared" si="9"/>
        <v>753505</v>
      </c>
      <c r="I20" s="559">
        <f t="shared" si="9"/>
        <v>744788</v>
      </c>
      <c r="J20" s="559">
        <f t="shared" si="9"/>
        <v>396894</v>
      </c>
      <c r="K20" s="559">
        <f t="shared" si="9"/>
        <v>347894</v>
      </c>
      <c r="L20" s="559">
        <f t="shared" si="9"/>
        <v>8717</v>
      </c>
      <c r="M20" s="559">
        <f t="shared" si="9"/>
        <v>6811</v>
      </c>
      <c r="N20" s="560">
        <f t="shared" si="9"/>
        <v>1906</v>
      </c>
      <c r="O20" s="558">
        <f t="shared" si="9"/>
        <v>230999</v>
      </c>
      <c r="P20" s="559">
        <f t="shared" si="9"/>
        <v>223158</v>
      </c>
      <c r="Q20" s="560">
        <f t="shared" si="9"/>
        <v>7841</v>
      </c>
      <c r="R20" s="561">
        <f t="shared" si="9"/>
        <v>1634253</v>
      </c>
      <c r="S20" s="562">
        <f t="shared" si="9"/>
        <v>3744385</v>
      </c>
      <c r="T20" s="563">
        <f t="shared" si="6"/>
        <v>0.29047338447596549</v>
      </c>
      <c r="U20" s="564">
        <f t="shared" si="7"/>
        <v>0.20123598401339607</v>
      </c>
      <c r="V20" s="565">
        <f t="shared" si="8"/>
        <v>1.1568602729908893E-2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39558.916666666664</v>
      </c>
      <c r="D21" s="562">
        <f>D20/(COUNTIF(D8:D19,"&gt;0"))</f>
        <v>39196.25</v>
      </c>
      <c r="E21" s="560">
        <f>E20/(COUNTIF(E8:E19,"&gt;0"))</f>
        <v>38998.333333333336</v>
      </c>
      <c r="F21" s="560">
        <f t="shared" ref="F21:S21" si="10">AVERAGE(F8:F19)</f>
        <v>197.91666666666666</v>
      </c>
      <c r="G21" s="575">
        <f t="shared" si="10"/>
        <v>362.66666666666669</v>
      </c>
      <c r="H21" s="574">
        <f>H20/(COUNTIF(H8:H19,"&gt;0"))</f>
        <v>62792.083333333336</v>
      </c>
      <c r="I21" s="562">
        <f t="shared" si="10"/>
        <v>62065.666666666664</v>
      </c>
      <c r="J21" s="562">
        <f>J20/(COUNTIF(J8:J19,"&gt;0"))</f>
        <v>33074.5</v>
      </c>
      <c r="K21" s="562">
        <f t="shared" si="10"/>
        <v>28991.166666666668</v>
      </c>
      <c r="L21" s="560">
        <f>L20/(COUNTIF(L8:L19,"&gt;0"))</f>
        <v>726.41666666666663</v>
      </c>
      <c r="M21" s="560">
        <f t="shared" si="10"/>
        <v>567.58333333333337</v>
      </c>
      <c r="N21" s="575">
        <f t="shared" si="10"/>
        <v>158.83333333333334</v>
      </c>
      <c r="O21" s="574">
        <f t="shared" si="10"/>
        <v>19249.916666666668</v>
      </c>
      <c r="P21" s="562">
        <f>P20/(COUNTIF(P8:P19,"&gt;0"))</f>
        <v>18596.5</v>
      </c>
      <c r="Q21" s="562">
        <f t="shared" si="10"/>
        <v>653.41666666666663</v>
      </c>
      <c r="R21" s="574">
        <f t="shared" si="10"/>
        <v>136187.75</v>
      </c>
      <c r="S21" s="560">
        <f t="shared" si="10"/>
        <v>312032.08333333331</v>
      </c>
      <c r="T21" s="563">
        <f t="shared" si="6"/>
        <v>0.29047338447596543</v>
      </c>
      <c r="U21" s="564">
        <f t="shared" si="7"/>
        <v>0.20123598401339607</v>
      </c>
      <c r="V21" s="565">
        <f t="shared" si="8"/>
        <v>1.1568602729908891E-2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40323</v>
      </c>
      <c r="D23" s="526">
        <f t="shared" si="11"/>
        <v>39808</v>
      </c>
      <c r="E23" s="596">
        <f t="shared" si="11"/>
        <v>39547</v>
      </c>
      <c r="F23" s="596">
        <f t="shared" si="11"/>
        <v>261</v>
      </c>
      <c r="G23" s="597">
        <f t="shared" si="11"/>
        <v>515</v>
      </c>
      <c r="H23" s="595">
        <f t="shared" si="11"/>
        <v>64526</v>
      </c>
      <c r="I23" s="526">
        <f t="shared" si="11"/>
        <v>63497</v>
      </c>
      <c r="J23" s="596">
        <f t="shared" si="11"/>
        <v>34115</v>
      </c>
      <c r="K23" s="596">
        <f t="shared" si="11"/>
        <v>29382</v>
      </c>
      <c r="L23" s="596">
        <f t="shared" si="11"/>
        <v>1029</v>
      </c>
      <c r="M23" s="596">
        <f t="shared" si="11"/>
        <v>786</v>
      </c>
      <c r="N23" s="597">
        <f t="shared" si="11"/>
        <v>243</v>
      </c>
      <c r="O23" s="595">
        <f t="shared" si="11"/>
        <v>19952</v>
      </c>
      <c r="P23" s="526">
        <f t="shared" si="11"/>
        <v>19019</v>
      </c>
      <c r="Q23" s="597">
        <f t="shared" si="11"/>
        <v>933</v>
      </c>
      <c r="R23" s="598">
        <f t="shared" si="11"/>
        <v>135536</v>
      </c>
      <c r="S23" s="526">
        <f t="shared" si="11"/>
        <v>311883</v>
      </c>
      <c r="T23" s="533">
        <f t="shared" ref="T23:T38" si="12">C23/R23</f>
        <v>0.29750767323810651</v>
      </c>
      <c r="U23" s="534">
        <f t="shared" ref="U23:U38" si="13">H23/S23</f>
        <v>0.20689168694670759</v>
      </c>
      <c r="V23" s="535">
        <f t="shared" ref="V23:V38" si="14">L23/H23</f>
        <v>1.5947060099804729E-2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80490</v>
      </c>
      <c r="D24" s="599">
        <f t="shared" si="15"/>
        <v>79495</v>
      </c>
      <c r="E24" s="600">
        <f t="shared" si="15"/>
        <v>78983</v>
      </c>
      <c r="F24" s="600">
        <f t="shared" si="15"/>
        <v>512</v>
      </c>
      <c r="G24" s="601">
        <f t="shared" si="15"/>
        <v>995</v>
      </c>
      <c r="H24" s="529">
        <f t="shared" si="15"/>
        <v>128648</v>
      </c>
      <c r="I24" s="599">
        <f t="shared" si="15"/>
        <v>126653</v>
      </c>
      <c r="J24" s="600">
        <f t="shared" si="15"/>
        <v>67917</v>
      </c>
      <c r="K24" s="600">
        <f t="shared" si="15"/>
        <v>58736</v>
      </c>
      <c r="L24" s="600">
        <f t="shared" si="15"/>
        <v>1995</v>
      </c>
      <c r="M24" s="600">
        <f t="shared" si="15"/>
        <v>1527</v>
      </c>
      <c r="N24" s="601">
        <f t="shared" si="15"/>
        <v>468</v>
      </c>
      <c r="O24" s="529">
        <f t="shared" si="15"/>
        <v>39766</v>
      </c>
      <c r="P24" s="599">
        <f t="shared" si="15"/>
        <v>37959</v>
      </c>
      <c r="Q24" s="601">
        <f t="shared" si="15"/>
        <v>1807</v>
      </c>
      <c r="R24" s="602">
        <f t="shared" si="15"/>
        <v>271334</v>
      </c>
      <c r="S24" s="599">
        <f t="shared" si="15"/>
        <v>623952</v>
      </c>
      <c r="T24" s="603">
        <f t="shared" si="12"/>
        <v>0.29664546278756071</v>
      </c>
      <c r="U24" s="604">
        <f t="shared" si="13"/>
        <v>0.2061825268610406</v>
      </c>
      <c r="V24" s="605">
        <f t="shared" si="14"/>
        <v>1.5507431129904856E-2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120537</v>
      </c>
      <c r="D25" s="599">
        <f t="shared" si="16"/>
        <v>119090</v>
      </c>
      <c r="E25" s="600">
        <f t="shared" si="16"/>
        <v>118341</v>
      </c>
      <c r="F25" s="600">
        <f t="shared" si="16"/>
        <v>749</v>
      </c>
      <c r="G25" s="601">
        <f t="shared" si="16"/>
        <v>1447</v>
      </c>
      <c r="H25" s="529">
        <f t="shared" si="16"/>
        <v>192587</v>
      </c>
      <c r="I25" s="599">
        <f t="shared" si="16"/>
        <v>189686</v>
      </c>
      <c r="J25" s="600">
        <f t="shared" si="16"/>
        <v>101647</v>
      </c>
      <c r="K25" s="600">
        <f t="shared" si="16"/>
        <v>88039</v>
      </c>
      <c r="L25" s="600">
        <f t="shared" si="16"/>
        <v>2901</v>
      </c>
      <c r="M25" s="600">
        <f t="shared" si="16"/>
        <v>2225</v>
      </c>
      <c r="N25" s="601">
        <f t="shared" si="16"/>
        <v>676</v>
      </c>
      <c r="O25" s="529">
        <f t="shared" si="16"/>
        <v>59475</v>
      </c>
      <c r="P25" s="599">
        <f t="shared" si="16"/>
        <v>56840</v>
      </c>
      <c r="Q25" s="601">
        <f t="shared" si="16"/>
        <v>2635</v>
      </c>
      <c r="R25" s="602">
        <f t="shared" si="16"/>
        <v>407157</v>
      </c>
      <c r="S25" s="599">
        <f t="shared" si="16"/>
        <v>936008</v>
      </c>
      <c r="T25" s="603">
        <f t="shared" si="12"/>
        <v>0.29604550578769367</v>
      </c>
      <c r="U25" s="604">
        <f t="shared" si="13"/>
        <v>0.20575358330270682</v>
      </c>
      <c r="V25" s="605">
        <f t="shared" si="14"/>
        <v>1.5063322031082056E-2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160464</v>
      </c>
      <c r="D26" s="599">
        <f t="shared" si="17"/>
        <v>158593</v>
      </c>
      <c r="E26" s="600">
        <f t="shared" si="17"/>
        <v>157613</v>
      </c>
      <c r="F26" s="600">
        <f t="shared" si="17"/>
        <v>980</v>
      </c>
      <c r="G26" s="601">
        <f>SUM(G8:G11)</f>
        <v>1871</v>
      </c>
      <c r="H26" s="529">
        <f t="shared" si="17"/>
        <v>256175</v>
      </c>
      <c r="I26" s="599">
        <f t="shared" si="17"/>
        <v>252417</v>
      </c>
      <c r="J26" s="600">
        <f t="shared" si="17"/>
        <v>135117</v>
      </c>
      <c r="K26" s="600">
        <f t="shared" si="17"/>
        <v>117300</v>
      </c>
      <c r="L26" s="600">
        <f t="shared" si="17"/>
        <v>3758</v>
      </c>
      <c r="M26" s="600">
        <f t="shared" si="17"/>
        <v>2888</v>
      </c>
      <c r="N26" s="601">
        <f t="shared" si="17"/>
        <v>870</v>
      </c>
      <c r="O26" s="529">
        <f t="shared" si="17"/>
        <v>79022</v>
      </c>
      <c r="P26" s="599">
        <f t="shared" si="17"/>
        <v>75599</v>
      </c>
      <c r="Q26" s="601">
        <f t="shared" si="17"/>
        <v>3423</v>
      </c>
      <c r="R26" s="602">
        <f t="shared" si="17"/>
        <v>543049</v>
      </c>
      <c r="S26" s="599">
        <f t="shared" si="17"/>
        <v>1248010</v>
      </c>
      <c r="T26" s="603">
        <f t="shared" si="12"/>
        <v>0.29548714756863559</v>
      </c>
      <c r="U26" s="604">
        <f t="shared" si="13"/>
        <v>0.20526678472127627</v>
      </c>
      <c r="V26" s="605">
        <f t="shared" si="14"/>
        <v>1.4669659412510978E-2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200182</v>
      </c>
      <c r="D27" s="599">
        <f t="shared" si="18"/>
        <v>197908</v>
      </c>
      <c r="E27" s="600">
        <f t="shared" si="18"/>
        <v>196706</v>
      </c>
      <c r="F27" s="600">
        <f t="shared" si="18"/>
        <v>1202</v>
      </c>
      <c r="G27" s="601">
        <f t="shared" si="18"/>
        <v>2274</v>
      </c>
      <c r="H27" s="529">
        <f t="shared" si="18"/>
        <v>319376</v>
      </c>
      <c r="I27" s="599">
        <f t="shared" si="18"/>
        <v>314804</v>
      </c>
      <c r="J27" s="600">
        <f t="shared" si="18"/>
        <v>168341</v>
      </c>
      <c r="K27" s="600">
        <f t="shared" si="18"/>
        <v>146463</v>
      </c>
      <c r="L27" s="600">
        <f t="shared" si="18"/>
        <v>4572</v>
      </c>
      <c r="M27" s="600">
        <f t="shared" si="18"/>
        <v>3521</v>
      </c>
      <c r="N27" s="601">
        <f t="shared" si="18"/>
        <v>1051</v>
      </c>
      <c r="O27" s="529">
        <f t="shared" si="18"/>
        <v>98458</v>
      </c>
      <c r="P27" s="599">
        <f t="shared" si="18"/>
        <v>94296</v>
      </c>
      <c r="Q27" s="601">
        <f t="shared" si="18"/>
        <v>4162</v>
      </c>
      <c r="R27" s="602">
        <f t="shared" si="18"/>
        <v>679047</v>
      </c>
      <c r="S27" s="599">
        <f t="shared" si="18"/>
        <v>1559953</v>
      </c>
      <c r="T27" s="603">
        <f t="shared" si="12"/>
        <v>0.29479844546842854</v>
      </c>
      <c r="U27" s="604">
        <f t="shared" si="13"/>
        <v>0.20473437340740394</v>
      </c>
      <c r="V27" s="605">
        <f t="shared" si="14"/>
        <v>1.4315415059365764E-2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239727</v>
      </c>
      <c r="D28" s="599">
        <f t="shared" si="19"/>
        <v>237075</v>
      </c>
      <c r="E28" s="600">
        <f t="shared" si="19"/>
        <v>235664</v>
      </c>
      <c r="F28" s="600">
        <f t="shared" si="19"/>
        <v>1411</v>
      </c>
      <c r="G28" s="601">
        <f t="shared" si="19"/>
        <v>2652</v>
      </c>
      <c r="H28" s="529">
        <f t="shared" si="19"/>
        <v>382184</v>
      </c>
      <c r="I28" s="599">
        <f t="shared" si="19"/>
        <v>376852</v>
      </c>
      <c r="J28" s="600">
        <f t="shared" si="19"/>
        <v>201332</v>
      </c>
      <c r="K28" s="600">
        <f t="shared" si="19"/>
        <v>175520</v>
      </c>
      <c r="L28" s="600">
        <f t="shared" si="19"/>
        <v>5332</v>
      </c>
      <c r="M28" s="600">
        <f t="shared" si="19"/>
        <v>4115</v>
      </c>
      <c r="N28" s="601">
        <f t="shared" si="19"/>
        <v>1217</v>
      </c>
      <c r="O28" s="529">
        <f t="shared" si="19"/>
        <v>117759</v>
      </c>
      <c r="P28" s="599">
        <f t="shared" si="19"/>
        <v>112913</v>
      </c>
      <c r="Q28" s="601">
        <f t="shared" si="19"/>
        <v>4846</v>
      </c>
      <c r="R28" s="602">
        <f t="shared" si="19"/>
        <v>815080</v>
      </c>
      <c r="S28" s="599">
        <f t="shared" si="19"/>
        <v>1871827</v>
      </c>
      <c r="T28" s="603">
        <f t="shared" si="12"/>
        <v>0.29411468812877262</v>
      </c>
      <c r="U28" s="604">
        <f t="shared" si="13"/>
        <v>0.2041769885785385</v>
      </c>
      <c r="V28" s="605">
        <f t="shared" si="14"/>
        <v>1.3951395139513951E-2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279209</v>
      </c>
      <c r="D29" s="599">
        <f t="shared" si="20"/>
        <v>276211</v>
      </c>
      <c r="E29" s="600">
        <f t="shared" si="20"/>
        <v>274604</v>
      </c>
      <c r="F29" s="600">
        <f t="shared" si="20"/>
        <v>1607</v>
      </c>
      <c r="G29" s="601">
        <f t="shared" si="20"/>
        <v>2998</v>
      </c>
      <c r="H29" s="529">
        <f t="shared" si="20"/>
        <v>444748</v>
      </c>
      <c r="I29" s="599">
        <f t="shared" si="20"/>
        <v>438719</v>
      </c>
      <c r="J29" s="600">
        <f t="shared" si="20"/>
        <v>234220</v>
      </c>
      <c r="K29" s="600">
        <f t="shared" si="20"/>
        <v>204499</v>
      </c>
      <c r="L29" s="600">
        <f t="shared" si="20"/>
        <v>6029</v>
      </c>
      <c r="M29" s="600">
        <f t="shared" si="20"/>
        <v>4664</v>
      </c>
      <c r="N29" s="601">
        <f t="shared" si="20"/>
        <v>1365</v>
      </c>
      <c r="O29" s="529">
        <f t="shared" si="20"/>
        <v>136960</v>
      </c>
      <c r="P29" s="599">
        <f t="shared" si="20"/>
        <v>131476</v>
      </c>
      <c r="Q29" s="601">
        <f t="shared" si="20"/>
        <v>5484</v>
      </c>
      <c r="R29" s="602">
        <f t="shared" si="20"/>
        <v>951380</v>
      </c>
      <c r="S29" s="599">
        <f t="shared" si="20"/>
        <v>2183986</v>
      </c>
      <c r="T29" s="603">
        <f t="shared" si="12"/>
        <v>0.29347789526792661</v>
      </c>
      <c r="U29" s="604">
        <f t="shared" si="13"/>
        <v>0.20364049952701163</v>
      </c>
      <c r="V29" s="605">
        <f t="shared" si="14"/>
        <v>1.3555991257970806E-2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318587</v>
      </c>
      <c r="D30" s="599">
        <f t="shared" si="21"/>
        <v>315263</v>
      </c>
      <c r="E30" s="600">
        <f t="shared" si="21"/>
        <v>313470</v>
      </c>
      <c r="F30" s="600">
        <f t="shared" si="21"/>
        <v>1793</v>
      </c>
      <c r="G30" s="601">
        <f t="shared" si="21"/>
        <v>3324</v>
      </c>
      <c r="H30" s="529">
        <f t="shared" si="21"/>
        <v>507057</v>
      </c>
      <c r="I30" s="599">
        <f t="shared" si="21"/>
        <v>500372</v>
      </c>
      <c r="J30" s="600">
        <f t="shared" si="21"/>
        <v>266984</v>
      </c>
      <c r="K30" s="600">
        <f t="shared" si="21"/>
        <v>233388</v>
      </c>
      <c r="L30" s="600">
        <f t="shared" si="21"/>
        <v>6685</v>
      </c>
      <c r="M30" s="600">
        <f t="shared" si="21"/>
        <v>5182</v>
      </c>
      <c r="N30" s="601">
        <f t="shared" si="21"/>
        <v>1503</v>
      </c>
      <c r="O30" s="529">
        <f t="shared" si="21"/>
        <v>156014</v>
      </c>
      <c r="P30" s="599">
        <f t="shared" si="21"/>
        <v>149950</v>
      </c>
      <c r="Q30" s="601">
        <f t="shared" si="21"/>
        <v>6064</v>
      </c>
      <c r="R30" s="602">
        <f t="shared" si="21"/>
        <v>1087815</v>
      </c>
      <c r="S30" s="599">
        <f t="shared" si="21"/>
        <v>2496243</v>
      </c>
      <c r="T30" s="603">
        <f t="shared" si="12"/>
        <v>0.29286873227524901</v>
      </c>
      <c r="U30" s="604">
        <f t="shared" si="13"/>
        <v>0.20312806084984514</v>
      </c>
      <c r="V30" s="605">
        <f t="shared" si="14"/>
        <v>1.3183922123153807E-2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357805</v>
      </c>
      <c r="D31" s="599">
        <f t="shared" si="22"/>
        <v>354179</v>
      </c>
      <c r="E31" s="600">
        <f t="shared" si="22"/>
        <v>352222</v>
      </c>
      <c r="F31" s="600">
        <f t="shared" si="22"/>
        <v>1957</v>
      </c>
      <c r="G31" s="601">
        <f t="shared" si="22"/>
        <v>3626</v>
      </c>
      <c r="H31" s="529">
        <f t="shared" si="22"/>
        <v>569071</v>
      </c>
      <c r="I31" s="599">
        <f t="shared" si="22"/>
        <v>561787</v>
      </c>
      <c r="J31" s="600">
        <f t="shared" si="22"/>
        <v>299572</v>
      </c>
      <c r="K31" s="600">
        <f t="shared" si="22"/>
        <v>262215</v>
      </c>
      <c r="L31" s="600">
        <f t="shared" si="22"/>
        <v>7284</v>
      </c>
      <c r="M31" s="600">
        <f t="shared" si="22"/>
        <v>5654</v>
      </c>
      <c r="N31" s="601">
        <f t="shared" si="22"/>
        <v>1630</v>
      </c>
      <c r="O31" s="529">
        <f t="shared" si="22"/>
        <v>174967</v>
      </c>
      <c r="P31" s="599">
        <f t="shared" si="22"/>
        <v>168365</v>
      </c>
      <c r="Q31" s="601">
        <f t="shared" si="22"/>
        <v>6602</v>
      </c>
      <c r="R31" s="602">
        <f t="shared" si="22"/>
        <v>1224266</v>
      </c>
      <c r="S31" s="599">
        <f t="shared" si="22"/>
        <v>2808406</v>
      </c>
      <c r="T31" s="603">
        <f t="shared" si="12"/>
        <v>0.29226083220476595</v>
      </c>
      <c r="U31" s="604">
        <f t="shared" si="13"/>
        <v>0.20263131470307355</v>
      </c>
      <c r="V31" s="605">
        <f t="shared" si="14"/>
        <v>1.279980881120282E-2</v>
      </c>
    </row>
    <row r="32" spans="1:45" ht="20.149999999999999" customHeight="1" x14ac:dyDescent="0.2">
      <c r="B32" s="537" t="s">
        <v>63</v>
      </c>
      <c r="C32" s="529">
        <f t="shared" ref="C32:S32" si="23">SUM(C8:C17)</f>
        <v>396930</v>
      </c>
      <c r="D32" s="599">
        <f t="shared" si="23"/>
        <v>393026</v>
      </c>
      <c r="E32" s="600">
        <f t="shared" si="23"/>
        <v>390916</v>
      </c>
      <c r="F32" s="600">
        <f t="shared" si="23"/>
        <v>2110</v>
      </c>
      <c r="G32" s="601">
        <f t="shared" si="23"/>
        <v>3904</v>
      </c>
      <c r="H32" s="529">
        <f t="shared" si="23"/>
        <v>630881</v>
      </c>
      <c r="I32" s="599">
        <f t="shared" si="23"/>
        <v>623046</v>
      </c>
      <c r="J32" s="600">
        <f t="shared" si="23"/>
        <v>332179</v>
      </c>
      <c r="K32" s="600">
        <f t="shared" si="23"/>
        <v>290867</v>
      </c>
      <c r="L32" s="600">
        <f t="shared" si="23"/>
        <v>7835</v>
      </c>
      <c r="M32" s="600">
        <f t="shared" si="23"/>
        <v>6090</v>
      </c>
      <c r="N32" s="601">
        <f t="shared" si="23"/>
        <v>1745</v>
      </c>
      <c r="O32" s="529">
        <f t="shared" si="23"/>
        <v>193799</v>
      </c>
      <c r="P32" s="599">
        <f t="shared" si="23"/>
        <v>186732</v>
      </c>
      <c r="Q32" s="601">
        <f t="shared" si="23"/>
        <v>7067</v>
      </c>
      <c r="R32" s="602">
        <f t="shared" si="23"/>
        <v>1360782</v>
      </c>
      <c r="S32" s="599">
        <f t="shared" si="23"/>
        <v>3120573</v>
      </c>
      <c r="T32" s="603">
        <f t="shared" si="12"/>
        <v>0.29169257088938566</v>
      </c>
      <c r="U32" s="604">
        <f t="shared" si="13"/>
        <v>0.20216831972846014</v>
      </c>
      <c r="V32" s="605">
        <f t="shared" si="14"/>
        <v>1.2419140852236792E-2</v>
      </c>
    </row>
    <row r="33" spans="1:35" ht="20.149999999999999" customHeight="1" x14ac:dyDescent="0.2">
      <c r="B33" s="537" t="s">
        <v>64</v>
      </c>
      <c r="C33" s="529">
        <f t="shared" ref="C33:S33" si="24">SUM(C8:C18)</f>
        <v>435877</v>
      </c>
      <c r="D33" s="599">
        <f t="shared" si="24"/>
        <v>431736</v>
      </c>
      <c r="E33" s="600">
        <f t="shared" si="24"/>
        <v>429491</v>
      </c>
      <c r="F33" s="600">
        <f t="shared" si="24"/>
        <v>2245</v>
      </c>
      <c r="G33" s="601">
        <f t="shared" si="24"/>
        <v>4141</v>
      </c>
      <c r="H33" s="529">
        <f t="shared" si="24"/>
        <v>692354</v>
      </c>
      <c r="I33" s="599">
        <f t="shared" si="24"/>
        <v>684056</v>
      </c>
      <c r="J33" s="600">
        <f t="shared" si="24"/>
        <v>364622</v>
      </c>
      <c r="K33" s="600">
        <f t="shared" si="24"/>
        <v>319434</v>
      </c>
      <c r="L33" s="600">
        <f t="shared" si="24"/>
        <v>8298</v>
      </c>
      <c r="M33" s="600">
        <f t="shared" si="24"/>
        <v>6466</v>
      </c>
      <c r="N33" s="601">
        <f t="shared" si="24"/>
        <v>1832</v>
      </c>
      <c r="O33" s="529">
        <f t="shared" si="24"/>
        <v>212476</v>
      </c>
      <c r="P33" s="599">
        <f t="shared" si="24"/>
        <v>204998</v>
      </c>
      <c r="Q33" s="601">
        <f t="shared" si="24"/>
        <v>7478</v>
      </c>
      <c r="R33" s="602">
        <f t="shared" si="24"/>
        <v>1497310</v>
      </c>
      <c r="S33" s="599">
        <f t="shared" si="24"/>
        <v>3432622</v>
      </c>
      <c r="T33" s="603">
        <f t="shared" si="12"/>
        <v>0.29110671804769889</v>
      </c>
      <c r="U33" s="604">
        <f t="shared" si="13"/>
        <v>0.20169829360762706</v>
      </c>
      <c r="V33" s="605">
        <f t="shared" si="14"/>
        <v>1.1985198323401034E-2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474707</v>
      </c>
      <c r="D34" s="608">
        <f t="shared" si="25"/>
        <v>470355</v>
      </c>
      <c r="E34" s="609">
        <f t="shared" si="25"/>
        <v>467980</v>
      </c>
      <c r="F34" s="609">
        <f t="shared" si="25"/>
        <v>2375</v>
      </c>
      <c r="G34" s="610">
        <f t="shared" si="25"/>
        <v>4352</v>
      </c>
      <c r="H34" s="607">
        <f t="shared" si="25"/>
        <v>753505</v>
      </c>
      <c r="I34" s="608">
        <f t="shared" si="25"/>
        <v>744788</v>
      </c>
      <c r="J34" s="609">
        <f t="shared" si="25"/>
        <v>396894</v>
      </c>
      <c r="K34" s="609">
        <f t="shared" si="25"/>
        <v>347894</v>
      </c>
      <c r="L34" s="609">
        <f t="shared" si="25"/>
        <v>8717</v>
      </c>
      <c r="M34" s="609">
        <f t="shared" si="25"/>
        <v>6811</v>
      </c>
      <c r="N34" s="610">
        <f t="shared" si="25"/>
        <v>1906</v>
      </c>
      <c r="O34" s="607">
        <f t="shared" si="25"/>
        <v>230999</v>
      </c>
      <c r="P34" s="608">
        <f t="shared" si="25"/>
        <v>223158</v>
      </c>
      <c r="Q34" s="610">
        <f t="shared" si="25"/>
        <v>7841</v>
      </c>
      <c r="R34" s="611">
        <f t="shared" si="25"/>
        <v>1634253</v>
      </c>
      <c r="S34" s="608">
        <f t="shared" si="25"/>
        <v>3744385</v>
      </c>
      <c r="T34" s="612">
        <f t="shared" si="12"/>
        <v>0.29047338447596549</v>
      </c>
      <c r="U34" s="613">
        <f t="shared" si="13"/>
        <v>0.20123598401339607</v>
      </c>
      <c r="V34" s="614">
        <f t="shared" si="14"/>
        <v>1.1568602729908893E-2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475831</v>
      </c>
      <c r="D35" s="616">
        <f t="shared" si="26"/>
        <v>471140</v>
      </c>
      <c r="E35" s="616">
        <f t="shared" si="26"/>
        <v>468621</v>
      </c>
      <c r="F35" s="616">
        <f t="shared" si="26"/>
        <v>2519</v>
      </c>
      <c r="G35" s="617">
        <f t="shared" si="26"/>
        <v>4691</v>
      </c>
      <c r="H35" s="618">
        <f t="shared" si="26"/>
        <v>756444</v>
      </c>
      <c r="I35" s="616">
        <f t="shared" si="26"/>
        <v>747045</v>
      </c>
      <c r="J35" s="616">
        <f t="shared" si="26"/>
        <v>398373</v>
      </c>
      <c r="K35" s="616">
        <f t="shared" si="26"/>
        <v>348672</v>
      </c>
      <c r="L35" s="616">
        <f t="shared" si="26"/>
        <v>9399</v>
      </c>
      <c r="M35" s="616">
        <f t="shared" si="26"/>
        <v>7304</v>
      </c>
      <c r="N35" s="619">
        <f t="shared" si="26"/>
        <v>2095</v>
      </c>
      <c r="O35" s="618">
        <f t="shared" si="26"/>
        <v>232192</v>
      </c>
      <c r="P35" s="616">
        <f t="shared" si="26"/>
        <v>223728</v>
      </c>
      <c r="Q35" s="619">
        <f t="shared" si="26"/>
        <v>8464</v>
      </c>
      <c r="R35" s="618">
        <f t="shared" si="26"/>
        <v>1632384</v>
      </c>
      <c r="S35" s="616">
        <f t="shared" si="26"/>
        <v>3744294</v>
      </c>
      <c r="T35" s="620">
        <f t="shared" si="12"/>
        <v>0.29149452579785151</v>
      </c>
      <c r="U35" s="620">
        <f t="shared" si="13"/>
        <v>0.20202580246102469</v>
      </c>
      <c r="V35" s="621">
        <f t="shared" si="14"/>
        <v>1.2425242318003711E-2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39653</v>
      </c>
      <c r="D36" s="626">
        <f>E36+F36</f>
        <v>39262</v>
      </c>
      <c r="E36" s="626">
        <f>C36-F36-G36</f>
        <v>39052</v>
      </c>
      <c r="F36" s="626">
        <f>ROUND(AVERAGE(F7:F18),0)</f>
        <v>210</v>
      </c>
      <c r="G36" s="627">
        <f>ROUND(AVERAGE(G7:G18),0)</f>
        <v>391</v>
      </c>
      <c r="H36" s="625">
        <f>L36+I36</f>
        <v>63037</v>
      </c>
      <c r="I36" s="626">
        <f>ROUND(AVERAGE(I7:I18),0)</f>
        <v>62254</v>
      </c>
      <c r="J36" s="626">
        <f>J35/(COUNTIF(J7:J18,"&gt;0"))</f>
        <v>33197.75</v>
      </c>
      <c r="K36" s="626">
        <f>AVERAGE(K7:K18)</f>
        <v>29056</v>
      </c>
      <c r="L36" s="626">
        <f>ROUND(L35/(COUNTIF(L7:L18,"&gt;0")),0)</f>
        <v>783</v>
      </c>
      <c r="M36" s="626">
        <f>ROUND(AVERAGE(M7:M18),0)</f>
        <v>609</v>
      </c>
      <c r="N36" s="628">
        <f>L36-M36</f>
        <v>174</v>
      </c>
      <c r="O36" s="625">
        <f>AVERAGE(O7:O18)</f>
        <v>19349.333333333332</v>
      </c>
      <c r="P36" s="626">
        <f>P35/(COUNTIF(P7:P18,"&gt;0"))</f>
        <v>18644</v>
      </c>
      <c r="Q36" s="628">
        <f>AVERAGE(Q7:Q18)</f>
        <v>705.33333333333337</v>
      </c>
      <c r="R36" s="625">
        <f>AVERAGE(R7:R18)</f>
        <v>136032</v>
      </c>
      <c r="S36" s="626">
        <f>AVERAGE(S7:S18)</f>
        <v>312024.5</v>
      </c>
      <c r="T36" s="629">
        <f t="shared" si="12"/>
        <v>0.29149758880263466</v>
      </c>
      <c r="U36" s="630">
        <f t="shared" si="13"/>
        <v>0.20202580246102469</v>
      </c>
      <c r="V36" s="631">
        <f t="shared" si="14"/>
        <v>1.2421276393229373E-2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478139</v>
      </c>
      <c r="D37" s="635">
        <f t="shared" si="27"/>
        <v>472761</v>
      </c>
      <c r="E37" s="636">
        <f t="shared" si="27"/>
        <v>469923</v>
      </c>
      <c r="F37" s="636">
        <f t="shared" si="27"/>
        <v>2838</v>
      </c>
      <c r="G37" s="637">
        <f t="shared" si="27"/>
        <v>5378</v>
      </c>
      <c r="H37" s="634">
        <f t="shared" si="27"/>
        <v>762426</v>
      </c>
      <c r="I37" s="635">
        <f t="shared" si="27"/>
        <v>751611</v>
      </c>
      <c r="J37" s="636">
        <f t="shared" si="27"/>
        <v>401426</v>
      </c>
      <c r="K37" s="636">
        <f t="shared" si="27"/>
        <v>350185</v>
      </c>
      <c r="L37" s="636">
        <f t="shared" si="27"/>
        <v>10815</v>
      </c>
      <c r="M37" s="636">
        <f t="shared" si="27"/>
        <v>8332</v>
      </c>
      <c r="N37" s="637">
        <f t="shared" si="27"/>
        <v>2483</v>
      </c>
      <c r="O37" s="634">
        <f t="shared" si="27"/>
        <v>234618</v>
      </c>
      <c r="P37" s="638">
        <f t="shared" si="27"/>
        <v>224841</v>
      </c>
      <c r="Q37" s="637">
        <f t="shared" si="27"/>
        <v>9777</v>
      </c>
      <c r="R37" s="634">
        <f t="shared" si="27"/>
        <v>1628798</v>
      </c>
      <c r="S37" s="635">
        <f t="shared" si="27"/>
        <v>3743979</v>
      </c>
      <c r="T37" s="639">
        <f t="shared" si="12"/>
        <v>0.29355328285029819</v>
      </c>
      <c r="U37" s="639">
        <f t="shared" si="13"/>
        <v>0.20364056529163224</v>
      </c>
      <c r="V37" s="640">
        <f t="shared" si="14"/>
        <v>1.4184983198369416E-2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39844.916666666664</v>
      </c>
      <c r="D38" s="643">
        <f t="shared" ref="D38:S38" si="28">D37/(COUNTIF(D8:D16,"&gt;0")+3)</f>
        <v>39396.75</v>
      </c>
      <c r="E38" s="644">
        <f t="shared" si="28"/>
        <v>39160.25</v>
      </c>
      <c r="F38" s="644">
        <f t="shared" si="28"/>
        <v>236.5</v>
      </c>
      <c r="G38" s="645">
        <f t="shared" si="28"/>
        <v>448.16666666666669</v>
      </c>
      <c r="H38" s="642">
        <f t="shared" si="28"/>
        <v>63535.5</v>
      </c>
      <c r="I38" s="643">
        <f t="shared" si="28"/>
        <v>62634.25</v>
      </c>
      <c r="J38" s="644">
        <f t="shared" si="28"/>
        <v>33452.166666666664</v>
      </c>
      <c r="K38" s="644">
        <f t="shared" si="28"/>
        <v>29182.083333333332</v>
      </c>
      <c r="L38" s="644">
        <f t="shared" si="28"/>
        <v>901.25</v>
      </c>
      <c r="M38" s="644">
        <f t="shared" si="28"/>
        <v>694.33333333333337</v>
      </c>
      <c r="N38" s="645">
        <f t="shared" si="28"/>
        <v>206.91666666666666</v>
      </c>
      <c r="O38" s="642">
        <f t="shared" si="28"/>
        <v>19551.5</v>
      </c>
      <c r="P38" s="646">
        <f t="shared" si="28"/>
        <v>18736.75</v>
      </c>
      <c r="Q38" s="645">
        <f t="shared" si="28"/>
        <v>814.75</v>
      </c>
      <c r="R38" s="642">
        <f t="shared" si="28"/>
        <v>135733.16666666666</v>
      </c>
      <c r="S38" s="643">
        <f t="shared" si="28"/>
        <v>311998.25</v>
      </c>
      <c r="T38" s="647">
        <f t="shared" si="12"/>
        <v>0.29355328285029819</v>
      </c>
      <c r="U38" s="647">
        <f t="shared" si="13"/>
        <v>0.20364056529163224</v>
      </c>
      <c r="V38" s="648">
        <f t="shared" si="14"/>
        <v>1.4184983198369416E-2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205">
        <f>SUM(平成5年度!C17:C19)</f>
        <v>105695</v>
      </c>
      <c r="D2" s="205">
        <f>SUM(平成5年度!D17:D19)</f>
        <v>90924</v>
      </c>
      <c r="E2" s="205">
        <f>SUM(平成5年度!E17:E19)</f>
        <v>86718</v>
      </c>
      <c r="F2" s="205">
        <f>SUM(平成5年度!F17:F19)</f>
        <v>4206</v>
      </c>
      <c r="G2" s="205">
        <f>SUM(平成5年度!G17:G19)</f>
        <v>14771</v>
      </c>
      <c r="H2" s="205">
        <f>SUM(平成5年度!H17:H19)</f>
        <v>221052</v>
      </c>
      <c r="I2" s="205">
        <f>SUM(平成5年度!I17:I19)</f>
        <v>191050</v>
      </c>
      <c r="J2" s="205">
        <f>SUM(平成5年度!J17:J19)</f>
        <v>149043</v>
      </c>
      <c r="K2" s="205">
        <f>SUM(平成5年度!K17:K19)</f>
        <v>42007</v>
      </c>
      <c r="L2" s="205">
        <f>SUM(平成5年度!L17:L19)</f>
        <v>30002</v>
      </c>
      <c r="M2" s="205">
        <f>SUM(平成5年度!M17:M19)</f>
        <v>21678</v>
      </c>
      <c r="N2" s="205">
        <f>SUM(平成5年度!N17:N19)</f>
        <v>8324</v>
      </c>
      <c r="O2" s="205">
        <f>SUM(平成5年度!O17:O19)</f>
        <v>289428</v>
      </c>
      <c r="P2" s="205">
        <f>SUM(平成5年度!P17:P19)</f>
        <v>856318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139</v>
      </c>
      <c r="D3" s="3"/>
      <c r="E3" s="3" t="s">
        <v>140</v>
      </c>
      <c r="F3" s="3" t="s">
        <v>141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142</v>
      </c>
      <c r="C4" s="10" t="s">
        <v>143</v>
      </c>
      <c r="D4" s="11"/>
      <c r="E4" s="11"/>
      <c r="F4" s="11"/>
      <c r="G4" s="12"/>
      <c r="H4" s="10" t="s">
        <v>144</v>
      </c>
      <c r="I4" s="11"/>
      <c r="J4" s="11"/>
      <c r="K4" s="11"/>
      <c r="L4" s="11"/>
      <c r="M4" s="11"/>
      <c r="N4" s="11"/>
      <c r="O4" s="10" t="s">
        <v>145</v>
      </c>
      <c r="P4" s="11" t="s">
        <v>146</v>
      </c>
      <c r="Q4" s="12" t="s">
        <v>147</v>
      </c>
      <c r="R4" s="13" t="s">
        <v>148</v>
      </c>
      <c r="S4" s="14" t="s">
        <v>149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150</v>
      </c>
      <c r="D5" s="25" t="s">
        <v>151</v>
      </c>
      <c r="E5" s="26" t="s">
        <v>152</v>
      </c>
      <c r="F5" s="26" t="s">
        <v>153</v>
      </c>
      <c r="G5" s="27" t="s">
        <v>154</v>
      </c>
      <c r="H5" s="24" t="s">
        <v>155</v>
      </c>
      <c r="I5" s="25" t="s">
        <v>156</v>
      </c>
      <c r="J5" s="26" t="s">
        <v>157</v>
      </c>
      <c r="K5" s="26" t="s">
        <v>158</v>
      </c>
      <c r="L5" s="26" t="s">
        <v>159</v>
      </c>
      <c r="M5" s="26" t="s">
        <v>160</v>
      </c>
      <c r="N5" s="27" t="s">
        <v>161</v>
      </c>
      <c r="O5" s="24" t="s">
        <v>162</v>
      </c>
      <c r="P5" s="25" t="s">
        <v>163</v>
      </c>
      <c r="Q5" s="27" t="s">
        <v>164</v>
      </c>
      <c r="R5" s="24" t="s">
        <v>165</v>
      </c>
      <c r="S5" s="25" t="s">
        <v>166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167</v>
      </c>
      <c r="D6" s="14" t="s">
        <v>168</v>
      </c>
      <c r="E6" s="15" t="s">
        <v>169</v>
      </c>
      <c r="F6" s="15" t="s">
        <v>170</v>
      </c>
      <c r="G6" s="16" t="s">
        <v>171</v>
      </c>
      <c r="H6" s="38" t="s">
        <v>172</v>
      </c>
      <c r="I6" s="14" t="s">
        <v>173</v>
      </c>
      <c r="J6" s="15" t="s">
        <v>174</v>
      </c>
      <c r="K6" s="15" t="s">
        <v>175</v>
      </c>
      <c r="L6" s="15" t="s">
        <v>176</v>
      </c>
      <c r="M6" s="15" t="s">
        <v>177</v>
      </c>
      <c r="N6" s="16" t="s">
        <v>178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179</v>
      </c>
      <c r="C8" s="44">
        <f>平成6年度!D8+平成6年度!G8</f>
        <v>35435</v>
      </c>
      <c r="D8" s="45">
        <f>平成6年度!E8+平成6年度!F8</f>
        <v>30465</v>
      </c>
      <c r="E8" s="45">
        <v>29027</v>
      </c>
      <c r="F8" s="46">
        <v>1438</v>
      </c>
      <c r="G8" s="47">
        <v>4970</v>
      </c>
      <c r="H8" s="48">
        <f>平成6年度!I8+平成6年度!L8</f>
        <v>73765</v>
      </c>
      <c r="I8" s="45">
        <f>平成6年度!J8+平成6年度!K8</f>
        <v>63623</v>
      </c>
      <c r="J8" s="46">
        <v>49485</v>
      </c>
      <c r="K8" s="49">
        <v>14138</v>
      </c>
      <c r="L8" s="45">
        <f>平成6年度!M8+平成6年度!N8</f>
        <v>10142</v>
      </c>
      <c r="M8" s="46">
        <v>7315</v>
      </c>
      <c r="N8" s="47">
        <v>2827</v>
      </c>
      <c r="O8" s="44">
        <v>97039</v>
      </c>
      <c r="P8" s="45">
        <v>285862</v>
      </c>
      <c r="Q8" s="47">
        <f>平成6年度!C8/平成6年度!O8</f>
        <v>0.36516246045404427</v>
      </c>
      <c r="R8" s="44">
        <f>平成6年度!H8/平成6年度!P8</f>
        <v>0.25804409120484711</v>
      </c>
      <c r="S8" s="46">
        <f>平成6年度!L8/平成6年度!H8</f>
        <v>0.13749067986172303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180</v>
      </c>
      <c r="C9" s="44">
        <f>平成6年度!D9+平成6年度!G9</f>
        <v>35457</v>
      </c>
      <c r="D9" s="45">
        <f>平成6年度!E9+平成6年度!F9</f>
        <v>30484</v>
      </c>
      <c r="E9" s="45">
        <v>29049</v>
      </c>
      <c r="F9" s="46">
        <v>1435</v>
      </c>
      <c r="G9" s="47">
        <v>4973</v>
      </c>
      <c r="H9" s="48">
        <f>平成6年度!I9+平成6年度!L9</f>
        <v>73668</v>
      </c>
      <c r="I9" s="45">
        <f>平成6年度!J9+平成6年度!K9</f>
        <v>63528</v>
      </c>
      <c r="J9" s="46">
        <v>49354</v>
      </c>
      <c r="K9" s="49">
        <v>14174</v>
      </c>
      <c r="L9" s="45">
        <f>平成6年度!M9+平成6年度!N9</f>
        <v>10140</v>
      </c>
      <c r="M9" s="46">
        <v>7317</v>
      </c>
      <c r="N9" s="47">
        <v>2823</v>
      </c>
      <c r="O9" s="44">
        <v>97156</v>
      </c>
      <c r="P9" s="45">
        <v>286014</v>
      </c>
      <c r="Q9" s="47">
        <f>平成6年度!C9/平成6年度!O9</f>
        <v>0.36494915393799665</v>
      </c>
      <c r="R9" s="44">
        <f>平成6年度!H9/平成6年度!P9</f>
        <v>0.2575678113658772</v>
      </c>
      <c r="S9" s="46">
        <f>平成6年度!L9/平成6年度!H9</f>
        <v>0.13764456751913992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181</v>
      </c>
      <c r="C10" s="54">
        <f>平成6年度!D10+平成6年度!G10</f>
        <v>35498</v>
      </c>
      <c r="D10" s="55">
        <f>平成6年度!E10+平成6年度!F10</f>
        <v>30489</v>
      </c>
      <c r="E10" s="55">
        <v>29041</v>
      </c>
      <c r="F10" s="56">
        <v>1448</v>
      </c>
      <c r="G10" s="57">
        <v>5009</v>
      </c>
      <c r="H10" s="58">
        <f>平成6年度!I10+平成6年度!L10</f>
        <v>73637</v>
      </c>
      <c r="I10" s="55">
        <f>平成6年度!J10+平成6年度!K10</f>
        <v>63411</v>
      </c>
      <c r="J10" s="56">
        <v>49171</v>
      </c>
      <c r="K10" s="59">
        <v>14240</v>
      </c>
      <c r="L10" s="55">
        <f>平成6年度!M10+平成6年度!N10</f>
        <v>10226</v>
      </c>
      <c r="M10" s="56">
        <v>7378</v>
      </c>
      <c r="N10" s="57">
        <v>2848</v>
      </c>
      <c r="O10" s="54">
        <v>97283</v>
      </c>
      <c r="P10" s="55">
        <v>286198</v>
      </c>
      <c r="Q10" s="57">
        <f>平成6年度!C10/平成6年度!O10</f>
        <v>0.36489417472734187</v>
      </c>
      <c r="R10" s="54">
        <f>平成6年度!H10/平成6年度!P10</f>
        <v>0.25729390142488767</v>
      </c>
      <c r="S10" s="56">
        <f>平成6年度!L10/平成6年度!H10</f>
        <v>0.13887040482366203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182</v>
      </c>
      <c r="C11" s="54">
        <f>平成6年度!D11+平成6年度!G11</f>
        <v>35574</v>
      </c>
      <c r="D11" s="55">
        <f>平成6年度!E11+平成6年度!F11</f>
        <v>30541</v>
      </c>
      <c r="E11" s="55">
        <v>29090</v>
      </c>
      <c r="F11" s="56">
        <v>1451</v>
      </c>
      <c r="G11" s="57">
        <v>5033</v>
      </c>
      <c r="H11" s="58">
        <f>平成6年度!I11+平成6年度!L11</f>
        <v>73676</v>
      </c>
      <c r="I11" s="55">
        <f>平成6年度!J11+平成6年度!K11</f>
        <v>63419</v>
      </c>
      <c r="J11" s="56">
        <v>49131</v>
      </c>
      <c r="K11" s="59">
        <v>14288</v>
      </c>
      <c r="L11" s="55">
        <f>平成6年度!M11+平成6年度!N11</f>
        <v>10257</v>
      </c>
      <c r="M11" s="56">
        <v>7412</v>
      </c>
      <c r="N11" s="57">
        <v>2845</v>
      </c>
      <c r="O11" s="54">
        <v>97440</v>
      </c>
      <c r="P11" s="55">
        <v>286456</v>
      </c>
      <c r="Q11" s="57">
        <f>平成6年度!C11/平成6年度!O11</f>
        <v>0.36508620689655175</v>
      </c>
      <c r="R11" s="54">
        <f>平成6年度!H11/平成6年度!P11</f>
        <v>0.25719831317898734</v>
      </c>
      <c r="S11" s="56">
        <f>平成6年度!L11/平成6年度!H11</f>
        <v>0.13921765568163311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183</v>
      </c>
      <c r="C12" s="54">
        <f>平成6年度!D12+平成6年度!G12</f>
        <v>35592</v>
      </c>
      <c r="D12" s="55">
        <f>平成6年度!E12+平成6年度!F12</f>
        <v>30577</v>
      </c>
      <c r="E12" s="55">
        <v>29115</v>
      </c>
      <c r="F12" s="56">
        <v>1462</v>
      </c>
      <c r="G12" s="57">
        <v>5015</v>
      </c>
      <c r="H12" s="58">
        <f>平成6年度!I12+平成6年度!L12</f>
        <v>73708</v>
      </c>
      <c r="I12" s="55">
        <f>平成6年度!J12+平成6年度!K12</f>
        <v>63457</v>
      </c>
      <c r="J12" s="56">
        <v>49111</v>
      </c>
      <c r="K12" s="59">
        <v>14346</v>
      </c>
      <c r="L12" s="55">
        <f>平成6年度!M12+平成6年度!N12</f>
        <v>10251</v>
      </c>
      <c r="M12" s="56">
        <v>7406</v>
      </c>
      <c r="N12" s="57">
        <v>2845</v>
      </c>
      <c r="O12" s="54">
        <v>97587</v>
      </c>
      <c r="P12" s="55">
        <v>286654</v>
      </c>
      <c r="Q12" s="57">
        <f>平成6年度!C12/平成6年度!O12</f>
        <v>0.36472071075040735</v>
      </c>
      <c r="R12" s="54">
        <f>平成6年度!H12/平成6年度!P12</f>
        <v>0.25713229189196735</v>
      </c>
      <c r="S12" s="56">
        <f>平成6年度!L12/平成6年度!H12</f>
        <v>0.13907581266619634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184</v>
      </c>
      <c r="C13" s="44">
        <f>平成6年度!D13+平成6年度!G13</f>
        <v>35668</v>
      </c>
      <c r="D13" s="45">
        <f>平成6年度!E13+平成6年度!F13</f>
        <v>30699</v>
      </c>
      <c r="E13" s="45">
        <v>29248</v>
      </c>
      <c r="F13" s="46">
        <v>1451</v>
      </c>
      <c r="G13" s="47">
        <v>4969</v>
      </c>
      <c r="H13" s="58">
        <f>平成6年度!I13+平成6年度!L13</f>
        <v>73702</v>
      </c>
      <c r="I13" s="45">
        <f>平成6年度!J13+平成6年度!K13</f>
        <v>63531</v>
      </c>
      <c r="J13" s="46">
        <v>49124</v>
      </c>
      <c r="K13" s="49">
        <v>14407</v>
      </c>
      <c r="L13" s="45">
        <f>平成6年度!M13+平成6年度!N13</f>
        <v>10171</v>
      </c>
      <c r="M13" s="46">
        <v>7338</v>
      </c>
      <c r="N13" s="47">
        <v>2833</v>
      </c>
      <c r="O13" s="44">
        <v>97657</v>
      </c>
      <c r="P13" s="45">
        <v>286660</v>
      </c>
      <c r="Q13" s="47">
        <f>平成6年度!C13/平成6年度!O13</f>
        <v>0.36523751497588497</v>
      </c>
      <c r="R13" s="44">
        <f>平成6年度!H13/平成6年度!P13</f>
        <v>0.25710597920881884</v>
      </c>
      <c r="S13" s="46">
        <f>平成6年度!L13/平成6年度!H13</f>
        <v>0.13800168245095112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185</v>
      </c>
      <c r="C14" s="44">
        <f>平成6年度!D14+平成6年度!G14</f>
        <v>35791</v>
      </c>
      <c r="D14" s="45">
        <f>平成6年度!E14+平成6年度!F14</f>
        <v>30774</v>
      </c>
      <c r="E14" s="45">
        <v>29320</v>
      </c>
      <c r="F14" s="46">
        <v>1454</v>
      </c>
      <c r="G14" s="47">
        <v>5017</v>
      </c>
      <c r="H14" s="48">
        <f>平成6年度!I14+平成6年度!L14</f>
        <v>73839</v>
      </c>
      <c r="I14" s="45">
        <f>平成6年度!J14+平成6年度!K14</f>
        <v>63584</v>
      </c>
      <c r="J14" s="46">
        <v>49063</v>
      </c>
      <c r="K14" s="49">
        <v>14521</v>
      </c>
      <c r="L14" s="45">
        <f>平成6年度!M14+平成6年度!N14</f>
        <v>10255</v>
      </c>
      <c r="M14" s="46">
        <v>7400</v>
      </c>
      <c r="N14" s="47">
        <v>2855</v>
      </c>
      <c r="O14" s="44">
        <v>97899</v>
      </c>
      <c r="P14" s="45">
        <v>286983</v>
      </c>
      <c r="Q14" s="47">
        <f>平成6年度!C14/平成6年度!O14</f>
        <v>0.3655910683459484</v>
      </c>
      <c r="R14" s="44">
        <f>平成6年度!H14/平成6年度!P14</f>
        <v>0.2572939860549231</v>
      </c>
      <c r="S14" s="46">
        <f>平成6年度!L14/平成6年度!H14</f>
        <v>0.13888324598112109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186</v>
      </c>
      <c r="C15" s="54">
        <f>平成6年度!D15+平成6年度!G15</f>
        <v>35843</v>
      </c>
      <c r="D15" s="55">
        <f>平成6年度!E15+平成6年度!F15</f>
        <v>30814</v>
      </c>
      <c r="E15" s="55">
        <v>29340</v>
      </c>
      <c r="F15" s="56">
        <v>1474</v>
      </c>
      <c r="G15" s="57">
        <v>5029</v>
      </c>
      <c r="H15" s="58">
        <f>平成6年度!I15+平成6年度!L15</f>
        <v>73874</v>
      </c>
      <c r="I15" s="55">
        <f>平成6年度!J15+平成6年度!K15</f>
        <v>63580</v>
      </c>
      <c r="J15" s="56">
        <v>48940</v>
      </c>
      <c r="K15" s="59">
        <v>14640</v>
      </c>
      <c r="L15" s="55">
        <f>平成6年度!M15+平成6年度!N15</f>
        <v>10294</v>
      </c>
      <c r="M15" s="56">
        <v>7437</v>
      </c>
      <c r="N15" s="57">
        <v>2857</v>
      </c>
      <c r="O15" s="54">
        <v>98097</v>
      </c>
      <c r="P15" s="55">
        <v>287290</v>
      </c>
      <c r="Q15" s="57">
        <f>平成6年度!C15/平成6年度!O15</f>
        <v>0.36538324311650711</v>
      </c>
      <c r="R15" s="54">
        <f>平成6年度!H15/平成6年度!P15</f>
        <v>0.25714086811236031</v>
      </c>
      <c r="S15" s="56">
        <f>平成6年度!L15/平成6年度!H15</f>
        <v>0.13934537184936513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187</v>
      </c>
      <c r="C16" s="44">
        <f>平成6年度!D16+平成6年度!G16</f>
        <v>35861</v>
      </c>
      <c r="D16" s="45">
        <f>平成6年度!E16+平成6年度!F16</f>
        <v>30834</v>
      </c>
      <c r="E16" s="45">
        <v>29365</v>
      </c>
      <c r="F16" s="46">
        <v>1469</v>
      </c>
      <c r="G16" s="47">
        <v>5027</v>
      </c>
      <c r="H16" s="48">
        <f>平成6年度!I16+平成6年度!L16</f>
        <v>73922</v>
      </c>
      <c r="I16" s="45">
        <f>平成6年度!J16+平成6年度!K16</f>
        <v>63641</v>
      </c>
      <c r="J16" s="46">
        <v>48932</v>
      </c>
      <c r="K16" s="49">
        <v>14709</v>
      </c>
      <c r="L16" s="45">
        <f>平成6年度!M16+平成6年度!N16</f>
        <v>10281</v>
      </c>
      <c r="M16" s="46">
        <v>7431</v>
      </c>
      <c r="N16" s="47">
        <v>2850</v>
      </c>
      <c r="O16" s="44">
        <v>98184</v>
      </c>
      <c r="P16" s="45">
        <v>287514</v>
      </c>
      <c r="Q16" s="47">
        <f>平成6年度!C16/平成6年度!O16</f>
        <v>0.36524280941904996</v>
      </c>
      <c r="R16" s="44">
        <f>平成6年度!H16/平成6年度!P16</f>
        <v>0.25710747998358341</v>
      </c>
      <c r="S16" s="46">
        <f>平成6年度!L16/平成6年度!H16</f>
        <v>0.13907902924704418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188</v>
      </c>
      <c r="C17" s="44">
        <f>平成6年度!D17+平成6年度!G17</f>
        <v>35941</v>
      </c>
      <c r="D17" s="45">
        <f>平成6年度!E17+平成6年度!F17</f>
        <v>30934</v>
      </c>
      <c r="E17" s="45">
        <v>29461</v>
      </c>
      <c r="F17" s="46">
        <v>1473</v>
      </c>
      <c r="G17" s="47">
        <v>5007</v>
      </c>
      <c r="H17" s="58">
        <f>平成6年度!I17+平成6年度!L17</f>
        <v>74044</v>
      </c>
      <c r="I17" s="45">
        <f>平成6年度!J17+平成6年度!K17</f>
        <v>63782</v>
      </c>
      <c r="J17" s="46">
        <v>49011</v>
      </c>
      <c r="K17" s="49">
        <v>14771</v>
      </c>
      <c r="L17" s="45">
        <f>平成6年度!M17+平成6年度!N17</f>
        <v>10262</v>
      </c>
      <c r="M17" s="46">
        <v>7410</v>
      </c>
      <c r="N17" s="47">
        <v>2852</v>
      </c>
      <c r="O17" s="44">
        <v>98311</v>
      </c>
      <c r="P17" s="45">
        <v>287703</v>
      </c>
      <c r="Q17" s="47">
        <f>平成6年度!C17/平成6年度!O17</f>
        <v>0.36558472602252035</v>
      </c>
      <c r="R17" s="44">
        <f>平成6年度!H17/平成6年度!P17</f>
        <v>0.25736262743176125</v>
      </c>
      <c r="S17" s="46">
        <f>平成6年度!L17/平成6年度!H17</f>
        <v>0.13859326886716006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189</v>
      </c>
      <c r="C18" s="54">
        <f>平成6年度!D18+平成6年度!G18</f>
        <v>35981</v>
      </c>
      <c r="D18" s="55">
        <f>平成6年度!E18+平成6年度!F18</f>
        <v>31008</v>
      </c>
      <c r="E18" s="55">
        <v>29550</v>
      </c>
      <c r="F18" s="56">
        <v>1458</v>
      </c>
      <c r="G18" s="57">
        <v>4973</v>
      </c>
      <c r="H18" s="58">
        <f>平成6年度!I18+平成6年度!L18</f>
        <v>73991</v>
      </c>
      <c r="I18" s="55">
        <f>平成6年度!J18+平成6年度!K18</f>
        <v>63826</v>
      </c>
      <c r="J18" s="56">
        <v>48907</v>
      </c>
      <c r="K18" s="59">
        <v>14919</v>
      </c>
      <c r="L18" s="55">
        <f>平成6年度!M18+平成6年度!N18</f>
        <v>10165</v>
      </c>
      <c r="M18" s="56">
        <v>7350</v>
      </c>
      <c r="N18" s="57">
        <v>2815</v>
      </c>
      <c r="O18" s="54">
        <v>98477</v>
      </c>
      <c r="P18" s="55">
        <v>287951</v>
      </c>
      <c r="Q18" s="57">
        <f>平成6年度!C18/平成6年度!O18</f>
        <v>0.36537465601104824</v>
      </c>
      <c r="R18" s="54">
        <f>平成6年度!H18/平成6年度!P18</f>
        <v>0.25695691280808192</v>
      </c>
      <c r="S18" s="56">
        <f>平成6年度!L18/平成6年度!H18</f>
        <v>0.13738157343460691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190</v>
      </c>
      <c r="C19" s="54">
        <f>平成6年度!D19+平成6年度!G19</f>
        <v>36029</v>
      </c>
      <c r="D19" s="55">
        <f>平成6年度!E19+平成6年度!F19</f>
        <v>31132</v>
      </c>
      <c r="E19" s="55">
        <v>29665</v>
      </c>
      <c r="F19" s="56">
        <v>1467</v>
      </c>
      <c r="G19" s="57">
        <v>4897</v>
      </c>
      <c r="H19" s="58">
        <f>平成6年度!I19+平成6年度!L19</f>
        <v>73958</v>
      </c>
      <c r="I19" s="55">
        <f>平成6年度!J19+平成6年度!K19</f>
        <v>63910</v>
      </c>
      <c r="J19" s="56">
        <v>48914</v>
      </c>
      <c r="K19" s="59">
        <v>14996</v>
      </c>
      <c r="L19" s="55">
        <f>平成6年度!M19+平成6年度!N19</f>
        <v>10048</v>
      </c>
      <c r="M19" s="56">
        <v>7258</v>
      </c>
      <c r="N19" s="57">
        <v>2790</v>
      </c>
      <c r="O19" s="54">
        <v>98491</v>
      </c>
      <c r="P19" s="55">
        <v>287580</v>
      </c>
      <c r="Q19" s="57">
        <f>平成6年度!C19/平成6年度!O19</f>
        <v>0.36581007401691523</v>
      </c>
      <c r="R19" s="54">
        <f>平成6年度!H19/平成6年度!P19</f>
        <v>0.25717365602614922</v>
      </c>
      <c r="S19" s="56">
        <f>平成6年度!L19/平成6年度!H19</f>
        <v>0.13586089402093079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191</v>
      </c>
      <c r="C20" s="48">
        <f>SUM(平成6年度!C8:C19)</f>
        <v>428670</v>
      </c>
      <c r="D20" s="45">
        <f>SUM(平成6年度!D8:D19)</f>
        <v>368751</v>
      </c>
      <c r="E20" s="79">
        <f>SUM(平成6年度!E8:E19)</f>
        <v>351271</v>
      </c>
      <c r="F20" s="79">
        <f>SUM(平成6年度!F8:F19)</f>
        <v>17480</v>
      </c>
      <c r="G20" s="80">
        <f>SUM(平成6年度!G8:G19)</f>
        <v>59919</v>
      </c>
      <c r="H20" s="48">
        <f>SUM(平成6年度!H8:H19)</f>
        <v>885784</v>
      </c>
      <c r="I20" s="45">
        <f>SUM(平成6年度!I8:I19)</f>
        <v>763292</v>
      </c>
      <c r="J20" s="79">
        <f>SUM(平成6年度!J8:J19)</f>
        <v>589143</v>
      </c>
      <c r="K20" s="79">
        <f>SUM(平成6年度!K8:K19)</f>
        <v>174149</v>
      </c>
      <c r="L20" s="79">
        <f>SUM(平成6年度!L8:L19)</f>
        <v>122492</v>
      </c>
      <c r="M20" s="79">
        <f>SUM(平成6年度!M8:M19)</f>
        <v>88452</v>
      </c>
      <c r="N20" s="80">
        <f>SUM(平成6年度!N8:N19)</f>
        <v>34040</v>
      </c>
      <c r="O20" s="48">
        <f>SUM(平成6年度!O8:O19)</f>
        <v>1173621</v>
      </c>
      <c r="P20" s="45">
        <f>SUM(平成6年度!P8:P19)</f>
        <v>3442865</v>
      </c>
      <c r="Q20" s="80">
        <f>平成6年度!C20/平成6年度!O20</f>
        <v>0.36525420046164819</v>
      </c>
      <c r="R20" s="48">
        <f>平成6年度!H20/平成6年度!P20</f>
        <v>0.25728107259506255</v>
      </c>
      <c r="S20" s="45">
        <f>平成6年度!L20/平成6年度!H20</f>
        <v>0.13828653486628795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192</v>
      </c>
      <c r="C21" s="48">
        <f>平成6年度!C20/12</f>
        <v>35722.5</v>
      </c>
      <c r="D21" s="45">
        <f>平成6年度!D20/12</f>
        <v>30729.25</v>
      </c>
      <c r="E21" s="79">
        <f>平成6年度!E20/12</f>
        <v>29272.583333333332</v>
      </c>
      <c r="F21" s="79">
        <f>平成6年度!F20/12</f>
        <v>1456.6666666666667</v>
      </c>
      <c r="G21" s="80">
        <f>平成6年度!G20/12</f>
        <v>4993.25</v>
      </c>
      <c r="H21" s="48">
        <f>平成6年度!H20/12</f>
        <v>73815.333333333328</v>
      </c>
      <c r="I21" s="45">
        <f>平成6年度!I20/12</f>
        <v>63607.666666666664</v>
      </c>
      <c r="J21" s="79">
        <f>平成6年度!J20/12</f>
        <v>49095.25</v>
      </c>
      <c r="K21" s="79">
        <f>平成6年度!K20/12</f>
        <v>14512.416666666666</v>
      </c>
      <c r="L21" s="79">
        <f>平成6年度!L20/12</f>
        <v>10207.666666666666</v>
      </c>
      <c r="M21" s="79">
        <f>平成6年度!M20/12</f>
        <v>7371</v>
      </c>
      <c r="N21" s="80">
        <f>平成6年度!N20/12</f>
        <v>2836.6666666666665</v>
      </c>
      <c r="O21" s="48">
        <f>平成6年度!O20/12</f>
        <v>97801.75</v>
      </c>
      <c r="P21" s="45">
        <f>平成6年度!P20/12</f>
        <v>286905.41666666669</v>
      </c>
      <c r="Q21" s="80">
        <f>平成6年度!C21/平成6年度!O21</f>
        <v>0.36525420046164819</v>
      </c>
      <c r="R21" s="48">
        <f>平成6年度!H21/平成6年度!P21</f>
        <v>0.2572810725950625</v>
      </c>
      <c r="S21" s="45">
        <f>平成6年度!L21/平成6年度!H21</f>
        <v>0.13828653486628795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193</v>
      </c>
      <c r="C23" s="48">
        <f>平成6年度!C8</f>
        <v>35435</v>
      </c>
      <c r="D23" s="45">
        <f>平成6年度!D8</f>
        <v>30465</v>
      </c>
      <c r="E23" s="79">
        <f>平成6年度!E8</f>
        <v>29027</v>
      </c>
      <c r="F23" s="79">
        <f>平成6年度!F8</f>
        <v>1438</v>
      </c>
      <c r="G23" s="80">
        <f>平成6年度!G8</f>
        <v>4970</v>
      </c>
      <c r="H23" s="48">
        <f>平成6年度!H8</f>
        <v>73765</v>
      </c>
      <c r="I23" s="45">
        <f>平成6年度!I8</f>
        <v>63623</v>
      </c>
      <c r="J23" s="79">
        <f>平成6年度!J8</f>
        <v>49485</v>
      </c>
      <c r="K23" s="79">
        <f>平成6年度!K8</f>
        <v>14138</v>
      </c>
      <c r="L23" s="79">
        <f>平成6年度!L8</f>
        <v>10142</v>
      </c>
      <c r="M23" s="79">
        <f>平成6年度!M8</f>
        <v>7315</v>
      </c>
      <c r="N23" s="80">
        <f>平成6年度!N8</f>
        <v>2827</v>
      </c>
      <c r="O23" s="48">
        <f>平成6年度!O8</f>
        <v>97039</v>
      </c>
      <c r="P23" s="45">
        <f>平成6年度!P8</f>
        <v>285862</v>
      </c>
      <c r="Q23" s="80">
        <f>平成6年度!C23/平成6年度!O23</f>
        <v>0.36516246045404427</v>
      </c>
      <c r="R23" s="48">
        <f>平成6年度!H23/平成6年度!P23</f>
        <v>0.25804409120484711</v>
      </c>
      <c r="S23" s="45">
        <f>平成6年度!L23/平成6年度!H23</f>
        <v>0.13749067986172303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194</v>
      </c>
      <c r="C24" s="58">
        <f>SUM(平成6年度!C8:C9)</f>
        <v>70892</v>
      </c>
      <c r="D24" s="55">
        <f>SUM(平成6年度!D8:D9)</f>
        <v>60949</v>
      </c>
      <c r="E24" s="89">
        <f>SUM(平成6年度!E8:E9)</f>
        <v>58076</v>
      </c>
      <c r="F24" s="89">
        <f>SUM(平成6年度!F8:F9)</f>
        <v>2873</v>
      </c>
      <c r="G24" s="90">
        <f>SUM(平成6年度!G8:G9)</f>
        <v>9943</v>
      </c>
      <c r="H24" s="58">
        <f>SUM(平成6年度!H8:H9)</f>
        <v>147433</v>
      </c>
      <c r="I24" s="55">
        <f>SUM(平成6年度!I8:I9)</f>
        <v>127151</v>
      </c>
      <c r="J24" s="89">
        <f>SUM(平成6年度!J8:J9)</f>
        <v>98839</v>
      </c>
      <c r="K24" s="89">
        <f>SUM(平成6年度!K8:K9)</f>
        <v>28312</v>
      </c>
      <c r="L24" s="89">
        <f>SUM(平成6年度!L8:L9)</f>
        <v>20282</v>
      </c>
      <c r="M24" s="89">
        <f>SUM(平成6年度!M8:M9)</f>
        <v>14632</v>
      </c>
      <c r="N24" s="90">
        <f>SUM(平成6年度!N8:N9)</f>
        <v>5650</v>
      </c>
      <c r="O24" s="58">
        <f>SUM(平成6年度!O8:O9)</f>
        <v>194195</v>
      </c>
      <c r="P24" s="55">
        <f>SUM(平成6年度!P8:P9)</f>
        <v>571876</v>
      </c>
      <c r="Q24" s="90">
        <f>平成6年度!C24/平成6年度!O24</f>
        <v>0.36505574293879861</v>
      </c>
      <c r="R24" s="58">
        <f>平成6年度!H24/平成6年度!P24</f>
        <v>0.25780588798970405</v>
      </c>
      <c r="S24" s="55">
        <f>平成6年度!L24/平成6年度!H24</f>
        <v>0.13756757306708811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195</v>
      </c>
      <c r="C25" s="58">
        <f>SUM(平成6年度!C8:C10)</f>
        <v>106390</v>
      </c>
      <c r="D25" s="55">
        <f>SUM(平成6年度!D8:D10)</f>
        <v>91438</v>
      </c>
      <c r="E25" s="89">
        <f>SUM(平成6年度!E8:E10)</f>
        <v>87117</v>
      </c>
      <c r="F25" s="89">
        <f>SUM(平成6年度!F8:F10)</f>
        <v>4321</v>
      </c>
      <c r="G25" s="90">
        <f>SUM(平成6年度!G8:G10)</f>
        <v>14952</v>
      </c>
      <c r="H25" s="58">
        <f>SUM(平成6年度!H8:H10)</f>
        <v>221070</v>
      </c>
      <c r="I25" s="55">
        <f>SUM(平成6年度!I8:I10)</f>
        <v>190562</v>
      </c>
      <c r="J25" s="89">
        <f>SUM(平成6年度!J8:J10)</f>
        <v>148010</v>
      </c>
      <c r="K25" s="89">
        <f>SUM(平成6年度!K8:K10)</f>
        <v>42552</v>
      </c>
      <c r="L25" s="89">
        <f>SUM(平成6年度!L8:L10)</f>
        <v>30508</v>
      </c>
      <c r="M25" s="89">
        <f>SUM(平成6年度!M8:M10)</f>
        <v>22010</v>
      </c>
      <c r="N25" s="90">
        <f>SUM(平成6年度!N8:N10)</f>
        <v>8498</v>
      </c>
      <c r="O25" s="58">
        <f>SUM(平成6年度!O8:O10)</f>
        <v>291478</v>
      </c>
      <c r="P25" s="55">
        <f>SUM(平成6年度!P8:P10)</f>
        <v>858074</v>
      </c>
      <c r="Q25" s="90">
        <f>平成6年度!C25/平成6年度!O25</f>
        <v>0.36500181831904982</v>
      </c>
      <c r="R25" s="58">
        <f>平成6年度!H25/平成6年度!P25</f>
        <v>0.2576351223787226</v>
      </c>
      <c r="S25" s="55">
        <f>平成6年度!L25/平成6年度!H25</f>
        <v>0.13800153797439724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196</v>
      </c>
      <c r="C26" s="58">
        <f>SUM(平成6年度!C8:C11)</f>
        <v>141964</v>
      </c>
      <c r="D26" s="55">
        <f>SUM(平成6年度!D8:D11)</f>
        <v>121979</v>
      </c>
      <c r="E26" s="89">
        <f>SUM(平成6年度!E8:E11)</f>
        <v>116207</v>
      </c>
      <c r="F26" s="89">
        <f>SUM(平成6年度!F8:F11)</f>
        <v>5772</v>
      </c>
      <c r="G26" s="90">
        <f>SUM(平成6年度!G8:G11)</f>
        <v>19985</v>
      </c>
      <c r="H26" s="58">
        <f>SUM(平成6年度!H8:H11)</f>
        <v>294746</v>
      </c>
      <c r="I26" s="55">
        <f>SUM(平成6年度!I8:I11)</f>
        <v>253981</v>
      </c>
      <c r="J26" s="89">
        <f>SUM(平成6年度!J8:J11)</f>
        <v>197141</v>
      </c>
      <c r="K26" s="89">
        <f>SUM(平成6年度!K8:K11)</f>
        <v>56840</v>
      </c>
      <c r="L26" s="89">
        <f>SUM(平成6年度!L8:L11)</f>
        <v>40765</v>
      </c>
      <c r="M26" s="89">
        <f>SUM(平成6年度!M8:M11)</f>
        <v>29422</v>
      </c>
      <c r="N26" s="90">
        <f>SUM(平成6年度!N8:N11)</f>
        <v>11343</v>
      </c>
      <c r="O26" s="58">
        <f>SUM(平成6年度!O8:O11)</f>
        <v>388918</v>
      </c>
      <c r="P26" s="55">
        <f>SUM(平成6年度!P8:P11)</f>
        <v>1144530</v>
      </c>
      <c r="Q26" s="90">
        <f>平成6年度!C26/平成6年度!O26</f>
        <v>0.36502296113833765</v>
      </c>
      <c r="R26" s="58">
        <f>平成6年度!H26/平成6年度!P26</f>
        <v>0.25752579661520447</v>
      </c>
      <c r="S26" s="55">
        <f>平成6年度!L26/平成6年度!H26</f>
        <v>0.138305524078359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197</v>
      </c>
      <c r="C27" s="58">
        <f>SUM(平成6年度!C8:C12)</f>
        <v>177556</v>
      </c>
      <c r="D27" s="55">
        <f>SUM(平成6年度!D8:D12)</f>
        <v>152556</v>
      </c>
      <c r="E27" s="89">
        <f>SUM(平成6年度!E8:E12)</f>
        <v>145322</v>
      </c>
      <c r="F27" s="89">
        <f>SUM(平成6年度!F8:F12)</f>
        <v>7234</v>
      </c>
      <c r="G27" s="90">
        <f>SUM(平成6年度!G8:G12)</f>
        <v>25000</v>
      </c>
      <c r="H27" s="58">
        <f>SUM(平成6年度!H8:H12)</f>
        <v>368454</v>
      </c>
      <c r="I27" s="55">
        <f>SUM(平成6年度!I8:I12)</f>
        <v>317438</v>
      </c>
      <c r="J27" s="89">
        <f>SUM(平成6年度!J8:J12)</f>
        <v>246252</v>
      </c>
      <c r="K27" s="89">
        <f>SUM(平成6年度!K8:K12)</f>
        <v>71186</v>
      </c>
      <c r="L27" s="89">
        <f>SUM(平成6年度!L8:L12)</f>
        <v>51016</v>
      </c>
      <c r="M27" s="89">
        <f>SUM(平成6年度!M8:M12)</f>
        <v>36828</v>
      </c>
      <c r="N27" s="90">
        <f>SUM(平成6年度!N8:N12)</f>
        <v>14188</v>
      </c>
      <c r="O27" s="58">
        <f>SUM(平成6年度!O8:O12)</f>
        <v>486505</v>
      </c>
      <c r="P27" s="55">
        <f>SUM(平成6年度!P8:P12)</f>
        <v>1431184</v>
      </c>
      <c r="Q27" s="90">
        <f>平成6年度!C27/平成6年度!O27</f>
        <v>0.36496233337786865</v>
      </c>
      <c r="R27" s="58">
        <f>平成6年度!H27/平成6年度!P27</f>
        <v>0.2574469809612181</v>
      </c>
      <c r="S27" s="55">
        <f>平成6年度!L27/平成6年度!H27</f>
        <v>0.13845961775418369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198</v>
      </c>
      <c r="C28" s="58">
        <f>SUM(平成6年度!C8:C13)</f>
        <v>213224</v>
      </c>
      <c r="D28" s="55">
        <f>SUM(平成6年度!D8:D13)</f>
        <v>183255</v>
      </c>
      <c r="E28" s="89">
        <f>SUM(平成6年度!E8:E13)</f>
        <v>174570</v>
      </c>
      <c r="F28" s="89">
        <f>SUM(平成6年度!F8:F13)</f>
        <v>8685</v>
      </c>
      <c r="G28" s="90">
        <f>SUM(平成6年度!G8:G13)</f>
        <v>29969</v>
      </c>
      <c r="H28" s="58">
        <f>SUM(平成6年度!H8:H13)</f>
        <v>442156</v>
      </c>
      <c r="I28" s="55">
        <f>SUM(平成6年度!I8:I13)</f>
        <v>380969</v>
      </c>
      <c r="J28" s="89">
        <f>SUM(平成6年度!J8:J13)</f>
        <v>295376</v>
      </c>
      <c r="K28" s="89">
        <f>SUM(平成6年度!K8:K13)</f>
        <v>85593</v>
      </c>
      <c r="L28" s="89">
        <f>SUM(平成6年度!L8:L13)</f>
        <v>61187</v>
      </c>
      <c r="M28" s="89">
        <f>SUM(平成6年度!M8:M13)</f>
        <v>44166</v>
      </c>
      <c r="N28" s="90">
        <f>SUM(平成6年度!N8:N13)</f>
        <v>17021</v>
      </c>
      <c r="O28" s="58">
        <f>SUM(平成6年度!O8:O13)</f>
        <v>584162</v>
      </c>
      <c r="P28" s="55">
        <f>SUM(平成6年度!P8:P13)</f>
        <v>1717844</v>
      </c>
      <c r="Q28" s="90">
        <f>平成6年度!C28/平成6年度!O28</f>
        <v>0.36500833672851024</v>
      </c>
      <c r="R28" s="58">
        <f>平成6年度!H28/平成6年度!P28</f>
        <v>0.25739007732948976</v>
      </c>
      <c r="S28" s="55">
        <f>平成6年度!L28/平成6年度!H28</f>
        <v>0.1383832855372312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199</v>
      </c>
      <c r="C29" s="58">
        <f>SUM(平成6年度!C8:C14)</f>
        <v>249015</v>
      </c>
      <c r="D29" s="55">
        <f>SUM(平成6年度!D8:D14)</f>
        <v>214029</v>
      </c>
      <c r="E29" s="89">
        <f>SUM(平成6年度!E8:E14)</f>
        <v>203890</v>
      </c>
      <c r="F29" s="89">
        <f>SUM(平成6年度!F8:F14)</f>
        <v>10139</v>
      </c>
      <c r="G29" s="90">
        <f>SUM(平成6年度!G8:G14)</f>
        <v>34986</v>
      </c>
      <c r="H29" s="58">
        <f>SUM(平成6年度!H8:H14)</f>
        <v>515995</v>
      </c>
      <c r="I29" s="55">
        <f>SUM(平成6年度!I8:I14)</f>
        <v>444553</v>
      </c>
      <c r="J29" s="89">
        <f>SUM(平成6年度!J8:J14)</f>
        <v>344439</v>
      </c>
      <c r="K29" s="89">
        <f>SUM(平成6年度!K8:K14)</f>
        <v>100114</v>
      </c>
      <c r="L29" s="89">
        <f>SUM(平成6年度!L8:L14)</f>
        <v>71442</v>
      </c>
      <c r="M29" s="89">
        <f>SUM(平成6年度!M8:M14)</f>
        <v>51566</v>
      </c>
      <c r="N29" s="90">
        <f>SUM(平成6年度!N8:N14)</f>
        <v>19876</v>
      </c>
      <c r="O29" s="58">
        <f>SUM(平成6年度!O8:O14)</f>
        <v>682061</v>
      </c>
      <c r="P29" s="55">
        <f>SUM(平成6年度!P8:P14)</f>
        <v>2004827</v>
      </c>
      <c r="Q29" s="90">
        <f>平成6年度!C29/平成6年度!O29</f>
        <v>0.36509197857669623</v>
      </c>
      <c r="R29" s="58">
        <f>平成6年度!H29/平成6年度!P29</f>
        <v>0.25737632224625867</v>
      </c>
      <c r="S29" s="55">
        <f>平成6年度!L29/平成6年度!H29</f>
        <v>0.13845482998866268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200</v>
      </c>
      <c r="C30" s="58">
        <f>SUM(平成6年度!C8:C15)</f>
        <v>284858</v>
      </c>
      <c r="D30" s="55">
        <f>SUM(平成6年度!D8:D15)</f>
        <v>244843</v>
      </c>
      <c r="E30" s="89">
        <f>SUM(平成6年度!E8:E15)</f>
        <v>233230</v>
      </c>
      <c r="F30" s="89">
        <f>SUM(平成6年度!F8:F15)</f>
        <v>11613</v>
      </c>
      <c r="G30" s="90">
        <f>SUM(平成6年度!G8:G15)</f>
        <v>40015</v>
      </c>
      <c r="H30" s="58">
        <f>SUM(平成6年度!H8:H15)</f>
        <v>589869</v>
      </c>
      <c r="I30" s="55">
        <f>SUM(平成6年度!I8:I15)</f>
        <v>508133</v>
      </c>
      <c r="J30" s="89">
        <f>SUM(平成6年度!J8:J15)</f>
        <v>393379</v>
      </c>
      <c r="K30" s="89">
        <f>SUM(平成6年度!K8:K15)</f>
        <v>114754</v>
      </c>
      <c r="L30" s="89">
        <f>SUM(平成6年度!L8:L15)</f>
        <v>81736</v>
      </c>
      <c r="M30" s="89">
        <f>SUM(平成6年度!M8:M15)</f>
        <v>59003</v>
      </c>
      <c r="N30" s="90">
        <f>SUM(平成6年度!N8:N15)</f>
        <v>22733</v>
      </c>
      <c r="O30" s="58">
        <f>SUM(平成6年度!O8:O15)</f>
        <v>780158</v>
      </c>
      <c r="P30" s="55">
        <f>SUM(平成6年度!P8:P15)</f>
        <v>2292117</v>
      </c>
      <c r="Q30" s="90">
        <f>平成6年度!C30/平成6年度!O30</f>
        <v>0.36512860215494808</v>
      </c>
      <c r="R30" s="58">
        <f>平成6年度!H30/平成6年度!P30</f>
        <v>0.25734681083033717</v>
      </c>
      <c r="S30" s="55">
        <f>平成6年度!L30/平成6年度!H30</f>
        <v>0.13856635964934588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201</v>
      </c>
      <c r="C31" s="58">
        <f>SUM(平成6年度!C8:C16)</f>
        <v>320719</v>
      </c>
      <c r="D31" s="55">
        <f>SUM(平成6年度!D8:D16)</f>
        <v>275677</v>
      </c>
      <c r="E31" s="89">
        <f>SUM(平成6年度!E8:E16)</f>
        <v>262595</v>
      </c>
      <c r="F31" s="89">
        <f>SUM(平成6年度!F8:F16)</f>
        <v>13082</v>
      </c>
      <c r="G31" s="90">
        <f>SUM(平成6年度!G8:G16)</f>
        <v>45042</v>
      </c>
      <c r="H31" s="58">
        <f>SUM(平成6年度!H8:H16)</f>
        <v>663791</v>
      </c>
      <c r="I31" s="55">
        <f>SUM(平成6年度!I8:I16)</f>
        <v>571774</v>
      </c>
      <c r="J31" s="89">
        <f>SUM(平成6年度!J8:J16)</f>
        <v>442311</v>
      </c>
      <c r="K31" s="89">
        <f>SUM(平成6年度!K8:K16)</f>
        <v>129463</v>
      </c>
      <c r="L31" s="89">
        <f>SUM(平成6年度!L8:L16)</f>
        <v>92017</v>
      </c>
      <c r="M31" s="89">
        <f>SUM(平成6年度!M8:M16)</f>
        <v>66434</v>
      </c>
      <c r="N31" s="90">
        <f>SUM(平成6年度!N8:N16)</f>
        <v>25583</v>
      </c>
      <c r="O31" s="58">
        <f>SUM(平成6年度!O8:O16)</f>
        <v>878342</v>
      </c>
      <c r="P31" s="55">
        <f>SUM(平成6年度!P8:P16)</f>
        <v>2579631</v>
      </c>
      <c r="Q31" s="90">
        <f>平成6年度!C31/平成6年度!O31</f>
        <v>0.36514136862406671</v>
      </c>
      <c r="R31" s="58">
        <f>平成6年度!H31/平成6年度!P31</f>
        <v>0.2573201360969844</v>
      </c>
      <c r="S31" s="55">
        <f>平成6年度!L31/平成6年度!H31</f>
        <v>0.13862345226132924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202</v>
      </c>
      <c r="C32" s="58">
        <f>SUM(平成6年度!C8:C17)</f>
        <v>356660</v>
      </c>
      <c r="D32" s="55">
        <f>SUM(平成6年度!D8:D17)</f>
        <v>306611</v>
      </c>
      <c r="E32" s="89">
        <f>SUM(平成6年度!E8:E17)</f>
        <v>292056</v>
      </c>
      <c r="F32" s="89">
        <f>SUM(平成6年度!F8:F17)</f>
        <v>14555</v>
      </c>
      <c r="G32" s="90">
        <f>SUM(平成6年度!G8:G17)</f>
        <v>50049</v>
      </c>
      <c r="H32" s="58">
        <f>SUM(平成6年度!H8:H17)</f>
        <v>737835</v>
      </c>
      <c r="I32" s="55">
        <f>SUM(平成6年度!I8:I17)</f>
        <v>635556</v>
      </c>
      <c r="J32" s="89">
        <f>SUM(平成6年度!J8:J17)</f>
        <v>491322</v>
      </c>
      <c r="K32" s="89">
        <f>SUM(平成6年度!K8:K17)</f>
        <v>144234</v>
      </c>
      <c r="L32" s="89">
        <f>SUM(平成6年度!L8:L17)</f>
        <v>102279</v>
      </c>
      <c r="M32" s="89">
        <f>SUM(平成6年度!M8:M17)</f>
        <v>73844</v>
      </c>
      <c r="N32" s="90">
        <f>SUM(平成6年度!N8:N17)</f>
        <v>28435</v>
      </c>
      <c r="O32" s="58">
        <f>SUM(平成6年度!O8:O17)</f>
        <v>976653</v>
      </c>
      <c r="P32" s="55">
        <f>SUM(平成6年度!P8:P17)</f>
        <v>2867334</v>
      </c>
      <c r="Q32" s="90">
        <f>平成6年度!C32/平成6年度!O32</f>
        <v>0.36518599748324121</v>
      </c>
      <c r="R32" s="58">
        <f>平成6年度!H32/平成6年度!P32</f>
        <v>0.25732439959907005</v>
      </c>
      <c r="S32" s="55">
        <f>平成6年度!L32/平成6年度!H32</f>
        <v>0.1386204232653642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203</v>
      </c>
      <c r="C33" s="58">
        <f>SUM(平成6年度!C8:C18)</f>
        <v>392641</v>
      </c>
      <c r="D33" s="55">
        <f>SUM(平成6年度!D8:D18)</f>
        <v>337619</v>
      </c>
      <c r="E33" s="89">
        <f>SUM(平成6年度!E8:E18)</f>
        <v>321606</v>
      </c>
      <c r="F33" s="89">
        <f>SUM(平成6年度!F8:F18)</f>
        <v>16013</v>
      </c>
      <c r="G33" s="90">
        <f>SUM(平成6年度!G8:G18)</f>
        <v>55022</v>
      </c>
      <c r="H33" s="58">
        <f>SUM(平成6年度!H8:H18)</f>
        <v>811826</v>
      </c>
      <c r="I33" s="55">
        <f>SUM(平成6年度!I8:I18)</f>
        <v>699382</v>
      </c>
      <c r="J33" s="89">
        <f>SUM(平成6年度!J8:J18)</f>
        <v>540229</v>
      </c>
      <c r="K33" s="89">
        <f>SUM(平成6年度!K8:K18)</f>
        <v>159153</v>
      </c>
      <c r="L33" s="89">
        <f>SUM(平成6年度!L8:L18)</f>
        <v>112444</v>
      </c>
      <c r="M33" s="89">
        <f>SUM(平成6年度!M8:M18)</f>
        <v>81194</v>
      </c>
      <c r="N33" s="90">
        <f>SUM(平成6年度!N8:N18)</f>
        <v>31250</v>
      </c>
      <c r="O33" s="58">
        <f>SUM(平成6年度!O8:O18)</f>
        <v>1075130</v>
      </c>
      <c r="P33" s="55">
        <f>SUM(平成6年度!P8:P18)</f>
        <v>3155285</v>
      </c>
      <c r="Q33" s="90">
        <f>平成6年度!C33/平成6年度!O33</f>
        <v>0.36520327774315664</v>
      </c>
      <c r="R33" s="58">
        <f>平成6年度!H33/平成6年度!P33</f>
        <v>0.25729086279052449</v>
      </c>
      <c r="S33" s="55">
        <f>平成6年度!L33/平成6年度!H33</f>
        <v>0.13850751269360675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204</v>
      </c>
      <c r="C34" s="58">
        <f>SUM(平成6年度!C8:C19)</f>
        <v>428670</v>
      </c>
      <c r="D34" s="55">
        <f>SUM(平成6年度!D8:D19)</f>
        <v>368751</v>
      </c>
      <c r="E34" s="89">
        <f>SUM(平成6年度!E8:E19)</f>
        <v>351271</v>
      </c>
      <c r="F34" s="89">
        <f>SUM(平成6年度!F8:F19)</f>
        <v>17480</v>
      </c>
      <c r="G34" s="90">
        <f>SUM(平成6年度!G8:G19)</f>
        <v>59919</v>
      </c>
      <c r="H34" s="58">
        <f>SUM(平成6年度!H8:H19)</f>
        <v>885784</v>
      </c>
      <c r="I34" s="55">
        <f>SUM(平成6年度!I8:I19)</f>
        <v>763292</v>
      </c>
      <c r="J34" s="89">
        <f>SUM(平成6年度!J8:J19)</f>
        <v>589143</v>
      </c>
      <c r="K34" s="89">
        <f>SUM(平成6年度!K8:K19)</f>
        <v>174149</v>
      </c>
      <c r="L34" s="89">
        <f>SUM(平成6年度!L8:L19)</f>
        <v>122492</v>
      </c>
      <c r="M34" s="89">
        <f>SUM(平成6年度!M8:M19)</f>
        <v>88452</v>
      </c>
      <c r="N34" s="90">
        <f>SUM(平成6年度!N8:N19)</f>
        <v>34040</v>
      </c>
      <c r="O34" s="58">
        <f>SUM(平成6年度!O8:O19)</f>
        <v>1173621</v>
      </c>
      <c r="P34" s="55">
        <f>SUM(平成6年度!P8:P19)</f>
        <v>3442865</v>
      </c>
      <c r="Q34" s="90">
        <f>平成6年度!C34/平成6年度!O34</f>
        <v>0.36525420046164819</v>
      </c>
      <c r="R34" s="58">
        <f>平成6年度!H34/平成6年度!P34</f>
        <v>0.25728107259506255</v>
      </c>
      <c r="S34" s="55">
        <f>平成6年度!L34/平成6年度!H34</f>
        <v>0.13828653486628795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205</v>
      </c>
      <c r="C35" s="92">
        <f>平成5年度!C19+SUM(平成6年度!C8:C18)</f>
        <v>427917</v>
      </c>
      <c r="D35" s="93">
        <f>平成5年度!D19+SUM(平成6年度!D8:D18)</f>
        <v>367990</v>
      </c>
      <c r="E35" s="94">
        <f>平成5年度!E19+SUM(平成6年度!E8:E18)</f>
        <v>350563</v>
      </c>
      <c r="F35" s="94">
        <f>平成5年度!F19+SUM(平成6年度!F8:F18)</f>
        <v>17427</v>
      </c>
      <c r="G35" s="95">
        <f>平成5年度!G19+SUM(平成6年度!G8:G18)</f>
        <v>59927</v>
      </c>
      <c r="H35" s="92">
        <f>平成5年度!H19+SUM(平成6年度!H8:H18)</f>
        <v>885500</v>
      </c>
      <c r="I35" s="93">
        <f>平成5年度!I19+SUM(平成6年度!I8:I18)</f>
        <v>763078</v>
      </c>
      <c r="J35" s="94">
        <f>平成5年度!J19+SUM(平成6年度!J8:J18)</f>
        <v>589882</v>
      </c>
      <c r="K35" s="94">
        <f>平成5年度!K19+SUM(平成6年度!K8:K18)</f>
        <v>173196</v>
      </c>
      <c r="L35" s="94">
        <f>平成5年度!L19+SUM(平成6年度!L8:L18)</f>
        <v>122422</v>
      </c>
      <c r="M35" s="94">
        <f>平成5年度!M19+SUM(平成6年度!M8:M18)</f>
        <v>88408</v>
      </c>
      <c r="N35" s="95">
        <f>平成5年度!N19+SUM(平成6年度!N8:N18)</f>
        <v>34014</v>
      </c>
      <c r="O35" s="92">
        <f>平成5年度!O19+SUM(平成6年度!O8:O18)</f>
        <v>1171682</v>
      </c>
      <c r="P35" s="93">
        <f>平成5年度!P19+SUM(平成6年度!P8:P18)</f>
        <v>3440610</v>
      </c>
      <c r="Q35" s="95">
        <f>平成6年度!C35/平成6年度!O35</f>
        <v>0.36521598863855553</v>
      </c>
      <c r="R35" s="92">
        <f>平成6年度!H35/平成6年度!P35</f>
        <v>0.25736715291765122</v>
      </c>
      <c r="S35" s="93">
        <f>平成6年度!L35/平成6年度!H35</f>
        <v>0.13825183512140035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平成6年度!K35/12</f>
        <v>14433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206</v>
      </c>
      <c r="C37" s="102">
        <f>平成6年度!C2+平成6年度!C31</f>
        <v>426414</v>
      </c>
      <c r="D37" s="103">
        <f>平成6年度!D2+平成6年度!D31</f>
        <v>366601</v>
      </c>
      <c r="E37" s="104">
        <f>平成6年度!E2+平成6年度!E31</f>
        <v>349313</v>
      </c>
      <c r="F37" s="104">
        <f>平成6年度!F2+平成6年度!F31</f>
        <v>17288</v>
      </c>
      <c r="G37" s="105">
        <f>平成6年度!G2+平成6年度!G31</f>
        <v>59813</v>
      </c>
      <c r="H37" s="102">
        <f>平成6年度!H2+平成6年度!H31</f>
        <v>884843</v>
      </c>
      <c r="I37" s="103">
        <f>平成6年度!I2+平成6年度!I31</f>
        <v>762824</v>
      </c>
      <c r="J37" s="104">
        <f>平成6年度!J2+平成6年度!J31</f>
        <v>591354</v>
      </c>
      <c r="K37" s="104">
        <f>平成6年度!K2+平成6年度!K31</f>
        <v>171470</v>
      </c>
      <c r="L37" s="104">
        <f>平成6年度!L2+平成6年度!L31</f>
        <v>122019</v>
      </c>
      <c r="M37" s="104">
        <f>平成6年度!M2+平成6年度!M31</f>
        <v>88112</v>
      </c>
      <c r="N37" s="106">
        <f>平成6年度!N2+平成6年度!N31</f>
        <v>33907</v>
      </c>
      <c r="O37" s="106">
        <f>平成6年度!O2+平成6年度!O31</f>
        <v>1167770</v>
      </c>
      <c r="P37" s="106">
        <f>平成6年度!P2+平成6年度!P31</f>
        <v>3435949</v>
      </c>
      <c r="Q37" s="106">
        <f>平成6年度!C37/平成6年度!O37</f>
        <v>0.36515238445926851</v>
      </c>
      <c r="R37" s="106">
        <f>平成6年度!H37/平成6年度!P37</f>
        <v>0.25752506803797148</v>
      </c>
      <c r="S37" s="103">
        <f>平成6年度!L37/平成6年度!H37</f>
        <v>0.1378990397166503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207</v>
      </c>
      <c r="C38" s="110">
        <f>IF(平成6年度!C15=0,平成6年度!C37/10,IF(平成6年度!C16=0,平成6年度!C37/11,IF(平成6年度!C16&gt;0,平成6年度!C37/12,"")))</f>
        <v>35534.5</v>
      </c>
      <c r="D38" s="111">
        <f>IF(平成6年度!D15=0,平成6年度!D37/10,IF(平成6年度!D16=0,平成6年度!D37/11,IF(平成6年度!D16&gt;0,平成6年度!D37/12,"")))</f>
        <v>30550.083333333332</v>
      </c>
      <c r="E38" s="112">
        <f>IF(平成6年度!E15=0,平成6年度!E37/10,IF(平成6年度!E16=0,平成6年度!E37/11,IF(平成6年度!E16&gt;0,平成6年度!E37/12,"")))</f>
        <v>29109.416666666668</v>
      </c>
      <c r="F38" s="112">
        <f>IF(平成6年度!F15=0,平成6年度!F37/10,IF(平成6年度!F16=0,平成6年度!F37/11,IF(平成6年度!F16&gt;0,平成6年度!F37/12,"")))</f>
        <v>1440.6666666666667</v>
      </c>
      <c r="G38" s="113">
        <f>IF(平成6年度!G15=0,平成6年度!G37/10,IF(平成6年度!G16=0,平成6年度!G37/11,IF(平成6年度!G16&gt;0,平成6年度!G37/12,"")))</f>
        <v>4984.416666666667</v>
      </c>
      <c r="H38" s="110">
        <f>IF(平成6年度!H15=0,平成6年度!H37/10,IF(平成6年度!H16=0,平成6年度!H37/11,IF(平成6年度!H16&gt;0,平成6年度!H37/12,"")))</f>
        <v>73736.916666666672</v>
      </c>
      <c r="I38" s="111">
        <f>IF(平成6年度!I15=0,平成6年度!I37/10,IF(平成6年度!I16=0,平成6年度!I37/11,IF(平成6年度!I16&gt;0,平成6年度!I37/12,"")))</f>
        <v>63568.666666666664</v>
      </c>
      <c r="J38" s="112">
        <f>IF(平成6年度!J15=0,平成6年度!J37/10,IF(平成6年度!J16=0,平成6年度!J37/11,IF(平成6年度!J16&gt;0,平成6年度!J37/12,"")))</f>
        <v>49279.5</v>
      </c>
      <c r="K38" s="112">
        <f>IF(平成6年度!K15=0,平成6年度!K37/10,IF(平成6年度!K16=0,平成6年度!K37/11,IF(平成6年度!K16&gt;0,平成6年度!K37/12,"")))</f>
        <v>14289.166666666666</v>
      </c>
      <c r="L38" s="112">
        <f>IF(平成6年度!L15=0,平成6年度!L37/10,IF(平成6年度!L16=0,平成6年度!L37/11,IF(平成6年度!L16&gt;0,平成6年度!L37/12,"")))</f>
        <v>10168.25</v>
      </c>
      <c r="M38" s="112">
        <f>IF(平成6年度!M15=0,平成6年度!M37/10,IF(平成6年度!M16=0,平成6年度!M37/11,IF(平成6年度!M16&gt;0,平成6年度!M37/12,"")))</f>
        <v>7342.666666666667</v>
      </c>
      <c r="N38" s="114">
        <f>IF(平成6年度!N15=0,平成6年度!N37/10,IF(平成6年度!N16=0,平成6年度!N37/11,IF(平成6年度!N16&gt;0,平成6年度!N37/12,"")))</f>
        <v>2825.5833333333335</v>
      </c>
      <c r="O38" s="114">
        <f>IF(平成6年度!O15=0,平成6年度!O37/10,IF(平成6年度!O16=0,平成6年度!O37/11,IF(平成6年度!O16&gt;0,平成6年度!O37/12,"")))</f>
        <v>97314.166666666672</v>
      </c>
      <c r="P38" s="114">
        <f>IF(平成6年度!P15=0,平成6年度!P37/10,IF(平成6年度!P16=0,平成6年度!P37/11,IF(平成6年度!P16&gt;0,平成6年度!P37/12,"")))</f>
        <v>286329.08333333331</v>
      </c>
      <c r="Q38" s="114">
        <f>平成6年度!C38/平成6年度!O38</f>
        <v>0.36515238445926851</v>
      </c>
      <c r="R38" s="114">
        <f>平成6年度!H38/平成6年度!P38</f>
        <v>0.25752506803797148</v>
      </c>
      <c r="S38" s="111">
        <f>平成6年度!L38/平成6年度!H38</f>
        <v>0.1378990397166503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/>
      <c r="C43" s="1"/>
      <c r="D43" s="1"/>
      <c r="E43" s="1"/>
      <c r="F43" s="120"/>
      <c r="G43" s="1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/>
      <c r="C44" s="121"/>
      <c r="D44" s="122"/>
      <c r="E44" s="122"/>
      <c r="F44" s="123"/>
      <c r="G44" s="1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24"/>
      <c r="Y44" s="1"/>
      <c r="Z44" s="125"/>
      <c r="AA44" s="117"/>
      <c r="AB44" s="117"/>
      <c r="AC44" s="117"/>
      <c r="AD44" s="117"/>
      <c r="AE44" s="117"/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/>
      <c r="C45" s="1"/>
      <c r="D45" s="1"/>
      <c r="E45" s="1"/>
      <c r="F45" s="126"/>
      <c r="G45" s="126"/>
      <c r="H45" s="126"/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/>
      <c r="W45" s="118"/>
      <c r="X45" s="127"/>
      <c r="Y45" s="128"/>
      <c r="Z45" s="129"/>
      <c r="AA45" s="129"/>
      <c r="AB45" s="129"/>
      <c r="AC45" s="129"/>
      <c r="AD45" s="130"/>
      <c r="AE45" s="130"/>
      <c r="AF45" s="130"/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/>
      <c r="C46" s="122"/>
      <c r="D46" s="122"/>
      <c r="E46" s="122"/>
      <c r="F46" s="122"/>
      <c r="G46" s="122"/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/>
      <c r="Z46" s="136"/>
      <c r="AA46" s="137"/>
      <c r="AB46" s="137"/>
      <c r="AC46" s="138"/>
      <c r="AD46" s="139"/>
      <c r="AE46" s="140"/>
      <c r="AF46" s="140"/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/>
      <c r="C47" s="121"/>
      <c r="D47" s="122"/>
      <c r="E47" s="122"/>
      <c r="F47" s="122"/>
      <c r="G47" s="1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/>
      <c r="U48" s="1"/>
      <c r="V48" s="1"/>
      <c r="W48" s="117"/>
      <c r="X48" s="134"/>
      <c r="Y48" s="150"/>
      <c r="Z48" s="151"/>
      <c r="AA48" s="151"/>
      <c r="AB48" s="151"/>
      <c r="AC48" s="152"/>
      <c r="AD48" s="153"/>
      <c r="AE48" s="151"/>
      <c r="AF48" s="150"/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/>
      <c r="Z49" s="144"/>
      <c r="AA49" s="144"/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/>
      <c r="Y50" s="150"/>
      <c r="Z50" s="151"/>
      <c r="AA50" s="151"/>
      <c r="AB50" s="151"/>
      <c r="AC50" s="152"/>
      <c r="AD50" s="153"/>
      <c r="AE50" s="151"/>
      <c r="AF50" s="150"/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42"/>
      <c r="Y51" s="143"/>
      <c r="Z51" s="144"/>
      <c r="AA51" s="144"/>
      <c r="AB51" s="144"/>
      <c r="AC51" s="145"/>
      <c r="AD51" s="146"/>
      <c r="AE51" s="144"/>
      <c r="AF51" s="144"/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/>
      <c r="V52" s="1"/>
      <c r="W52" s="117"/>
      <c r="X52" s="134"/>
      <c r="Y52" s="150"/>
      <c r="Z52" s="151"/>
      <c r="AA52" s="151"/>
      <c r="AB52" s="151"/>
      <c r="AC52" s="152"/>
      <c r="AD52" s="153"/>
      <c r="AE52" s="151"/>
      <c r="AF52" s="150"/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/>
      <c r="AB53" s="144"/>
      <c r="AC53" s="157"/>
      <c r="AD53" s="146"/>
      <c r="AE53" s="144"/>
      <c r="AF53" s="143"/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/>
      <c r="Y54" s="150"/>
      <c r="Z54" s="151"/>
      <c r="AA54" s="151"/>
      <c r="AB54" s="151"/>
      <c r="AC54" s="152"/>
      <c r="AD54" s="153"/>
      <c r="AE54" s="151"/>
      <c r="AF54" s="150"/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/>
      <c r="AB55" s="144"/>
      <c r="AC55" s="145"/>
      <c r="AD55" s="146"/>
      <c r="AE55" s="144"/>
      <c r="AF55" s="144"/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34"/>
      <c r="Y56" s="150"/>
      <c r="Z56" s="151"/>
      <c r="AA56" s="151"/>
      <c r="AB56" s="151"/>
      <c r="AC56" s="152"/>
      <c r="AD56" s="153"/>
      <c r="AE56" s="151"/>
      <c r="AF56" s="150"/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/>
      <c r="Y57" s="143"/>
      <c r="Z57" s="144"/>
      <c r="AA57" s="144"/>
      <c r="AB57" s="144"/>
      <c r="AC57" s="145"/>
      <c r="AD57" s="146"/>
      <c r="AE57" s="144"/>
      <c r="AF57" s="144"/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/>
      <c r="V58" s="1"/>
      <c r="W58" s="117"/>
      <c r="X58" s="134"/>
      <c r="Y58" s="150"/>
      <c r="Z58" s="151"/>
      <c r="AA58" s="151"/>
      <c r="AB58" s="151"/>
      <c r="AC58" s="152"/>
      <c r="AD58" s="153"/>
      <c r="AE58" s="151"/>
      <c r="AF58" s="150"/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1"/>
      <c r="U59" s="1"/>
      <c r="V59" s="1"/>
      <c r="W59" s="117"/>
      <c r="X59" s="142"/>
      <c r="Y59" s="143"/>
      <c r="Z59" s="144"/>
      <c r="AA59" s="144"/>
      <c r="AB59" s="144"/>
      <c r="AC59" s="145"/>
      <c r="AD59" s="146"/>
      <c r="AE59" s="144"/>
      <c r="AF59" s="144"/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34"/>
      <c r="Y60" s="150"/>
      <c r="Z60" s="151"/>
      <c r="AA60" s="151"/>
      <c r="AB60" s="151"/>
      <c r="AC60" s="152"/>
      <c r="AD60" s="153"/>
      <c r="AE60" s="151"/>
      <c r="AF60" s="150"/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/>
      <c r="Y61" s="143"/>
      <c r="Z61" s="144"/>
      <c r="AA61" s="144"/>
      <c r="AB61" s="144"/>
      <c r="AC61" s="145"/>
      <c r="AD61" s="146"/>
      <c r="AE61" s="144"/>
      <c r="AF61" s="144"/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34"/>
      <c r="Y62" s="150"/>
      <c r="Z62" s="151"/>
      <c r="AA62" s="151"/>
      <c r="AB62" s="151"/>
      <c r="AC62" s="152"/>
      <c r="AD62" s="153"/>
      <c r="AE62" s="151"/>
      <c r="AF62" s="150"/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/>
      <c r="W63" s="117"/>
      <c r="X63" s="142"/>
      <c r="Y63" s="143"/>
      <c r="Z63" s="144"/>
      <c r="AA63" s="144"/>
      <c r="AB63" s="144"/>
      <c r="AC63" s="157"/>
      <c r="AD63" s="146"/>
      <c r="AE63" s="144"/>
      <c r="AF63" s="143"/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/>
      <c r="Y64" s="150"/>
      <c r="Z64" s="151"/>
      <c r="AA64" s="151"/>
      <c r="AB64" s="151"/>
      <c r="AC64" s="152"/>
      <c r="AD64" s="153"/>
      <c r="AE64" s="151"/>
      <c r="AF64" s="150"/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/>
      <c r="Z65" s="144"/>
      <c r="AA65" s="144"/>
      <c r="AB65" s="144"/>
      <c r="AC65" s="157"/>
      <c r="AD65" s="146"/>
      <c r="AE65" s="144"/>
      <c r="AF65" s="143"/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/>
      <c r="Y66" s="150"/>
      <c r="Z66" s="151"/>
      <c r="AA66" s="151"/>
      <c r="AB66" s="151"/>
      <c r="AC66" s="152"/>
      <c r="AD66" s="153"/>
      <c r="AE66" s="151"/>
      <c r="AF66" s="150"/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/>
      <c r="Z67" s="144"/>
      <c r="AA67" s="144"/>
      <c r="AB67" s="144"/>
      <c r="AC67" s="157"/>
      <c r="AD67" s="146"/>
      <c r="AE67" s="144"/>
      <c r="AF67" s="143"/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/>
      <c r="Y68" s="150"/>
      <c r="Z68" s="151"/>
      <c r="AA68" s="151"/>
      <c r="AB68" s="151"/>
      <c r="AC68" s="152"/>
      <c r="AD68" s="153"/>
      <c r="AE68" s="151"/>
      <c r="AF68" s="150"/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/>
      <c r="AB69" s="144"/>
      <c r="AC69" s="157"/>
      <c r="AD69" s="146"/>
      <c r="AE69" s="144"/>
      <c r="AF69" s="143"/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/>
      <c r="Y70" s="150"/>
      <c r="Z70" s="151"/>
      <c r="AA70" s="151"/>
      <c r="AB70" s="151"/>
      <c r="AC70" s="152"/>
      <c r="AD70" s="153"/>
      <c r="AE70" s="151"/>
      <c r="AF70" s="150"/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/>
      <c r="Y71" s="143"/>
      <c r="Z71" s="144"/>
      <c r="AA71" s="144"/>
      <c r="AB71" s="144"/>
      <c r="AC71" s="157"/>
      <c r="AD71" s="146"/>
      <c r="AE71" s="144"/>
      <c r="AF71" s="143"/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/>
      <c r="Y72" s="150"/>
      <c r="Z72" s="151"/>
      <c r="AA72" s="151"/>
      <c r="AB72" s="151"/>
      <c r="AC72" s="152"/>
      <c r="AD72" s="153"/>
      <c r="AE72" s="150"/>
      <c r="AF72" s="151"/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/>
      <c r="Y73" s="143"/>
      <c r="Z73" s="144"/>
      <c r="AA73" s="144"/>
      <c r="AB73" s="144"/>
      <c r="AC73" s="157"/>
      <c r="AD73" s="146"/>
      <c r="AE73" s="144"/>
      <c r="AF73" s="143"/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/>
      <c r="Y74" s="165"/>
      <c r="Z74" s="166"/>
      <c r="AA74" s="166"/>
      <c r="AB74" s="166"/>
      <c r="AC74" s="167"/>
      <c r="AD74" s="168"/>
      <c r="AE74" s="165"/>
      <c r="AF74" s="166"/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/>
      <c r="X75" s="127"/>
      <c r="Y75" s="173"/>
      <c r="Z75" s="174"/>
      <c r="AA75" s="174"/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/>
      <c r="X76" s="134"/>
      <c r="Y76" s="181"/>
      <c r="Z76" s="182"/>
      <c r="AA76" s="182"/>
      <c r="AB76" s="182"/>
      <c r="AC76" s="183"/>
      <c r="AD76" s="184"/>
      <c r="AE76" s="181"/>
      <c r="AF76" s="182"/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/>
      <c r="X77" s="142"/>
      <c r="Y77" s="189"/>
      <c r="Z77" s="190"/>
      <c r="AA77" s="190"/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/>
      <c r="Y78" s="197"/>
      <c r="Z78" s="198"/>
      <c r="AA78" s="198"/>
      <c r="AB78" s="198"/>
      <c r="AC78" s="199"/>
      <c r="AD78" s="200"/>
      <c r="AE78" s="197"/>
      <c r="AF78" s="198"/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O26" sqref="O26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2850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SUM(平成29年度!C17:C19)</f>
        <v>116902</v>
      </c>
      <c r="D2" s="480">
        <f>SUM(平成29年度!D17:D19)</f>
        <v>116176</v>
      </c>
      <c r="E2" s="480">
        <f>SUM(平成29年度!E17:E19)</f>
        <v>115758</v>
      </c>
      <c r="F2" s="480">
        <f>SUM(平成29年度!F17:F19)</f>
        <v>418</v>
      </c>
      <c r="G2" s="480">
        <f>SUM(平成29年度!G17:G19)</f>
        <v>726</v>
      </c>
      <c r="H2" s="480">
        <f>SUM(平成29年度!H17:H19)</f>
        <v>184434</v>
      </c>
      <c r="I2" s="480">
        <f>SUM(平成29年度!I17:I19)</f>
        <v>183001</v>
      </c>
      <c r="J2" s="480">
        <f>SUM(平成29年度!J17:J19)</f>
        <v>97322</v>
      </c>
      <c r="K2" s="480">
        <f>SUM(平成29年度!K17:K19)</f>
        <v>85679</v>
      </c>
      <c r="L2" s="480">
        <f>SUM(平成29年度!L17:L19)</f>
        <v>1433</v>
      </c>
      <c r="M2" s="480">
        <f>SUM(平成29年度!M17:M19)</f>
        <v>1157</v>
      </c>
      <c r="N2" s="480">
        <f>SUM(平成29年度!N17:N19)</f>
        <v>276</v>
      </c>
      <c r="O2" s="480">
        <f>SUM(平成29年度!O17:O19)</f>
        <v>56032</v>
      </c>
      <c r="P2" s="480">
        <f>SUM(平成29年度!P17:P19)</f>
        <v>54793</v>
      </c>
      <c r="Q2" s="480">
        <f>SUM(平成29年度!Q17:Q19)</f>
        <v>1239</v>
      </c>
      <c r="R2" s="480">
        <f>SUM(平成29年度!R17:R19)</f>
        <v>409987</v>
      </c>
      <c r="S2" s="480">
        <f>SUM(平成29年度!S17:S19)</f>
        <v>935979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2851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739">
        <v>38830</v>
      </c>
      <c r="D7" s="526">
        <v>38619</v>
      </c>
      <c r="E7" s="526">
        <v>38489</v>
      </c>
      <c r="F7" s="740">
        <v>130</v>
      </c>
      <c r="G7" s="754">
        <v>211</v>
      </c>
      <c r="H7" s="529">
        <v>61151</v>
      </c>
      <c r="I7" s="527">
        <v>60732</v>
      </c>
      <c r="J7" s="759">
        <v>32272</v>
      </c>
      <c r="K7" s="742">
        <v>28460</v>
      </c>
      <c r="L7" s="526">
        <v>419</v>
      </c>
      <c r="M7" s="740">
        <v>345</v>
      </c>
      <c r="N7" s="741">
        <v>74</v>
      </c>
      <c r="O7" s="739">
        <v>18523</v>
      </c>
      <c r="P7" s="526">
        <v>18160</v>
      </c>
      <c r="Q7" s="743">
        <v>363</v>
      </c>
      <c r="R7" s="756">
        <v>136943</v>
      </c>
      <c r="S7" s="757">
        <v>311763</v>
      </c>
      <c r="T7" s="533">
        <v>0.29579341694182448</v>
      </c>
      <c r="U7" s="534">
        <v>0.20563284478554378</v>
      </c>
      <c r="V7" s="535">
        <v>1.7178967077547198E-2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39173</v>
      </c>
      <c r="D8" s="526">
        <f t="shared" ref="D8:D19" si="0">E8+F8</f>
        <v>38980</v>
      </c>
      <c r="E8" s="526">
        <f t="shared" ref="E8:E18" si="1">C8-G8-F8</f>
        <v>38868</v>
      </c>
      <c r="F8" s="740">
        <v>112</v>
      </c>
      <c r="G8" s="741">
        <v>193</v>
      </c>
      <c r="H8" s="529">
        <f t="shared" ref="H8:H19" si="2">I8+L8</f>
        <v>61607</v>
      </c>
      <c r="I8" s="527">
        <v>61227</v>
      </c>
      <c r="J8" s="759">
        <f t="shared" ref="J8:J19" si="3">I8-K8</f>
        <v>32627</v>
      </c>
      <c r="K8" s="742">
        <v>28600</v>
      </c>
      <c r="L8" s="526">
        <f t="shared" ref="L8:L19" si="4">M8+N8</f>
        <v>380</v>
      </c>
      <c r="M8" s="740">
        <v>310</v>
      </c>
      <c r="N8" s="741">
        <v>70</v>
      </c>
      <c r="O8" s="739">
        <v>18732</v>
      </c>
      <c r="P8" s="526">
        <f t="shared" ref="P8:P19" si="5">O8-Q8</f>
        <v>18394</v>
      </c>
      <c r="Q8" s="743">
        <v>338</v>
      </c>
      <c r="R8" s="744">
        <v>137400</v>
      </c>
      <c r="S8" s="745">
        <v>311871</v>
      </c>
      <c r="T8" s="534">
        <f t="shared" ref="T8:T21" si="6">C8/R8</f>
        <v>0.28510189228529842</v>
      </c>
      <c r="U8" s="534">
        <f t="shared" ref="U8:U21" si="7">H8/S8</f>
        <v>0.1975400085291675</v>
      </c>
      <c r="V8" s="535">
        <f t="shared" ref="V8:V21" si="8">L8/H8</f>
        <v>6.1681302449396987E-3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39069</v>
      </c>
      <c r="D9" s="526">
        <f t="shared" si="0"/>
        <v>38896</v>
      </c>
      <c r="E9" s="526">
        <f t="shared" si="1"/>
        <v>38786</v>
      </c>
      <c r="F9" s="740">
        <v>110</v>
      </c>
      <c r="G9" s="741">
        <v>173</v>
      </c>
      <c r="H9" s="529">
        <f t="shared" si="2"/>
        <v>61315</v>
      </c>
      <c r="I9" s="527">
        <v>60968</v>
      </c>
      <c r="J9" s="759">
        <f t="shared" si="3"/>
        <v>32427</v>
      </c>
      <c r="K9" s="742">
        <v>28541</v>
      </c>
      <c r="L9" s="526">
        <f t="shared" si="4"/>
        <v>347</v>
      </c>
      <c r="M9" s="740">
        <v>287</v>
      </c>
      <c r="N9" s="741">
        <v>60</v>
      </c>
      <c r="O9" s="739">
        <v>18610</v>
      </c>
      <c r="P9" s="526">
        <f t="shared" si="5"/>
        <v>18314</v>
      </c>
      <c r="Q9" s="743">
        <v>296</v>
      </c>
      <c r="R9" s="746">
        <v>137848</v>
      </c>
      <c r="S9" s="747">
        <v>312255</v>
      </c>
      <c r="T9" s="534">
        <f t="shared" si="6"/>
        <v>0.28342086936335675</v>
      </c>
      <c r="U9" s="534">
        <f t="shared" si="7"/>
        <v>0.19636194776704938</v>
      </c>
      <c r="V9" s="535">
        <f t="shared" si="8"/>
        <v>5.6593003343390685E-3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38957</v>
      </c>
      <c r="D10" s="526">
        <f t="shared" si="0"/>
        <v>38806</v>
      </c>
      <c r="E10" s="526">
        <f t="shared" si="1"/>
        <v>38708</v>
      </c>
      <c r="F10" s="740">
        <v>98</v>
      </c>
      <c r="G10" s="741">
        <v>151</v>
      </c>
      <c r="H10" s="529">
        <f t="shared" si="2"/>
        <v>61044</v>
      </c>
      <c r="I10" s="527">
        <v>60744</v>
      </c>
      <c r="J10" s="759">
        <f t="shared" si="3"/>
        <v>32220</v>
      </c>
      <c r="K10" s="742">
        <v>28524</v>
      </c>
      <c r="L10" s="526">
        <f t="shared" si="4"/>
        <v>300</v>
      </c>
      <c r="M10" s="740">
        <v>252</v>
      </c>
      <c r="N10" s="741">
        <v>48</v>
      </c>
      <c r="O10" s="739">
        <v>18491</v>
      </c>
      <c r="P10" s="526">
        <f t="shared" si="5"/>
        <v>18232</v>
      </c>
      <c r="Q10" s="743">
        <v>259</v>
      </c>
      <c r="R10" s="748">
        <v>137959</v>
      </c>
      <c r="S10" s="740">
        <v>312279</v>
      </c>
      <c r="T10" s="534">
        <f t="shared" si="6"/>
        <v>0.28238099725280702</v>
      </c>
      <c r="U10" s="534">
        <f t="shared" si="7"/>
        <v>0.19547904277905334</v>
      </c>
      <c r="V10" s="535">
        <f t="shared" si="8"/>
        <v>4.9144879103597402E-3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38836</v>
      </c>
      <c r="D11" s="526">
        <f>E11+F11</f>
        <v>38709</v>
      </c>
      <c r="E11" s="526">
        <f>C11-G11-F11</f>
        <v>38615</v>
      </c>
      <c r="F11" s="740">
        <v>94</v>
      </c>
      <c r="G11" s="741">
        <v>127</v>
      </c>
      <c r="H11" s="529">
        <f t="shared" si="2"/>
        <v>60753</v>
      </c>
      <c r="I11" s="527">
        <v>60493</v>
      </c>
      <c r="J11" s="759">
        <f t="shared" si="3"/>
        <v>32053</v>
      </c>
      <c r="K11" s="742">
        <v>28440</v>
      </c>
      <c r="L11" s="526">
        <f t="shared" si="4"/>
        <v>260</v>
      </c>
      <c r="M11" s="740">
        <v>224</v>
      </c>
      <c r="N11" s="741">
        <v>36</v>
      </c>
      <c r="O11" s="739">
        <v>18435</v>
      </c>
      <c r="P11" s="526">
        <f t="shared" si="5"/>
        <v>18208</v>
      </c>
      <c r="Q11" s="870">
        <v>227</v>
      </c>
      <c r="R11" s="748">
        <v>138109</v>
      </c>
      <c r="S11" s="740">
        <v>312347</v>
      </c>
      <c r="T11" s="534">
        <f t="shared" si="6"/>
        <v>0.28119818404303848</v>
      </c>
      <c r="U11" s="534">
        <f t="shared" si="7"/>
        <v>0.19450482956455481</v>
      </c>
      <c r="V11" s="535">
        <f t="shared" si="8"/>
        <v>4.2796240514871697E-3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38680</v>
      </c>
      <c r="D12" s="526">
        <f t="shared" si="0"/>
        <v>38570</v>
      </c>
      <c r="E12" s="526">
        <f t="shared" si="1"/>
        <v>38482</v>
      </c>
      <c r="F12" s="740">
        <v>88</v>
      </c>
      <c r="G12" s="741">
        <v>110</v>
      </c>
      <c r="H12" s="529">
        <f t="shared" si="2"/>
        <v>60387</v>
      </c>
      <c r="I12" s="527">
        <v>60154</v>
      </c>
      <c r="J12" s="759">
        <f t="shared" si="3"/>
        <v>31795</v>
      </c>
      <c r="K12" s="742">
        <v>28359</v>
      </c>
      <c r="L12" s="526">
        <f t="shared" si="4"/>
        <v>233</v>
      </c>
      <c r="M12" s="740">
        <v>201</v>
      </c>
      <c r="N12" s="741">
        <v>32</v>
      </c>
      <c r="O12" s="739">
        <v>18314</v>
      </c>
      <c r="P12" s="526">
        <f t="shared" si="5"/>
        <v>18106</v>
      </c>
      <c r="Q12" s="743">
        <v>208</v>
      </c>
      <c r="R12" s="748">
        <v>138226</v>
      </c>
      <c r="S12" s="740">
        <v>312294</v>
      </c>
      <c r="T12" s="534">
        <f t="shared" si="6"/>
        <v>0.27983158016581539</v>
      </c>
      <c r="U12" s="534">
        <f t="shared" si="7"/>
        <v>0.19336586677938097</v>
      </c>
      <c r="V12" s="535">
        <f t="shared" si="8"/>
        <v>3.85844635434779E-3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38476</v>
      </c>
      <c r="D13" s="526">
        <f t="shared" si="0"/>
        <v>38375</v>
      </c>
      <c r="E13" s="526">
        <f t="shared" si="1"/>
        <v>38293</v>
      </c>
      <c r="F13" s="740">
        <v>82</v>
      </c>
      <c r="G13" s="741">
        <v>101</v>
      </c>
      <c r="H13" s="529">
        <f t="shared" si="2"/>
        <v>59953</v>
      </c>
      <c r="I13" s="527">
        <v>59737</v>
      </c>
      <c r="J13" s="759">
        <f t="shared" si="3"/>
        <v>31486</v>
      </c>
      <c r="K13" s="742">
        <v>28251</v>
      </c>
      <c r="L13" s="526">
        <f t="shared" si="4"/>
        <v>216</v>
      </c>
      <c r="M13" s="740">
        <v>185</v>
      </c>
      <c r="N13" s="741">
        <v>31</v>
      </c>
      <c r="O13" s="739">
        <v>18168</v>
      </c>
      <c r="P13" s="526">
        <f t="shared" si="5"/>
        <v>17980</v>
      </c>
      <c r="Q13" s="743">
        <v>188</v>
      </c>
      <c r="R13" s="748">
        <v>138279</v>
      </c>
      <c r="S13" s="740">
        <v>312258</v>
      </c>
      <c r="T13" s="534">
        <f t="shared" si="6"/>
        <v>0.27824904721613547</v>
      </c>
      <c r="U13" s="534">
        <f t="shared" si="7"/>
        <v>0.19199828347071973</v>
      </c>
      <c r="V13" s="535">
        <f t="shared" si="8"/>
        <v>3.6028222107317397E-3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38360</v>
      </c>
      <c r="D14" s="526">
        <f t="shared" si="0"/>
        <v>38269</v>
      </c>
      <c r="E14" s="526">
        <f t="shared" si="1"/>
        <v>38195</v>
      </c>
      <c r="F14" s="740">
        <v>74</v>
      </c>
      <c r="G14" s="741">
        <v>91</v>
      </c>
      <c r="H14" s="529">
        <f t="shared" si="2"/>
        <v>59740</v>
      </c>
      <c r="I14" s="527">
        <v>59546</v>
      </c>
      <c r="J14" s="759">
        <f t="shared" si="3"/>
        <v>31341</v>
      </c>
      <c r="K14" s="742">
        <v>28205</v>
      </c>
      <c r="L14" s="526">
        <f t="shared" si="4"/>
        <v>194</v>
      </c>
      <c r="M14" s="740">
        <v>167</v>
      </c>
      <c r="N14" s="741">
        <v>27</v>
      </c>
      <c r="O14" s="739">
        <v>18124</v>
      </c>
      <c r="P14" s="526">
        <f t="shared" si="5"/>
        <v>17954</v>
      </c>
      <c r="Q14" s="743">
        <v>170</v>
      </c>
      <c r="R14" s="748">
        <v>138482</v>
      </c>
      <c r="S14" s="740">
        <v>312392</v>
      </c>
      <c r="T14" s="534">
        <f t="shared" si="6"/>
        <v>0.27700350948137664</v>
      </c>
      <c r="U14" s="534">
        <f t="shared" si="7"/>
        <v>0.19123409050167739</v>
      </c>
      <c r="V14" s="535">
        <f t="shared" si="8"/>
        <v>3.2474054235018413E-3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38267</v>
      </c>
      <c r="D15" s="526">
        <f t="shared" si="0"/>
        <v>38185</v>
      </c>
      <c r="E15" s="526">
        <f t="shared" si="1"/>
        <v>38117</v>
      </c>
      <c r="F15" s="740">
        <v>68</v>
      </c>
      <c r="G15" s="741">
        <v>82</v>
      </c>
      <c r="H15" s="529">
        <f t="shared" si="2"/>
        <v>59470</v>
      </c>
      <c r="I15" s="527">
        <v>59295</v>
      </c>
      <c r="J15" s="759">
        <f t="shared" si="3"/>
        <v>31192</v>
      </c>
      <c r="K15" s="742">
        <v>28103</v>
      </c>
      <c r="L15" s="526">
        <f t="shared" si="4"/>
        <v>175</v>
      </c>
      <c r="M15" s="740">
        <v>152</v>
      </c>
      <c r="N15" s="741">
        <v>23</v>
      </c>
      <c r="O15" s="739">
        <v>18004</v>
      </c>
      <c r="P15" s="526">
        <f t="shared" si="5"/>
        <v>17853</v>
      </c>
      <c r="Q15" s="743">
        <v>151</v>
      </c>
      <c r="R15" s="744">
        <v>138561</v>
      </c>
      <c r="S15" s="745">
        <v>312395</v>
      </c>
      <c r="T15" s="534">
        <f t="shared" si="6"/>
        <v>0.27617439250582776</v>
      </c>
      <c r="U15" s="534">
        <f t="shared" si="7"/>
        <v>0.19036796363578162</v>
      </c>
      <c r="V15" s="535">
        <f t="shared" si="8"/>
        <v>2.9426601647889691E-3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38129</v>
      </c>
      <c r="D16" s="526">
        <f t="shared" si="0"/>
        <v>38054</v>
      </c>
      <c r="E16" s="526">
        <f t="shared" si="1"/>
        <v>37994</v>
      </c>
      <c r="F16" s="740">
        <v>60</v>
      </c>
      <c r="G16" s="741">
        <v>75</v>
      </c>
      <c r="H16" s="529">
        <f t="shared" si="2"/>
        <v>59246</v>
      </c>
      <c r="I16" s="527">
        <v>59092</v>
      </c>
      <c r="J16" s="759">
        <f t="shared" si="3"/>
        <v>31070</v>
      </c>
      <c r="K16" s="742">
        <v>28022</v>
      </c>
      <c r="L16" s="526">
        <f t="shared" si="4"/>
        <v>154</v>
      </c>
      <c r="M16" s="740">
        <v>137</v>
      </c>
      <c r="N16" s="741">
        <v>17</v>
      </c>
      <c r="O16" s="739">
        <v>17883</v>
      </c>
      <c r="P16" s="526">
        <f t="shared" si="5"/>
        <v>17759</v>
      </c>
      <c r="Q16" s="743">
        <v>124</v>
      </c>
      <c r="R16" s="744">
        <v>138527</v>
      </c>
      <c r="S16" s="749">
        <v>312190</v>
      </c>
      <c r="T16" s="554">
        <f t="shared" si="6"/>
        <v>0.27524598092790575</v>
      </c>
      <c r="U16" s="534">
        <f t="shared" si="7"/>
        <v>0.18977545725359557</v>
      </c>
      <c r="V16" s="535">
        <f t="shared" si="8"/>
        <v>2.5993316004455998E-3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37974</v>
      </c>
      <c r="D17" s="526">
        <f t="shared" si="0"/>
        <v>37912</v>
      </c>
      <c r="E17" s="526">
        <f t="shared" si="1"/>
        <v>37863</v>
      </c>
      <c r="F17" s="740">
        <v>49</v>
      </c>
      <c r="G17" s="754">
        <v>62</v>
      </c>
      <c r="H17" s="529">
        <f t="shared" si="2"/>
        <v>58939</v>
      </c>
      <c r="I17" s="527">
        <v>58814</v>
      </c>
      <c r="J17" s="759">
        <f t="shared" si="3"/>
        <v>30988</v>
      </c>
      <c r="K17" s="742">
        <v>27826</v>
      </c>
      <c r="L17" s="526">
        <f t="shared" si="4"/>
        <v>125</v>
      </c>
      <c r="M17" s="740">
        <v>113</v>
      </c>
      <c r="N17" s="741">
        <v>12</v>
      </c>
      <c r="O17" s="739">
        <v>17772</v>
      </c>
      <c r="P17" s="526">
        <f t="shared" si="5"/>
        <v>17672</v>
      </c>
      <c r="Q17" s="743">
        <v>100</v>
      </c>
      <c r="R17" s="750">
        <v>138625</v>
      </c>
      <c r="S17" s="751">
        <v>312223</v>
      </c>
      <c r="T17" s="533">
        <f t="shared" si="6"/>
        <v>0.27393327321911631</v>
      </c>
      <c r="U17" s="534">
        <f t="shared" si="7"/>
        <v>0.18877212761391698</v>
      </c>
      <c r="V17" s="535">
        <f t="shared" si="8"/>
        <v>2.120836797366769E-3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37737</v>
      </c>
      <c r="D18" s="526">
        <f t="shared" si="0"/>
        <v>37688</v>
      </c>
      <c r="E18" s="526">
        <f t="shared" si="1"/>
        <v>37646</v>
      </c>
      <c r="F18" s="740">
        <v>42</v>
      </c>
      <c r="G18" s="754">
        <v>49</v>
      </c>
      <c r="H18" s="529">
        <f t="shared" si="2"/>
        <v>58498</v>
      </c>
      <c r="I18" s="527">
        <v>58397</v>
      </c>
      <c r="J18" s="759">
        <f t="shared" si="3"/>
        <v>30730</v>
      </c>
      <c r="K18" s="742">
        <v>27667</v>
      </c>
      <c r="L18" s="526">
        <f t="shared" si="4"/>
        <v>101</v>
      </c>
      <c r="M18" s="740">
        <v>92</v>
      </c>
      <c r="N18" s="741">
        <v>9</v>
      </c>
      <c r="O18" s="739">
        <v>17632</v>
      </c>
      <c r="P18" s="526">
        <f t="shared" si="5"/>
        <v>17550</v>
      </c>
      <c r="Q18" s="743">
        <v>82</v>
      </c>
      <c r="R18" s="765">
        <v>138645</v>
      </c>
      <c r="S18" s="766">
        <v>312029</v>
      </c>
      <c r="T18" s="533">
        <f t="shared" si="6"/>
        <v>0.27218435572865951</v>
      </c>
      <c r="U18" s="534">
        <f t="shared" si="7"/>
        <v>0.18747616407449308</v>
      </c>
      <c r="V18" s="535">
        <f t="shared" si="8"/>
        <v>1.726554754008684E-3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37639</v>
      </c>
      <c r="D19" s="526">
        <f t="shared" si="0"/>
        <v>37603</v>
      </c>
      <c r="E19" s="526">
        <f>C19-G19-F19</f>
        <v>37562</v>
      </c>
      <c r="F19" s="740">
        <v>41</v>
      </c>
      <c r="G19" s="754">
        <v>36</v>
      </c>
      <c r="H19" s="529">
        <f t="shared" si="2"/>
        <v>58290</v>
      </c>
      <c r="I19" s="527">
        <v>58207</v>
      </c>
      <c r="J19" s="759">
        <f t="shared" si="3"/>
        <v>30648</v>
      </c>
      <c r="K19" s="742">
        <v>27559</v>
      </c>
      <c r="L19" s="526">
        <f t="shared" si="4"/>
        <v>83</v>
      </c>
      <c r="M19" s="740">
        <v>77</v>
      </c>
      <c r="N19" s="741">
        <v>6</v>
      </c>
      <c r="O19" s="739">
        <v>17537</v>
      </c>
      <c r="P19" s="526">
        <f t="shared" si="5"/>
        <v>17474</v>
      </c>
      <c r="Q19" s="743">
        <v>63</v>
      </c>
      <c r="R19" s="756">
        <v>138862</v>
      </c>
      <c r="S19" s="757">
        <v>311431</v>
      </c>
      <c r="T19" s="533">
        <f t="shared" si="6"/>
        <v>0.27105327591421702</v>
      </c>
      <c r="U19" s="534">
        <f t="shared" si="7"/>
        <v>0.18716826520160165</v>
      </c>
      <c r="V19" s="535">
        <f t="shared" si="8"/>
        <v>1.4239149082175329E-3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461297</v>
      </c>
      <c r="D20" s="559">
        <f t="shared" si="9"/>
        <v>460047</v>
      </c>
      <c r="E20" s="559">
        <f t="shared" si="9"/>
        <v>459129</v>
      </c>
      <c r="F20" s="559">
        <f t="shared" si="9"/>
        <v>918</v>
      </c>
      <c r="G20" s="575">
        <f t="shared" si="9"/>
        <v>1250</v>
      </c>
      <c r="H20" s="558">
        <f t="shared" si="9"/>
        <v>719242</v>
      </c>
      <c r="I20" s="559">
        <f t="shared" si="9"/>
        <v>716674</v>
      </c>
      <c r="J20" s="559">
        <f t="shared" si="9"/>
        <v>378577</v>
      </c>
      <c r="K20" s="559">
        <f t="shared" si="9"/>
        <v>338097</v>
      </c>
      <c r="L20" s="559">
        <f t="shared" si="9"/>
        <v>2568</v>
      </c>
      <c r="M20" s="559">
        <f t="shared" si="9"/>
        <v>2197</v>
      </c>
      <c r="N20" s="560">
        <f t="shared" si="9"/>
        <v>371</v>
      </c>
      <c r="O20" s="558">
        <f t="shared" si="9"/>
        <v>217702</v>
      </c>
      <c r="P20" s="559">
        <f t="shared" si="9"/>
        <v>215496</v>
      </c>
      <c r="Q20" s="560">
        <f t="shared" si="9"/>
        <v>2206</v>
      </c>
      <c r="R20" s="561">
        <f t="shared" si="9"/>
        <v>1659523</v>
      </c>
      <c r="S20" s="562">
        <f t="shared" si="9"/>
        <v>3745964</v>
      </c>
      <c r="T20" s="563">
        <f t="shared" si="6"/>
        <v>0.2779696334428628</v>
      </c>
      <c r="U20" s="564">
        <f t="shared" si="7"/>
        <v>0.19200451472571547</v>
      </c>
      <c r="V20" s="565">
        <f t="shared" si="8"/>
        <v>3.5704255313232544E-3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38441.416666666664</v>
      </c>
      <c r="D21" s="562">
        <f>D20/(COUNTIF(D8:D19,"&gt;0"))</f>
        <v>38337.25</v>
      </c>
      <c r="E21" s="560">
        <f>E20/(COUNTIF(E8:E19,"&gt;0"))</f>
        <v>38260.75</v>
      </c>
      <c r="F21" s="560">
        <f t="shared" ref="F21:S21" si="10">AVERAGE(F8:F19)</f>
        <v>76.5</v>
      </c>
      <c r="G21" s="575">
        <f t="shared" si="10"/>
        <v>104.16666666666667</v>
      </c>
      <c r="H21" s="574">
        <f>H20/(COUNTIF(H8:H19,"&gt;0"))</f>
        <v>59936.833333333336</v>
      </c>
      <c r="I21" s="562">
        <f t="shared" si="10"/>
        <v>59722.833333333336</v>
      </c>
      <c r="J21" s="562">
        <f>J20/(COUNTIF(J8:J19,"&gt;0"))</f>
        <v>31548.083333333332</v>
      </c>
      <c r="K21" s="562">
        <f t="shared" si="10"/>
        <v>28174.75</v>
      </c>
      <c r="L21" s="560">
        <f>L20/(COUNTIF(L8:L19,"&gt;0"))</f>
        <v>214</v>
      </c>
      <c r="M21" s="560">
        <f t="shared" si="10"/>
        <v>183.08333333333334</v>
      </c>
      <c r="N21" s="575">
        <f t="shared" si="10"/>
        <v>30.916666666666668</v>
      </c>
      <c r="O21" s="574">
        <f t="shared" si="10"/>
        <v>18141.833333333332</v>
      </c>
      <c r="P21" s="562">
        <f>P20/(COUNTIF(P8:P19,"&gt;0"))</f>
        <v>17958</v>
      </c>
      <c r="Q21" s="562">
        <f t="shared" si="10"/>
        <v>183.83333333333334</v>
      </c>
      <c r="R21" s="574">
        <f t="shared" si="10"/>
        <v>138293.58333333334</v>
      </c>
      <c r="S21" s="560">
        <f t="shared" si="10"/>
        <v>312163.66666666669</v>
      </c>
      <c r="T21" s="563">
        <f t="shared" si="6"/>
        <v>0.27796963344286274</v>
      </c>
      <c r="U21" s="564">
        <f t="shared" si="7"/>
        <v>0.19200451472571545</v>
      </c>
      <c r="V21" s="565">
        <f t="shared" si="8"/>
        <v>3.570425531323254E-3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39173</v>
      </c>
      <c r="D23" s="526">
        <f t="shared" si="11"/>
        <v>38980</v>
      </c>
      <c r="E23" s="596">
        <f t="shared" si="11"/>
        <v>38868</v>
      </c>
      <c r="F23" s="596">
        <f t="shared" si="11"/>
        <v>112</v>
      </c>
      <c r="G23" s="597">
        <f t="shared" si="11"/>
        <v>193</v>
      </c>
      <c r="H23" s="595">
        <f t="shared" si="11"/>
        <v>61607</v>
      </c>
      <c r="I23" s="526">
        <f t="shared" si="11"/>
        <v>61227</v>
      </c>
      <c r="J23" s="596">
        <f t="shared" si="11"/>
        <v>32627</v>
      </c>
      <c r="K23" s="596">
        <f t="shared" si="11"/>
        <v>28600</v>
      </c>
      <c r="L23" s="596">
        <f t="shared" si="11"/>
        <v>380</v>
      </c>
      <c r="M23" s="596">
        <f t="shared" si="11"/>
        <v>310</v>
      </c>
      <c r="N23" s="597">
        <f t="shared" si="11"/>
        <v>70</v>
      </c>
      <c r="O23" s="595">
        <f t="shared" si="11"/>
        <v>18732</v>
      </c>
      <c r="P23" s="526">
        <f t="shared" si="11"/>
        <v>18394</v>
      </c>
      <c r="Q23" s="597">
        <f t="shared" si="11"/>
        <v>338</v>
      </c>
      <c r="R23" s="598">
        <f t="shared" si="11"/>
        <v>137400</v>
      </c>
      <c r="S23" s="526">
        <f t="shared" si="11"/>
        <v>311871</v>
      </c>
      <c r="T23" s="533">
        <f t="shared" ref="T23:T38" si="12">C23/R23</f>
        <v>0.28510189228529842</v>
      </c>
      <c r="U23" s="534">
        <f t="shared" ref="U23:U38" si="13">H23/S23</f>
        <v>0.1975400085291675</v>
      </c>
      <c r="V23" s="535">
        <f t="shared" ref="V23:V38" si="14">L23/H23</f>
        <v>6.1681302449396987E-3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78242</v>
      </c>
      <c r="D24" s="599">
        <f t="shared" si="15"/>
        <v>77876</v>
      </c>
      <c r="E24" s="600">
        <f t="shared" si="15"/>
        <v>77654</v>
      </c>
      <c r="F24" s="600">
        <f t="shared" si="15"/>
        <v>222</v>
      </c>
      <c r="G24" s="601">
        <f t="shared" si="15"/>
        <v>366</v>
      </c>
      <c r="H24" s="529">
        <f t="shared" si="15"/>
        <v>122922</v>
      </c>
      <c r="I24" s="599">
        <f t="shared" si="15"/>
        <v>122195</v>
      </c>
      <c r="J24" s="600">
        <f t="shared" si="15"/>
        <v>65054</v>
      </c>
      <c r="K24" s="600">
        <f t="shared" si="15"/>
        <v>57141</v>
      </c>
      <c r="L24" s="600">
        <f t="shared" si="15"/>
        <v>727</v>
      </c>
      <c r="M24" s="600">
        <f t="shared" si="15"/>
        <v>597</v>
      </c>
      <c r="N24" s="601">
        <f t="shared" si="15"/>
        <v>130</v>
      </c>
      <c r="O24" s="529">
        <f t="shared" si="15"/>
        <v>37342</v>
      </c>
      <c r="P24" s="599">
        <f t="shared" si="15"/>
        <v>36708</v>
      </c>
      <c r="Q24" s="601">
        <f t="shared" si="15"/>
        <v>634</v>
      </c>
      <c r="R24" s="602">
        <f t="shared" si="15"/>
        <v>275248</v>
      </c>
      <c r="S24" s="599">
        <f t="shared" si="15"/>
        <v>624126</v>
      </c>
      <c r="T24" s="603">
        <f t="shared" si="12"/>
        <v>0.28426001278846713</v>
      </c>
      <c r="U24" s="604">
        <f t="shared" si="13"/>
        <v>0.1969506157410523</v>
      </c>
      <c r="V24" s="605">
        <f t="shared" si="14"/>
        <v>5.9143196498592605E-3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117199</v>
      </c>
      <c r="D25" s="599">
        <f t="shared" si="16"/>
        <v>116682</v>
      </c>
      <c r="E25" s="600">
        <f t="shared" si="16"/>
        <v>116362</v>
      </c>
      <c r="F25" s="600">
        <f t="shared" si="16"/>
        <v>320</v>
      </c>
      <c r="G25" s="601">
        <f t="shared" si="16"/>
        <v>517</v>
      </c>
      <c r="H25" s="529">
        <f t="shared" si="16"/>
        <v>183966</v>
      </c>
      <c r="I25" s="599">
        <f t="shared" si="16"/>
        <v>182939</v>
      </c>
      <c r="J25" s="600">
        <f t="shared" si="16"/>
        <v>97274</v>
      </c>
      <c r="K25" s="600">
        <f t="shared" si="16"/>
        <v>85665</v>
      </c>
      <c r="L25" s="600">
        <f t="shared" si="16"/>
        <v>1027</v>
      </c>
      <c r="M25" s="600">
        <f t="shared" si="16"/>
        <v>849</v>
      </c>
      <c r="N25" s="601">
        <f t="shared" si="16"/>
        <v>178</v>
      </c>
      <c r="O25" s="529">
        <f t="shared" si="16"/>
        <v>55833</v>
      </c>
      <c r="P25" s="599">
        <f t="shared" si="16"/>
        <v>54940</v>
      </c>
      <c r="Q25" s="601">
        <f t="shared" si="16"/>
        <v>893</v>
      </c>
      <c r="R25" s="602">
        <f t="shared" si="16"/>
        <v>413207</v>
      </c>
      <c r="S25" s="599">
        <f t="shared" si="16"/>
        <v>936405</v>
      </c>
      <c r="T25" s="603">
        <f t="shared" si="12"/>
        <v>0.2836326586916485</v>
      </c>
      <c r="U25" s="604">
        <f t="shared" si="13"/>
        <v>0.19645986512246302</v>
      </c>
      <c r="V25" s="605">
        <f t="shared" si="14"/>
        <v>5.5825532978920015E-3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156035</v>
      </c>
      <c r="D26" s="599">
        <f t="shared" si="17"/>
        <v>155391</v>
      </c>
      <c r="E26" s="600">
        <f t="shared" si="17"/>
        <v>154977</v>
      </c>
      <c r="F26" s="600">
        <f t="shared" si="17"/>
        <v>414</v>
      </c>
      <c r="G26" s="601">
        <f>SUM(G8:G11)</f>
        <v>644</v>
      </c>
      <c r="H26" s="529">
        <f t="shared" si="17"/>
        <v>244719</v>
      </c>
      <c r="I26" s="599">
        <f t="shared" si="17"/>
        <v>243432</v>
      </c>
      <c r="J26" s="600">
        <f t="shared" si="17"/>
        <v>129327</v>
      </c>
      <c r="K26" s="600">
        <f t="shared" si="17"/>
        <v>114105</v>
      </c>
      <c r="L26" s="600">
        <f t="shared" si="17"/>
        <v>1287</v>
      </c>
      <c r="M26" s="600">
        <f t="shared" si="17"/>
        <v>1073</v>
      </c>
      <c r="N26" s="601">
        <f t="shared" si="17"/>
        <v>214</v>
      </c>
      <c r="O26" s="529">
        <f t="shared" si="17"/>
        <v>74268</v>
      </c>
      <c r="P26" s="599">
        <f t="shared" si="17"/>
        <v>73148</v>
      </c>
      <c r="Q26" s="601">
        <f t="shared" si="17"/>
        <v>1120</v>
      </c>
      <c r="R26" s="602">
        <f t="shared" si="17"/>
        <v>551316</v>
      </c>
      <c r="S26" s="599">
        <f t="shared" si="17"/>
        <v>1248752</v>
      </c>
      <c r="T26" s="603">
        <f t="shared" si="12"/>
        <v>0.28302280361897714</v>
      </c>
      <c r="U26" s="604">
        <f t="shared" si="13"/>
        <v>0.19597085730393224</v>
      </c>
      <c r="V26" s="605">
        <f t="shared" si="14"/>
        <v>5.2590930822698683E-3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194715</v>
      </c>
      <c r="D27" s="599">
        <f t="shared" si="18"/>
        <v>193961</v>
      </c>
      <c r="E27" s="600">
        <f t="shared" si="18"/>
        <v>193459</v>
      </c>
      <c r="F27" s="600">
        <f t="shared" si="18"/>
        <v>502</v>
      </c>
      <c r="G27" s="601">
        <f t="shared" si="18"/>
        <v>754</v>
      </c>
      <c r="H27" s="529">
        <f t="shared" si="18"/>
        <v>305106</v>
      </c>
      <c r="I27" s="599">
        <f t="shared" si="18"/>
        <v>303586</v>
      </c>
      <c r="J27" s="600">
        <f t="shared" si="18"/>
        <v>161122</v>
      </c>
      <c r="K27" s="600">
        <f t="shared" si="18"/>
        <v>142464</v>
      </c>
      <c r="L27" s="600">
        <f t="shared" si="18"/>
        <v>1520</v>
      </c>
      <c r="M27" s="600">
        <f t="shared" si="18"/>
        <v>1274</v>
      </c>
      <c r="N27" s="601">
        <f t="shared" si="18"/>
        <v>246</v>
      </c>
      <c r="O27" s="529">
        <f t="shared" si="18"/>
        <v>92582</v>
      </c>
      <c r="P27" s="599">
        <f t="shared" si="18"/>
        <v>91254</v>
      </c>
      <c r="Q27" s="601">
        <f t="shared" si="18"/>
        <v>1328</v>
      </c>
      <c r="R27" s="602">
        <f t="shared" si="18"/>
        <v>689542</v>
      </c>
      <c r="S27" s="599">
        <f t="shared" si="18"/>
        <v>1561046</v>
      </c>
      <c r="T27" s="603">
        <f t="shared" si="12"/>
        <v>0.28238308906491555</v>
      </c>
      <c r="U27" s="604">
        <f t="shared" si="13"/>
        <v>0.19544971768929295</v>
      </c>
      <c r="V27" s="605">
        <f t="shared" si="14"/>
        <v>4.9818751515866618E-3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233191</v>
      </c>
      <c r="D28" s="599">
        <f t="shared" si="19"/>
        <v>232336</v>
      </c>
      <c r="E28" s="600">
        <f t="shared" si="19"/>
        <v>231752</v>
      </c>
      <c r="F28" s="600">
        <f t="shared" si="19"/>
        <v>584</v>
      </c>
      <c r="G28" s="601">
        <f t="shared" si="19"/>
        <v>855</v>
      </c>
      <c r="H28" s="529">
        <f t="shared" si="19"/>
        <v>365059</v>
      </c>
      <c r="I28" s="599">
        <f t="shared" si="19"/>
        <v>363323</v>
      </c>
      <c r="J28" s="600">
        <f t="shared" si="19"/>
        <v>192608</v>
      </c>
      <c r="K28" s="600">
        <f t="shared" si="19"/>
        <v>170715</v>
      </c>
      <c r="L28" s="600">
        <f t="shared" si="19"/>
        <v>1736</v>
      </c>
      <c r="M28" s="600">
        <f t="shared" si="19"/>
        <v>1459</v>
      </c>
      <c r="N28" s="601">
        <f t="shared" si="19"/>
        <v>277</v>
      </c>
      <c r="O28" s="529">
        <f t="shared" si="19"/>
        <v>110750</v>
      </c>
      <c r="P28" s="599">
        <f t="shared" si="19"/>
        <v>109234</v>
      </c>
      <c r="Q28" s="601">
        <f t="shared" si="19"/>
        <v>1516</v>
      </c>
      <c r="R28" s="602">
        <f t="shared" si="19"/>
        <v>827821</v>
      </c>
      <c r="S28" s="599">
        <f t="shared" si="19"/>
        <v>1873304</v>
      </c>
      <c r="T28" s="603">
        <f t="shared" si="12"/>
        <v>0.28169253981235076</v>
      </c>
      <c r="U28" s="604">
        <f t="shared" si="13"/>
        <v>0.19487440372731815</v>
      </c>
      <c r="V28" s="605">
        <f t="shared" si="14"/>
        <v>4.7553957031603112E-3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271551</v>
      </c>
      <c r="D29" s="599">
        <f t="shared" si="20"/>
        <v>270605</v>
      </c>
      <c r="E29" s="600">
        <f t="shared" si="20"/>
        <v>269947</v>
      </c>
      <c r="F29" s="600">
        <f t="shared" si="20"/>
        <v>658</v>
      </c>
      <c r="G29" s="601">
        <f t="shared" si="20"/>
        <v>946</v>
      </c>
      <c r="H29" s="529">
        <f t="shared" si="20"/>
        <v>424799</v>
      </c>
      <c r="I29" s="599">
        <f t="shared" si="20"/>
        <v>422869</v>
      </c>
      <c r="J29" s="600">
        <f t="shared" si="20"/>
        <v>223949</v>
      </c>
      <c r="K29" s="600">
        <f t="shared" si="20"/>
        <v>198920</v>
      </c>
      <c r="L29" s="600">
        <f t="shared" si="20"/>
        <v>1930</v>
      </c>
      <c r="M29" s="600">
        <f t="shared" si="20"/>
        <v>1626</v>
      </c>
      <c r="N29" s="601">
        <f t="shared" si="20"/>
        <v>304</v>
      </c>
      <c r="O29" s="529">
        <f t="shared" si="20"/>
        <v>128874</v>
      </c>
      <c r="P29" s="599">
        <f t="shared" si="20"/>
        <v>127188</v>
      </c>
      <c r="Q29" s="601">
        <f t="shared" si="20"/>
        <v>1686</v>
      </c>
      <c r="R29" s="602">
        <f t="shared" si="20"/>
        <v>966303</v>
      </c>
      <c r="S29" s="599">
        <f t="shared" si="20"/>
        <v>2185696</v>
      </c>
      <c r="T29" s="603">
        <f t="shared" si="12"/>
        <v>0.28102054945498461</v>
      </c>
      <c r="U29" s="604">
        <f t="shared" si="13"/>
        <v>0.19435410962915245</v>
      </c>
      <c r="V29" s="605">
        <f t="shared" si="14"/>
        <v>4.5433251961515915E-3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309818</v>
      </c>
      <c r="D30" s="599">
        <f t="shared" si="21"/>
        <v>308790</v>
      </c>
      <c r="E30" s="600">
        <f t="shared" si="21"/>
        <v>308064</v>
      </c>
      <c r="F30" s="600">
        <f t="shared" si="21"/>
        <v>726</v>
      </c>
      <c r="G30" s="601">
        <f t="shared" si="21"/>
        <v>1028</v>
      </c>
      <c r="H30" s="529">
        <f t="shared" si="21"/>
        <v>484269</v>
      </c>
      <c r="I30" s="599">
        <f t="shared" si="21"/>
        <v>482164</v>
      </c>
      <c r="J30" s="600">
        <f t="shared" si="21"/>
        <v>255141</v>
      </c>
      <c r="K30" s="600">
        <f t="shared" si="21"/>
        <v>227023</v>
      </c>
      <c r="L30" s="600">
        <f t="shared" si="21"/>
        <v>2105</v>
      </c>
      <c r="M30" s="600">
        <f t="shared" si="21"/>
        <v>1778</v>
      </c>
      <c r="N30" s="601">
        <f t="shared" si="21"/>
        <v>327</v>
      </c>
      <c r="O30" s="529">
        <f t="shared" si="21"/>
        <v>146878</v>
      </c>
      <c r="P30" s="599">
        <f t="shared" si="21"/>
        <v>145041</v>
      </c>
      <c r="Q30" s="601">
        <f t="shared" si="21"/>
        <v>1837</v>
      </c>
      <c r="R30" s="602">
        <f t="shared" si="21"/>
        <v>1104864</v>
      </c>
      <c r="S30" s="599">
        <f t="shared" si="21"/>
        <v>2498091</v>
      </c>
      <c r="T30" s="603">
        <f t="shared" si="12"/>
        <v>0.28041279288672633</v>
      </c>
      <c r="U30" s="604">
        <f t="shared" si="13"/>
        <v>0.19385562815766119</v>
      </c>
      <c r="V30" s="605">
        <f t="shared" si="14"/>
        <v>4.3467576904571634E-3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347947</v>
      </c>
      <c r="D31" s="599">
        <f t="shared" si="22"/>
        <v>346844</v>
      </c>
      <c r="E31" s="600">
        <f t="shared" si="22"/>
        <v>346058</v>
      </c>
      <c r="F31" s="600">
        <f t="shared" si="22"/>
        <v>786</v>
      </c>
      <c r="G31" s="601">
        <f t="shared" si="22"/>
        <v>1103</v>
      </c>
      <c r="H31" s="529">
        <f t="shared" si="22"/>
        <v>543515</v>
      </c>
      <c r="I31" s="599">
        <f t="shared" si="22"/>
        <v>541256</v>
      </c>
      <c r="J31" s="600">
        <f t="shared" si="22"/>
        <v>286211</v>
      </c>
      <c r="K31" s="600">
        <f t="shared" si="22"/>
        <v>255045</v>
      </c>
      <c r="L31" s="600">
        <f t="shared" si="22"/>
        <v>2259</v>
      </c>
      <c r="M31" s="600">
        <f t="shared" si="22"/>
        <v>1915</v>
      </c>
      <c r="N31" s="601">
        <f t="shared" si="22"/>
        <v>344</v>
      </c>
      <c r="O31" s="529">
        <f t="shared" si="22"/>
        <v>164761</v>
      </c>
      <c r="P31" s="599">
        <f t="shared" si="22"/>
        <v>162800</v>
      </c>
      <c r="Q31" s="601">
        <f t="shared" si="22"/>
        <v>1961</v>
      </c>
      <c r="R31" s="602">
        <f t="shared" si="22"/>
        <v>1243391</v>
      </c>
      <c r="S31" s="599">
        <f t="shared" si="22"/>
        <v>2810281</v>
      </c>
      <c r="T31" s="603">
        <f t="shared" si="12"/>
        <v>0.27983715500594747</v>
      </c>
      <c r="U31" s="604">
        <f t="shared" si="13"/>
        <v>0.19340236794825855</v>
      </c>
      <c r="V31" s="605">
        <f t="shared" si="14"/>
        <v>4.1562790355371979E-3</v>
      </c>
    </row>
    <row r="32" spans="1:45" ht="20.149999999999999" customHeight="1" x14ac:dyDescent="0.2">
      <c r="B32" s="537" t="s">
        <v>63</v>
      </c>
      <c r="C32" s="529">
        <f t="shared" ref="C32:S32" si="23">SUM(C8:C17)</f>
        <v>385921</v>
      </c>
      <c r="D32" s="599">
        <f t="shared" si="23"/>
        <v>384756</v>
      </c>
      <c r="E32" s="600">
        <f t="shared" si="23"/>
        <v>383921</v>
      </c>
      <c r="F32" s="600">
        <f t="shared" si="23"/>
        <v>835</v>
      </c>
      <c r="G32" s="601">
        <f t="shared" si="23"/>
        <v>1165</v>
      </c>
      <c r="H32" s="529">
        <f t="shared" si="23"/>
        <v>602454</v>
      </c>
      <c r="I32" s="599">
        <f t="shared" si="23"/>
        <v>600070</v>
      </c>
      <c r="J32" s="600">
        <f t="shared" si="23"/>
        <v>317199</v>
      </c>
      <c r="K32" s="600">
        <f t="shared" si="23"/>
        <v>282871</v>
      </c>
      <c r="L32" s="600">
        <f t="shared" si="23"/>
        <v>2384</v>
      </c>
      <c r="M32" s="600">
        <f t="shared" si="23"/>
        <v>2028</v>
      </c>
      <c r="N32" s="601">
        <f t="shared" si="23"/>
        <v>356</v>
      </c>
      <c r="O32" s="529">
        <f t="shared" si="23"/>
        <v>182533</v>
      </c>
      <c r="P32" s="599">
        <f t="shared" si="23"/>
        <v>180472</v>
      </c>
      <c r="Q32" s="601">
        <f t="shared" si="23"/>
        <v>2061</v>
      </c>
      <c r="R32" s="602">
        <f t="shared" si="23"/>
        <v>1382016</v>
      </c>
      <c r="S32" s="599">
        <f t="shared" si="23"/>
        <v>3122504</v>
      </c>
      <c r="T32" s="603">
        <f t="shared" si="12"/>
        <v>0.27924495809021027</v>
      </c>
      <c r="U32" s="604">
        <f t="shared" si="13"/>
        <v>0.19293938454522397</v>
      </c>
      <c r="V32" s="605">
        <f t="shared" si="14"/>
        <v>3.9571485955774213E-3</v>
      </c>
    </row>
    <row r="33" spans="1:35" ht="20.149999999999999" customHeight="1" x14ac:dyDescent="0.2">
      <c r="B33" s="537" t="s">
        <v>64</v>
      </c>
      <c r="C33" s="529">
        <f t="shared" ref="C33:S33" si="24">SUM(C8:C18)</f>
        <v>423658</v>
      </c>
      <c r="D33" s="599">
        <f t="shared" si="24"/>
        <v>422444</v>
      </c>
      <c r="E33" s="600">
        <f t="shared" si="24"/>
        <v>421567</v>
      </c>
      <c r="F33" s="600">
        <f t="shared" si="24"/>
        <v>877</v>
      </c>
      <c r="G33" s="601">
        <f t="shared" si="24"/>
        <v>1214</v>
      </c>
      <c r="H33" s="529">
        <f t="shared" si="24"/>
        <v>660952</v>
      </c>
      <c r="I33" s="599">
        <f t="shared" si="24"/>
        <v>658467</v>
      </c>
      <c r="J33" s="600">
        <f t="shared" si="24"/>
        <v>347929</v>
      </c>
      <c r="K33" s="600">
        <f t="shared" si="24"/>
        <v>310538</v>
      </c>
      <c r="L33" s="600">
        <f t="shared" si="24"/>
        <v>2485</v>
      </c>
      <c r="M33" s="600">
        <f t="shared" si="24"/>
        <v>2120</v>
      </c>
      <c r="N33" s="601">
        <f t="shared" si="24"/>
        <v>365</v>
      </c>
      <c r="O33" s="529">
        <f t="shared" si="24"/>
        <v>200165</v>
      </c>
      <c r="P33" s="599">
        <f t="shared" si="24"/>
        <v>198022</v>
      </c>
      <c r="Q33" s="601">
        <f t="shared" si="24"/>
        <v>2143</v>
      </c>
      <c r="R33" s="602">
        <f t="shared" si="24"/>
        <v>1520661</v>
      </c>
      <c r="S33" s="599">
        <f t="shared" si="24"/>
        <v>3434533</v>
      </c>
      <c r="T33" s="603">
        <f t="shared" si="12"/>
        <v>0.27860121355121226</v>
      </c>
      <c r="U33" s="604">
        <f t="shared" si="13"/>
        <v>0.1924430482979782</v>
      </c>
      <c r="V33" s="605">
        <f t="shared" si="14"/>
        <v>3.7597283917742892E-3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461297</v>
      </c>
      <c r="D34" s="608">
        <f t="shared" si="25"/>
        <v>460047</v>
      </c>
      <c r="E34" s="609">
        <f t="shared" si="25"/>
        <v>459129</v>
      </c>
      <c r="F34" s="609">
        <f t="shared" si="25"/>
        <v>918</v>
      </c>
      <c r="G34" s="610">
        <f t="shared" si="25"/>
        <v>1250</v>
      </c>
      <c r="H34" s="607">
        <f t="shared" si="25"/>
        <v>719242</v>
      </c>
      <c r="I34" s="608">
        <f t="shared" si="25"/>
        <v>716674</v>
      </c>
      <c r="J34" s="609">
        <f t="shared" si="25"/>
        <v>378577</v>
      </c>
      <c r="K34" s="609">
        <f t="shared" si="25"/>
        <v>338097</v>
      </c>
      <c r="L34" s="609">
        <f t="shared" si="25"/>
        <v>2568</v>
      </c>
      <c r="M34" s="609">
        <f t="shared" si="25"/>
        <v>2197</v>
      </c>
      <c r="N34" s="610">
        <f t="shared" si="25"/>
        <v>371</v>
      </c>
      <c r="O34" s="607">
        <f t="shared" si="25"/>
        <v>217702</v>
      </c>
      <c r="P34" s="608">
        <f t="shared" si="25"/>
        <v>215496</v>
      </c>
      <c r="Q34" s="610">
        <f t="shared" si="25"/>
        <v>2206</v>
      </c>
      <c r="R34" s="611">
        <f t="shared" si="25"/>
        <v>1659523</v>
      </c>
      <c r="S34" s="608">
        <f t="shared" si="25"/>
        <v>3745964</v>
      </c>
      <c r="T34" s="612">
        <f t="shared" si="12"/>
        <v>0.2779696334428628</v>
      </c>
      <c r="U34" s="613">
        <f t="shared" si="13"/>
        <v>0.19200451472571547</v>
      </c>
      <c r="V34" s="614">
        <f t="shared" si="14"/>
        <v>3.5704255313232544E-3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462488</v>
      </c>
      <c r="D35" s="616">
        <f t="shared" si="26"/>
        <v>461063</v>
      </c>
      <c r="E35" s="616">
        <f t="shared" si="26"/>
        <v>460056</v>
      </c>
      <c r="F35" s="616">
        <f t="shared" si="26"/>
        <v>1007</v>
      </c>
      <c r="G35" s="617">
        <f t="shared" si="26"/>
        <v>1425</v>
      </c>
      <c r="H35" s="618">
        <f t="shared" si="26"/>
        <v>722103</v>
      </c>
      <c r="I35" s="616">
        <f t="shared" si="26"/>
        <v>719199</v>
      </c>
      <c r="J35" s="616">
        <f t="shared" si="26"/>
        <v>380201</v>
      </c>
      <c r="K35" s="616">
        <f t="shared" si="26"/>
        <v>338998</v>
      </c>
      <c r="L35" s="616">
        <f t="shared" si="26"/>
        <v>2904</v>
      </c>
      <c r="M35" s="616">
        <f t="shared" si="26"/>
        <v>2465</v>
      </c>
      <c r="N35" s="619">
        <f t="shared" si="26"/>
        <v>439</v>
      </c>
      <c r="O35" s="618">
        <f t="shared" si="26"/>
        <v>218688</v>
      </c>
      <c r="P35" s="616">
        <f t="shared" si="26"/>
        <v>216182</v>
      </c>
      <c r="Q35" s="619">
        <f t="shared" si="26"/>
        <v>2506</v>
      </c>
      <c r="R35" s="618">
        <f t="shared" si="26"/>
        <v>1657604</v>
      </c>
      <c r="S35" s="616">
        <f t="shared" si="26"/>
        <v>3746296</v>
      </c>
      <c r="T35" s="620">
        <f t="shared" si="12"/>
        <v>0.27900994447407224</v>
      </c>
      <c r="U35" s="620">
        <f t="shared" si="13"/>
        <v>0.19275118677221448</v>
      </c>
      <c r="V35" s="621">
        <f t="shared" si="14"/>
        <v>4.021586948122359E-3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38541</v>
      </c>
      <c r="D36" s="626">
        <f>E36+F36</f>
        <v>38422</v>
      </c>
      <c r="E36" s="626">
        <f>C36-F36-G36</f>
        <v>38338</v>
      </c>
      <c r="F36" s="626">
        <f>ROUND(AVERAGE(F7:F18),0)</f>
        <v>84</v>
      </c>
      <c r="G36" s="627">
        <f>ROUND(AVERAGE(G7:G18),0)</f>
        <v>119</v>
      </c>
      <c r="H36" s="625">
        <f>L36+I36</f>
        <v>60175</v>
      </c>
      <c r="I36" s="626">
        <f>ROUND(AVERAGE(I7:I18),0)</f>
        <v>59933</v>
      </c>
      <c r="J36" s="626">
        <f>J35/(COUNTIF(J7:J18,"&gt;0"))</f>
        <v>31683.416666666668</v>
      </c>
      <c r="K36" s="626">
        <f>AVERAGE(K7:K18)</f>
        <v>28249.833333333332</v>
      </c>
      <c r="L36" s="626">
        <f>ROUND(L35/(COUNTIF(L7:L18,"&gt;0")),0)</f>
        <v>242</v>
      </c>
      <c r="M36" s="626">
        <f>ROUND(AVERAGE(M7:M18),0)</f>
        <v>205</v>
      </c>
      <c r="N36" s="628">
        <f>L36-M36</f>
        <v>37</v>
      </c>
      <c r="O36" s="625">
        <f>AVERAGE(O7:O18)</f>
        <v>18224</v>
      </c>
      <c r="P36" s="626">
        <f>P35/(COUNTIF(P7:P18,"&gt;0"))</f>
        <v>18015.166666666668</v>
      </c>
      <c r="Q36" s="628">
        <f>AVERAGE(Q7:Q18)</f>
        <v>208.83333333333334</v>
      </c>
      <c r="R36" s="625">
        <f>AVERAGE(R7:R18)</f>
        <v>138133.66666666666</v>
      </c>
      <c r="S36" s="626">
        <f>AVERAGE(S7:S18)</f>
        <v>312191.33333333331</v>
      </c>
      <c r="T36" s="629">
        <f t="shared" si="12"/>
        <v>0.27901235759566217</v>
      </c>
      <c r="U36" s="630">
        <f t="shared" si="13"/>
        <v>0.19275038598124655</v>
      </c>
      <c r="V36" s="631">
        <f t="shared" si="14"/>
        <v>4.021603656003324E-3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464849</v>
      </c>
      <c r="D37" s="635">
        <f t="shared" si="27"/>
        <v>463020</v>
      </c>
      <c r="E37" s="636">
        <f t="shared" si="27"/>
        <v>461816</v>
      </c>
      <c r="F37" s="636">
        <f t="shared" si="27"/>
        <v>1204</v>
      </c>
      <c r="G37" s="637">
        <f t="shared" si="27"/>
        <v>1829</v>
      </c>
      <c r="H37" s="634">
        <f t="shared" si="27"/>
        <v>727949</v>
      </c>
      <c r="I37" s="635">
        <f t="shared" si="27"/>
        <v>724257</v>
      </c>
      <c r="J37" s="636">
        <f t="shared" si="27"/>
        <v>383533</v>
      </c>
      <c r="K37" s="636">
        <f t="shared" si="27"/>
        <v>340724</v>
      </c>
      <c r="L37" s="636">
        <f t="shared" si="27"/>
        <v>3692</v>
      </c>
      <c r="M37" s="636">
        <f t="shared" si="27"/>
        <v>3072</v>
      </c>
      <c r="N37" s="637">
        <f t="shared" si="27"/>
        <v>620</v>
      </c>
      <c r="O37" s="634">
        <f t="shared" si="27"/>
        <v>220793</v>
      </c>
      <c r="P37" s="638">
        <f t="shared" si="27"/>
        <v>217593</v>
      </c>
      <c r="Q37" s="637">
        <f t="shared" si="27"/>
        <v>3200</v>
      </c>
      <c r="R37" s="634">
        <f t="shared" si="27"/>
        <v>1653378</v>
      </c>
      <c r="S37" s="635">
        <f t="shared" si="27"/>
        <v>3746260</v>
      </c>
      <c r="T37" s="639">
        <f t="shared" si="12"/>
        <v>0.28115107374115295</v>
      </c>
      <c r="U37" s="639">
        <f t="shared" si="13"/>
        <v>0.19431352869261609</v>
      </c>
      <c r="V37" s="640">
        <f t="shared" si="14"/>
        <v>5.0717838749692627E-3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38737.416666666664</v>
      </c>
      <c r="D38" s="643">
        <f t="shared" ref="D38:S38" si="28">D37/(COUNTIF(D8:D16,"&gt;0")+3)</f>
        <v>38585</v>
      </c>
      <c r="E38" s="644">
        <f t="shared" si="28"/>
        <v>38484.666666666664</v>
      </c>
      <c r="F38" s="644">
        <f t="shared" si="28"/>
        <v>100.33333333333333</v>
      </c>
      <c r="G38" s="645">
        <f t="shared" si="28"/>
        <v>152.41666666666666</v>
      </c>
      <c r="H38" s="642">
        <f t="shared" si="28"/>
        <v>60662.416666666664</v>
      </c>
      <c r="I38" s="643">
        <f t="shared" si="28"/>
        <v>60354.75</v>
      </c>
      <c r="J38" s="644">
        <f t="shared" si="28"/>
        <v>31961.083333333332</v>
      </c>
      <c r="K38" s="644">
        <f t="shared" si="28"/>
        <v>28393.666666666668</v>
      </c>
      <c r="L38" s="644">
        <f t="shared" si="28"/>
        <v>307.66666666666669</v>
      </c>
      <c r="M38" s="644">
        <f t="shared" si="28"/>
        <v>256</v>
      </c>
      <c r="N38" s="645">
        <f t="shared" si="28"/>
        <v>51.666666666666664</v>
      </c>
      <c r="O38" s="642">
        <f t="shared" si="28"/>
        <v>18399.416666666668</v>
      </c>
      <c r="P38" s="646">
        <f t="shared" si="28"/>
        <v>18132.75</v>
      </c>
      <c r="Q38" s="645">
        <f t="shared" si="28"/>
        <v>266.66666666666669</v>
      </c>
      <c r="R38" s="642">
        <f t="shared" si="28"/>
        <v>137781.5</v>
      </c>
      <c r="S38" s="643">
        <f t="shared" si="28"/>
        <v>312188.33333333331</v>
      </c>
      <c r="T38" s="647">
        <f t="shared" si="12"/>
        <v>0.28115107374115295</v>
      </c>
      <c r="U38" s="647">
        <f t="shared" si="13"/>
        <v>0.19431352869261612</v>
      </c>
      <c r="V38" s="648">
        <f t="shared" si="14"/>
        <v>5.0717838749692636E-3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C19" sqref="C19:V19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2852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SUM(平成30年度!C17:C19)</f>
        <v>113350</v>
      </c>
      <c r="D2" s="480">
        <f>SUM(平成30年度!D17:D19)</f>
        <v>113203</v>
      </c>
      <c r="E2" s="480">
        <f>SUM(平成30年度!E17:E19)</f>
        <v>113071</v>
      </c>
      <c r="F2" s="480">
        <f>SUM(平成30年度!F17:F19)</f>
        <v>132</v>
      </c>
      <c r="G2" s="480">
        <f>SUM(平成30年度!G17:G19)</f>
        <v>147</v>
      </c>
      <c r="H2" s="480">
        <f>SUM(平成30年度!H17:H19)</f>
        <v>175727</v>
      </c>
      <c r="I2" s="480">
        <f>SUM(平成30年度!I17:I19)</f>
        <v>175418</v>
      </c>
      <c r="J2" s="480">
        <f>SUM(平成30年度!J17:J19)</f>
        <v>92366</v>
      </c>
      <c r="K2" s="480">
        <f>SUM(平成30年度!K17:K19)</f>
        <v>83052</v>
      </c>
      <c r="L2" s="480">
        <f>SUM(平成30年度!L17:L19)</f>
        <v>309</v>
      </c>
      <c r="M2" s="480">
        <f>SUM(平成30年度!M17:M19)</f>
        <v>282</v>
      </c>
      <c r="N2" s="480">
        <f>SUM(平成30年度!N17:N19)</f>
        <v>27</v>
      </c>
      <c r="O2" s="480">
        <f>SUM(平成30年度!O17:O19)</f>
        <v>52941</v>
      </c>
      <c r="P2" s="480">
        <f>SUM(平成30年度!P17:P19)</f>
        <v>52696</v>
      </c>
      <c r="Q2" s="480">
        <f>SUM(平成30年度!Q17:Q19)</f>
        <v>245</v>
      </c>
      <c r="R2" s="480">
        <f>SUM(平成30年度!R17:R19)</f>
        <v>416132</v>
      </c>
      <c r="S2" s="480">
        <f>SUM(平成30年度!S17:S19)</f>
        <v>935683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2853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873">
        <v>37639</v>
      </c>
      <c r="D7" s="874">
        <v>37603</v>
      </c>
      <c r="E7" s="874">
        <v>37562</v>
      </c>
      <c r="F7" s="875">
        <v>41</v>
      </c>
      <c r="G7" s="876">
        <v>36</v>
      </c>
      <c r="H7" s="877">
        <v>58290</v>
      </c>
      <c r="I7" s="874">
        <v>58207</v>
      </c>
      <c r="J7" s="875">
        <v>30648</v>
      </c>
      <c r="K7" s="878">
        <v>27559</v>
      </c>
      <c r="L7" s="874">
        <v>83</v>
      </c>
      <c r="M7" s="875">
        <v>77</v>
      </c>
      <c r="N7" s="879">
        <v>6</v>
      </c>
      <c r="O7" s="873">
        <v>17537</v>
      </c>
      <c r="P7" s="874">
        <v>17474</v>
      </c>
      <c r="Q7" s="879">
        <v>63</v>
      </c>
      <c r="R7" s="880">
        <v>138862</v>
      </c>
      <c r="S7" s="881">
        <v>311431</v>
      </c>
      <c r="T7" s="882">
        <v>0.27105327591421702</v>
      </c>
      <c r="U7" s="883">
        <v>0.18716826520160165</v>
      </c>
      <c r="V7" s="884">
        <v>1.4239149082175329E-3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38090</v>
      </c>
      <c r="D8" s="526">
        <f t="shared" ref="D8:D19" si="0">E8+F8</f>
        <v>38065</v>
      </c>
      <c r="E8" s="526">
        <f t="shared" ref="E8:E18" si="1">C8-G8-F8</f>
        <v>38030</v>
      </c>
      <c r="F8" s="740">
        <v>35</v>
      </c>
      <c r="G8" s="741">
        <v>25</v>
      </c>
      <c r="H8" s="529">
        <f t="shared" ref="H8:H19" si="2">I8+L8</f>
        <v>58906</v>
      </c>
      <c r="I8" s="527">
        <v>58841</v>
      </c>
      <c r="J8" s="759">
        <f t="shared" ref="J8:J19" si="3">I8-K8</f>
        <v>31094</v>
      </c>
      <c r="K8" s="742">
        <v>27747</v>
      </c>
      <c r="L8" s="526">
        <f t="shared" ref="L8:L19" si="4">M8+N8</f>
        <v>65</v>
      </c>
      <c r="M8" s="740">
        <v>60</v>
      </c>
      <c r="N8" s="741">
        <v>5</v>
      </c>
      <c r="O8" s="739">
        <v>17848</v>
      </c>
      <c r="P8" s="526">
        <f t="shared" ref="P8:P19" si="5">O8-Q8</f>
        <v>17793</v>
      </c>
      <c r="Q8" s="743">
        <v>55</v>
      </c>
      <c r="R8" s="871">
        <v>139340</v>
      </c>
      <c r="S8" s="872">
        <v>311630</v>
      </c>
      <c r="T8" s="534">
        <f t="shared" ref="T8:T21" si="6">C8/R8</f>
        <v>0.27336012630974593</v>
      </c>
      <c r="U8" s="534">
        <f t="shared" ref="U8:U21" si="7">H8/S8</f>
        <v>0.18902544684401373</v>
      </c>
      <c r="V8" s="535">
        <f t="shared" ref="V8:V21" si="8">L8/H8</f>
        <v>1.1034529589515499E-3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38033</v>
      </c>
      <c r="D9" s="526">
        <f t="shared" si="0"/>
        <v>38011</v>
      </c>
      <c r="E9" s="526">
        <f t="shared" si="1"/>
        <v>37981</v>
      </c>
      <c r="F9" s="740">
        <v>30</v>
      </c>
      <c r="G9" s="741">
        <v>22</v>
      </c>
      <c r="H9" s="529">
        <f t="shared" si="2"/>
        <v>58668</v>
      </c>
      <c r="I9" s="527">
        <v>58613</v>
      </c>
      <c r="J9" s="759">
        <f t="shared" si="3"/>
        <v>30996</v>
      </c>
      <c r="K9" s="742">
        <v>27617</v>
      </c>
      <c r="L9" s="526">
        <f t="shared" si="4"/>
        <v>55</v>
      </c>
      <c r="M9" s="740">
        <v>52</v>
      </c>
      <c r="N9" s="741">
        <v>3</v>
      </c>
      <c r="O9" s="739">
        <v>17818</v>
      </c>
      <c r="P9" s="526">
        <f t="shared" si="5"/>
        <v>17768</v>
      </c>
      <c r="Q9" s="743">
        <v>50</v>
      </c>
      <c r="R9" s="746">
        <v>139502</v>
      </c>
      <c r="S9" s="747">
        <v>311653</v>
      </c>
      <c r="T9" s="534">
        <f t="shared" si="6"/>
        <v>0.27263408409915268</v>
      </c>
      <c r="U9" s="534">
        <f t="shared" si="7"/>
        <v>0.18824782691005701</v>
      </c>
      <c r="V9" s="535">
        <f t="shared" si="8"/>
        <v>9.3747869366605304E-4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38013</v>
      </c>
      <c r="D10" s="526">
        <f t="shared" si="0"/>
        <v>37991</v>
      </c>
      <c r="E10" s="526">
        <f t="shared" si="1"/>
        <v>37965</v>
      </c>
      <c r="F10" s="740">
        <v>26</v>
      </c>
      <c r="G10" s="741">
        <v>22</v>
      </c>
      <c r="H10" s="529">
        <f t="shared" si="2"/>
        <v>58514</v>
      </c>
      <c r="I10" s="527">
        <v>58463</v>
      </c>
      <c r="J10" s="759">
        <f t="shared" si="3"/>
        <v>30922</v>
      </c>
      <c r="K10" s="742">
        <v>27541</v>
      </c>
      <c r="L10" s="526">
        <f t="shared" si="4"/>
        <v>51</v>
      </c>
      <c r="M10" s="740">
        <v>48</v>
      </c>
      <c r="N10" s="741">
        <v>3</v>
      </c>
      <c r="O10" s="739">
        <v>17789</v>
      </c>
      <c r="P10" s="526">
        <f t="shared" si="5"/>
        <v>17743</v>
      </c>
      <c r="Q10" s="743">
        <v>46</v>
      </c>
      <c r="R10" s="748">
        <v>139516</v>
      </c>
      <c r="S10" s="740">
        <v>311554</v>
      </c>
      <c r="T10" s="534">
        <f t="shared" si="6"/>
        <v>0.27246337337653032</v>
      </c>
      <c r="U10" s="534">
        <f t="shared" si="7"/>
        <v>0.18781334856878742</v>
      </c>
      <c r="V10" s="535">
        <f t="shared" si="8"/>
        <v>8.7158628704241722E-4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37860</v>
      </c>
      <c r="D11" s="526">
        <f>E11+F11</f>
        <v>37840</v>
      </c>
      <c r="E11" s="526">
        <f>C11-G11-F11</f>
        <v>37816</v>
      </c>
      <c r="F11" s="740">
        <v>24</v>
      </c>
      <c r="G11" s="741">
        <v>20</v>
      </c>
      <c r="H11" s="529">
        <f t="shared" si="2"/>
        <v>58203</v>
      </c>
      <c r="I11" s="527">
        <v>58156</v>
      </c>
      <c r="J11" s="759">
        <f t="shared" si="3"/>
        <v>30674</v>
      </c>
      <c r="K11" s="742">
        <v>27482</v>
      </c>
      <c r="L11" s="526">
        <f t="shared" si="4"/>
        <v>47</v>
      </c>
      <c r="M11" s="740">
        <v>44</v>
      </c>
      <c r="N11" s="741">
        <v>3</v>
      </c>
      <c r="O11" s="739">
        <v>17687</v>
      </c>
      <c r="P11" s="526">
        <f t="shared" si="5"/>
        <v>17648</v>
      </c>
      <c r="Q11" s="870">
        <v>39</v>
      </c>
      <c r="R11" s="748">
        <v>139610</v>
      </c>
      <c r="S11" s="740">
        <v>311574</v>
      </c>
      <c r="T11" s="534">
        <f t="shared" si="6"/>
        <v>0.27118401260654679</v>
      </c>
      <c r="U11" s="534">
        <f t="shared" si="7"/>
        <v>0.1868031350497795</v>
      </c>
      <c r="V11" s="535">
        <f t="shared" si="8"/>
        <v>8.0751851279143682E-4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37714</v>
      </c>
      <c r="D12" s="526">
        <f t="shared" si="0"/>
        <v>37697</v>
      </c>
      <c r="E12" s="526">
        <f t="shared" si="1"/>
        <v>37677</v>
      </c>
      <c r="F12" s="740">
        <v>20</v>
      </c>
      <c r="G12" s="741">
        <v>17</v>
      </c>
      <c r="H12" s="529">
        <f t="shared" si="2"/>
        <v>57889</v>
      </c>
      <c r="I12" s="527">
        <v>57849</v>
      </c>
      <c r="J12" s="759">
        <f t="shared" si="3"/>
        <v>30503</v>
      </c>
      <c r="K12" s="742">
        <v>27346</v>
      </c>
      <c r="L12" s="526">
        <f t="shared" si="4"/>
        <v>40</v>
      </c>
      <c r="M12" s="740">
        <v>37</v>
      </c>
      <c r="N12" s="741">
        <v>3</v>
      </c>
      <c r="O12" s="739">
        <v>17636</v>
      </c>
      <c r="P12" s="526">
        <f t="shared" si="5"/>
        <v>17603</v>
      </c>
      <c r="Q12" s="743">
        <v>33</v>
      </c>
      <c r="R12" s="748">
        <v>139667</v>
      </c>
      <c r="S12" s="740">
        <v>311525</v>
      </c>
      <c r="T12" s="534">
        <f t="shared" si="6"/>
        <v>0.2700279951599161</v>
      </c>
      <c r="U12" s="534">
        <f t="shared" si="7"/>
        <v>0.18582457266672017</v>
      </c>
      <c r="V12" s="535">
        <f t="shared" si="8"/>
        <v>6.909775605037226E-4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37603</v>
      </c>
      <c r="D13" s="526">
        <f t="shared" si="0"/>
        <v>37588</v>
      </c>
      <c r="E13" s="526">
        <f t="shared" si="1"/>
        <v>37572</v>
      </c>
      <c r="F13" s="740">
        <v>16</v>
      </c>
      <c r="G13" s="741">
        <v>15</v>
      </c>
      <c r="H13" s="529">
        <f t="shared" si="2"/>
        <v>57630</v>
      </c>
      <c r="I13" s="527">
        <v>57596</v>
      </c>
      <c r="J13" s="759">
        <f t="shared" si="3"/>
        <v>30354</v>
      </c>
      <c r="K13" s="742">
        <v>27242</v>
      </c>
      <c r="L13" s="526">
        <f t="shared" si="4"/>
        <v>34</v>
      </c>
      <c r="M13" s="740">
        <v>31</v>
      </c>
      <c r="N13" s="741">
        <v>3</v>
      </c>
      <c r="O13" s="739">
        <v>17505</v>
      </c>
      <c r="P13" s="526">
        <f t="shared" si="5"/>
        <v>17477</v>
      </c>
      <c r="Q13" s="743">
        <v>28</v>
      </c>
      <c r="R13" s="748">
        <v>139718</v>
      </c>
      <c r="S13" s="740">
        <v>311470</v>
      </c>
      <c r="T13" s="534">
        <f t="shared" si="6"/>
        <v>0.26913497187191343</v>
      </c>
      <c r="U13" s="534">
        <f t="shared" si="7"/>
        <v>0.18502584518573217</v>
      </c>
      <c r="V13" s="535">
        <f t="shared" si="8"/>
        <v>5.8997050147492625E-4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37685</v>
      </c>
      <c r="D14" s="526">
        <f t="shared" si="0"/>
        <v>37673</v>
      </c>
      <c r="E14" s="526">
        <f t="shared" si="1"/>
        <v>37659</v>
      </c>
      <c r="F14" s="740">
        <v>14</v>
      </c>
      <c r="G14" s="741">
        <v>12</v>
      </c>
      <c r="H14" s="529">
        <f t="shared" si="2"/>
        <v>57667</v>
      </c>
      <c r="I14" s="527">
        <v>57639</v>
      </c>
      <c r="J14" s="759">
        <f t="shared" si="3"/>
        <v>30406</v>
      </c>
      <c r="K14" s="742">
        <v>27233</v>
      </c>
      <c r="L14" s="526">
        <f t="shared" si="4"/>
        <v>28</v>
      </c>
      <c r="M14" s="740">
        <v>26</v>
      </c>
      <c r="N14" s="741">
        <v>2</v>
      </c>
      <c r="O14" s="739">
        <v>17461</v>
      </c>
      <c r="P14" s="526">
        <f t="shared" si="5"/>
        <v>17438</v>
      </c>
      <c r="Q14" s="743">
        <v>23</v>
      </c>
      <c r="R14" s="748">
        <v>139989</v>
      </c>
      <c r="S14" s="740">
        <v>311644</v>
      </c>
      <c r="T14" s="534">
        <f t="shared" si="6"/>
        <v>0.26919972283536564</v>
      </c>
      <c r="U14" s="534">
        <f t="shared" si="7"/>
        <v>0.18504126503317889</v>
      </c>
      <c r="V14" s="535">
        <f t="shared" si="8"/>
        <v>4.8554632632181316E-4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37616</v>
      </c>
      <c r="D15" s="526">
        <f t="shared" si="0"/>
        <v>37607</v>
      </c>
      <c r="E15" s="526">
        <f t="shared" si="1"/>
        <v>37594</v>
      </c>
      <c r="F15" s="740">
        <v>13</v>
      </c>
      <c r="G15" s="741">
        <v>9</v>
      </c>
      <c r="H15" s="529">
        <f t="shared" si="2"/>
        <v>57552</v>
      </c>
      <c r="I15" s="527">
        <v>57528</v>
      </c>
      <c r="J15" s="759">
        <f t="shared" si="3"/>
        <v>30366</v>
      </c>
      <c r="K15" s="742">
        <v>27162</v>
      </c>
      <c r="L15" s="526">
        <f t="shared" si="4"/>
        <v>24</v>
      </c>
      <c r="M15" s="740">
        <v>22</v>
      </c>
      <c r="N15" s="741">
        <v>2</v>
      </c>
      <c r="O15" s="739">
        <v>17465</v>
      </c>
      <c r="P15" s="526">
        <f t="shared" si="5"/>
        <v>17446</v>
      </c>
      <c r="Q15" s="743">
        <v>19</v>
      </c>
      <c r="R15" s="744">
        <v>140076</v>
      </c>
      <c r="S15" s="745">
        <v>311703</v>
      </c>
      <c r="T15" s="534">
        <f t="shared" si="6"/>
        <v>0.26853993546360549</v>
      </c>
      <c r="U15" s="534">
        <f t="shared" si="7"/>
        <v>0.18463729896728617</v>
      </c>
      <c r="V15" s="535">
        <f t="shared" si="8"/>
        <v>4.1701417848206837E-4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37488</v>
      </c>
      <c r="D16" s="526">
        <f t="shared" si="0"/>
        <v>37481</v>
      </c>
      <c r="E16" s="526">
        <f t="shared" si="1"/>
        <v>37470</v>
      </c>
      <c r="F16" s="740">
        <v>11</v>
      </c>
      <c r="G16" s="741">
        <v>7</v>
      </c>
      <c r="H16" s="529">
        <f t="shared" si="2"/>
        <v>57361</v>
      </c>
      <c r="I16" s="527">
        <v>57342</v>
      </c>
      <c r="J16" s="759">
        <f t="shared" si="3"/>
        <v>30243</v>
      </c>
      <c r="K16" s="742">
        <v>27099</v>
      </c>
      <c r="L16" s="526">
        <f t="shared" si="4"/>
        <v>19</v>
      </c>
      <c r="M16" s="740">
        <v>18</v>
      </c>
      <c r="N16" s="741">
        <v>1</v>
      </c>
      <c r="O16" s="739">
        <v>17367</v>
      </c>
      <c r="P16" s="526">
        <f t="shared" si="5"/>
        <v>17352</v>
      </c>
      <c r="Q16" s="743">
        <v>15</v>
      </c>
      <c r="R16" s="744">
        <v>140035</v>
      </c>
      <c r="S16" s="749">
        <v>311551</v>
      </c>
      <c r="T16" s="554">
        <f t="shared" si="6"/>
        <v>0.26770450244581712</v>
      </c>
      <c r="U16" s="534">
        <f t="shared" si="7"/>
        <v>0.18411431836200173</v>
      </c>
      <c r="V16" s="535">
        <f t="shared" si="8"/>
        <v>3.3123550844650548E-4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37380</v>
      </c>
      <c r="D17" s="526">
        <f t="shared" si="0"/>
        <v>37374</v>
      </c>
      <c r="E17" s="526">
        <f t="shared" si="1"/>
        <v>37365</v>
      </c>
      <c r="F17" s="740">
        <v>9</v>
      </c>
      <c r="G17" s="754">
        <v>6</v>
      </c>
      <c r="H17" s="529">
        <f t="shared" si="2"/>
        <v>57232</v>
      </c>
      <c r="I17" s="527">
        <v>57216</v>
      </c>
      <c r="J17" s="759">
        <f t="shared" si="3"/>
        <v>30250</v>
      </c>
      <c r="K17" s="742">
        <v>26966</v>
      </c>
      <c r="L17" s="526">
        <f t="shared" si="4"/>
        <v>16</v>
      </c>
      <c r="M17" s="740">
        <v>15</v>
      </c>
      <c r="N17" s="741">
        <v>1</v>
      </c>
      <c r="O17" s="739">
        <v>17325</v>
      </c>
      <c r="P17" s="526">
        <f t="shared" si="5"/>
        <v>17312</v>
      </c>
      <c r="Q17" s="743">
        <v>13</v>
      </c>
      <c r="R17" s="750">
        <v>140144</v>
      </c>
      <c r="S17" s="751">
        <v>311683</v>
      </c>
      <c r="T17" s="533">
        <f t="shared" si="6"/>
        <v>0.26672565361342621</v>
      </c>
      <c r="U17" s="534">
        <f t="shared" si="7"/>
        <v>0.1836224625661329</v>
      </c>
      <c r="V17" s="535">
        <f t="shared" si="8"/>
        <v>2.7956388034665921E-4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37286</v>
      </c>
      <c r="D18" s="526">
        <f t="shared" si="0"/>
        <v>37282</v>
      </c>
      <c r="E18" s="526">
        <f t="shared" si="1"/>
        <v>37273</v>
      </c>
      <c r="F18" s="740">
        <v>9</v>
      </c>
      <c r="G18" s="754">
        <v>4</v>
      </c>
      <c r="H18" s="529">
        <f t="shared" si="2"/>
        <v>57026</v>
      </c>
      <c r="I18" s="527">
        <v>57012</v>
      </c>
      <c r="J18" s="759">
        <f t="shared" si="3"/>
        <v>30086</v>
      </c>
      <c r="K18" s="742">
        <v>26926</v>
      </c>
      <c r="L18" s="526">
        <f t="shared" si="4"/>
        <v>14</v>
      </c>
      <c r="M18" s="740">
        <v>13</v>
      </c>
      <c r="N18" s="741">
        <v>1</v>
      </c>
      <c r="O18" s="739">
        <v>17240</v>
      </c>
      <c r="P18" s="526">
        <f t="shared" si="5"/>
        <v>17236</v>
      </c>
      <c r="Q18" s="743">
        <v>4</v>
      </c>
      <c r="R18" s="765">
        <v>140156</v>
      </c>
      <c r="S18" s="766">
        <v>311578</v>
      </c>
      <c r="T18" s="533">
        <f t="shared" si="6"/>
        <v>0.26603213562030881</v>
      </c>
      <c r="U18" s="534">
        <f t="shared" si="7"/>
        <v>0.18302319162456912</v>
      </c>
      <c r="V18" s="535">
        <f t="shared" si="8"/>
        <v>2.4550205169571773E-4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37185</v>
      </c>
      <c r="D19" s="526">
        <f t="shared" si="0"/>
        <v>37184</v>
      </c>
      <c r="E19" s="526">
        <f>C19-G19-F19</f>
        <v>37181</v>
      </c>
      <c r="F19" s="740">
        <v>3</v>
      </c>
      <c r="G19" s="754">
        <v>1</v>
      </c>
      <c r="H19" s="529">
        <f t="shared" si="2"/>
        <v>56731</v>
      </c>
      <c r="I19" s="527">
        <v>56726</v>
      </c>
      <c r="J19" s="759">
        <f t="shared" si="3"/>
        <v>29851</v>
      </c>
      <c r="K19" s="742">
        <v>26875</v>
      </c>
      <c r="L19" s="526">
        <f t="shared" si="4"/>
        <v>5</v>
      </c>
      <c r="M19" s="740">
        <v>4</v>
      </c>
      <c r="N19" s="741">
        <v>1</v>
      </c>
      <c r="O19" s="739">
        <v>17086</v>
      </c>
      <c r="P19" s="526">
        <f t="shared" si="5"/>
        <v>17086</v>
      </c>
      <c r="Q19" s="743">
        <v>0</v>
      </c>
      <c r="R19" s="756">
        <v>140635</v>
      </c>
      <c r="S19" s="757">
        <v>311527</v>
      </c>
      <c r="T19" s="533">
        <f t="shared" si="6"/>
        <v>0.26440786432964769</v>
      </c>
      <c r="U19" s="534">
        <f t="shared" si="7"/>
        <v>0.18210620588263618</v>
      </c>
      <c r="V19" s="535">
        <f t="shared" si="8"/>
        <v>8.8135234704130014E-5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451953</v>
      </c>
      <c r="D20" s="559">
        <f t="shared" si="9"/>
        <v>451793</v>
      </c>
      <c r="E20" s="559">
        <f t="shared" si="9"/>
        <v>451583</v>
      </c>
      <c r="F20" s="559">
        <f t="shared" si="9"/>
        <v>210</v>
      </c>
      <c r="G20" s="575">
        <f t="shared" si="9"/>
        <v>160</v>
      </c>
      <c r="H20" s="558">
        <f t="shared" si="9"/>
        <v>693379</v>
      </c>
      <c r="I20" s="559">
        <f t="shared" si="9"/>
        <v>692981</v>
      </c>
      <c r="J20" s="559">
        <f t="shared" si="9"/>
        <v>365745</v>
      </c>
      <c r="K20" s="559">
        <f t="shared" si="9"/>
        <v>327236</v>
      </c>
      <c r="L20" s="559">
        <f t="shared" si="9"/>
        <v>398</v>
      </c>
      <c r="M20" s="559">
        <f t="shared" si="9"/>
        <v>370</v>
      </c>
      <c r="N20" s="560">
        <f t="shared" si="9"/>
        <v>28</v>
      </c>
      <c r="O20" s="558">
        <f t="shared" si="9"/>
        <v>210227</v>
      </c>
      <c r="P20" s="559">
        <f t="shared" si="9"/>
        <v>209902</v>
      </c>
      <c r="Q20" s="560">
        <f t="shared" si="9"/>
        <v>325</v>
      </c>
      <c r="R20" s="561">
        <f t="shared" si="9"/>
        <v>1678388</v>
      </c>
      <c r="S20" s="562">
        <f t="shared" si="9"/>
        <v>3739092</v>
      </c>
      <c r="T20" s="563">
        <f t="shared" si="6"/>
        <v>0.26927802153018254</v>
      </c>
      <c r="U20" s="564">
        <f t="shared" si="7"/>
        <v>0.18544047592303159</v>
      </c>
      <c r="V20" s="565">
        <f t="shared" si="8"/>
        <v>5.7400065476456599E-4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37662.75</v>
      </c>
      <c r="D21" s="562">
        <f>D20/(COUNTIF(D8:D19,"&gt;0"))</f>
        <v>37649.416666666664</v>
      </c>
      <c r="E21" s="560">
        <f>E20/(COUNTIF(E8:E19,"&gt;0"))</f>
        <v>37631.916666666664</v>
      </c>
      <c r="F21" s="560">
        <f t="shared" ref="F21:S21" si="10">AVERAGE(F8:F19)</f>
        <v>17.5</v>
      </c>
      <c r="G21" s="575">
        <f t="shared" si="10"/>
        <v>13.333333333333334</v>
      </c>
      <c r="H21" s="574">
        <f>H20/(COUNTIF(H8:H19,"&gt;0"))</f>
        <v>57781.583333333336</v>
      </c>
      <c r="I21" s="562">
        <f t="shared" si="10"/>
        <v>57748.416666666664</v>
      </c>
      <c r="J21" s="562">
        <f>J20/(COUNTIF(J8:J19,"&gt;0"))</f>
        <v>30478.75</v>
      </c>
      <c r="K21" s="562">
        <f t="shared" si="10"/>
        <v>27269.666666666668</v>
      </c>
      <c r="L21" s="560">
        <f>L20/(COUNTIF(L8:L19,"&gt;0"))</f>
        <v>33.166666666666664</v>
      </c>
      <c r="M21" s="560">
        <f t="shared" si="10"/>
        <v>30.833333333333332</v>
      </c>
      <c r="N21" s="575">
        <f t="shared" si="10"/>
        <v>2.3333333333333335</v>
      </c>
      <c r="O21" s="574">
        <f t="shared" si="10"/>
        <v>17518.916666666668</v>
      </c>
      <c r="P21" s="562">
        <f>P20/(COUNTIF(P8:P19,"&gt;0"))</f>
        <v>17491.833333333332</v>
      </c>
      <c r="Q21" s="562">
        <f t="shared" si="10"/>
        <v>27.083333333333332</v>
      </c>
      <c r="R21" s="574">
        <f t="shared" si="10"/>
        <v>139865.66666666666</v>
      </c>
      <c r="S21" s="560">
        <f t="shared" si="10"/>
        <v>311591</v>
      </c>
      <c r="T21" s="563">
        <f t="shared" si="6"/>
        <v>0.26927802153018254</v>
      </c>
      <c r="U21" s="564">
        <f t="shared" si="7"/>
        <v>0.18544047592303159</v>
      </c>
      <c r="V21" s="565">
        <f t="shared" si="8"/>
        <v>5.7400065476456588E-4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38090</v>
      </c>
      <c r="D23" s="526">
        <f t="shared" si="11"/>
        <v>38065</v>
      </c>
      <c r="E23" s="596">
        <f t="shared" si="11"/>
        <v>38030</v>
      </c>
      <c r="F23" s="596">
        <f t="shared" si="11"/>
        <v>35</v>
      </c>
      <c r="G23" s="597">
        <f t="shared" si="11"/>
        <v>25</v>
      </c>
      <c r="H23" s="595">
        <f t="shared" si="11"/>
        <v>58906</v>
      </c>
      <c r="I23" s="526">
        <f t="shared" si="11"/>
        <v>58841</v>
      </c>
      <c r="J23" s="596">
        <f t="shared" si="11"/>
        <v>31094</v>
      </c>
      <c r="K23" s="596">
        <f t="shared" si="11"/>
        <v>27747</v>
      </c>
      <c r="L23" s="596">
        <f t="shared" si="11"/>
        <v>65</v>
      </c>
      <c r="M23" s="596">
        <f t="shared" si="11"/>
        <v>60</v>
      </c>
      <c r="N23" s="597">
        <f t="shared" si="11"/>
        <v>5</v>
      </c>
      <c r="O23" s="595">
        <f t="shared" si="11"/>
        <v>17848</v>
      </c>
      <c r="P23" s="526">
        <f t="shared" si="11"/>
        <v>17793</v>
      </c>
      <c r="Q23" s="597">
        <f t="shared" si="11"/>
        <v>55</v>
      </c>
      <c r="R23" s="598">
        <f t="shared" si="11"/>
        <v>139340</v>
      </c>
      <c r="S23" s="526">
        <f t="shared" si="11"/>
        <v>311630</v>
      </c>
      <c r="T23" s="533">
        <f t="shared" ref="T23:T38" si="12">C23/R23</f>
        <v>0.27336012630974593</v>
      </c>
      <c r="U23" s="534">
        <f t="shared" ref="U23:U38" si="13">H23/S23</f>
        <v>0.18902544684401373</v>
      </c>
      <c r="V23" s="535">
        <f t="shared" ref="V23:V38" si="14">L23/H23</f>
        <v>1.1034529589515499E-3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76123</v>
      </c>
      <c r="D24" s="599">
        <f t="shared" si="15"/>
        <v>76076</v>
      </c>
      <c r="E24" s="600">
        <f t="shared" si="15"/>
        <v>76011</v>
      </c>
      <c r="F24" s="600">
        <f t="shared" si="15"/>
        <v>65</v>
      </c>
      <c r="G24" s="601">
        <f t="shared" si="15"/>
        <v>47</v>
      </c>
      <c r="H24" s="529">
        <f t="shared" si="15"/>
        <v>117574</v>
      </c>
      <c r="I24" s="599">
        <f t="shared" si="15"/>
        <v>117454</v>
      </c>
      <c r="J24" s="600">
        <f t="shared" si="15"/>
        <v>62090</v>
      </c>
      <c r="K24" s="600">
        <f t="shared" si="15"/>
        <v>55364</v>
      </c>
      <c r="L24" s="600">
        <f t="shared" si="15"/>
        <v>120</v>
      </c>
      <c r="M24" s="600">
        <f t="shared" si="15"/>
        <v>112</v>
      </c>
      <c r="N24" s="601">
        <f t="shared" si="15"/>
        <v>8</v>
      </c>
      <c r="O24" s="529">
        <f t="shared" si="15"/>
        <v>35666</v>
      </c>
      <c r="P24" s="599">
        <f t="shared" si="15"/>
        <v>35561</v>
      </c>
      <c r="Q24" s="601">
        <f t="shared" si="15"/>
        <v>105</v>
      </c>
      <c r="R24" s="602">
        <f t="shared" si="15"/>
        <v>278842</v>
      </c>
      <c r="S24" s="599">
        <f t="shared" si="15"/>
        <v>623283</v>
      </c>
      <c r="T24" s="603">
        <f t="shared" si="12"/>
        <v>0.27299689429856333</v>
      </c>
      <c r="U24" s="604">
        <f t="shared" si="13"/>
        <v>0.1886366225294128</v>
      </c>
      <c r="V24" s="605">
        <f t="shared" si="14"/>
        <v>1.0206338135982445E-3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114136</v>
      </c>
      <c r="D25" s="599">
        <f t="shared" si="16"/>
        <v>114067</v>
      </c>
      <c r="E25" s="600">
        <f t="shared" si="16"/>
        <v>113976</v>
      </c>
      <c r="F25" s="600">
        <f t="shared" si="16"/>
        <v>91</v>
      </c>
      <c r="G25" s="601">
        <f t="shared" si="16"/>
        <v>69</v>
      </c>
      <c r="H25" s="529">
        <f t="shared" si="16"/>
        <v>176088</v>
      </c>
      <c r="I25" s="599">
        <f t="shared" si="16"/>
        <v>175917</v>
      </c>
      <c r="J25" s="600">
        <f t="shared" si="16"/>
        <v>93012</v>
      </c>
      <c r="K25" s="600">
        <f t="shared" si="16"/>
        <v>82905</v>
      </c>
      <c r="L25" s="600">
        <f t="shared" si="16"/>
        <v>171</v>
      </c>
      <c r="M25" s="600">
        <f t="shared" si="16"/>
        <v>160</v>
      </c>
      <c r="N25" s="601">
        <f t="shared" si="16"/>
        <v>11</v>
      </c>
      <c r="O25" s="529">
        <f t="shared" si="16"/>
        <v>53455</v>
      </c>
      <c r="P25" s="599">
        <f t="shared" si="16"/>
        <v>53304</v>
      </c>
      <c r="Q25" s="601">
        <f t="shared" si="16"/>
        <v>151</v>
      </c>
      <c r="R25" s="602">
        <f t="shared" si="16"/>
        <v>418358</v>
      </c>
      <c r="S25" s="599">
        <f t="shared" si="16"/>
        <v>934837</v>
      </c>
      <c r="T25" s="603">
        <f t="shared" si="12"/>
        <v>0.27281897322388959</v>
      </c>
      <c r="U25" s="604">
        <f t="shared" si="13"/>
        <v>0.18836224924772982</v>
      </c>
      <c r="V25" s="605">
        <f t="shared" si="14"/>
        <v>9.7110535641270273E-4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151996</v>
      </c>
      <c r="D26" s="599">
        <f t="shared" si="17"/>
        <v>151907</v>
      </c>
      <c r="E26" s="600">
        <f t="shared" si="17"/>
        <v>151792</v>
      </c>
      <c r="F26" s="600">
        <f t="shared" si="17"/>
        <v>115</v>
      </c>
      <c r="G26" s="601">
        <f>SUM(G8:G11)</f>
        <v>89</v>
      </c>
      <c r="H26" s="529">
        <f t="shared" si="17"/>
        <v>234291</v>
      </c>
      <c r="I26" s="599">
        <f t="shared" si="17"/>
        <v>234073</v>
      </c>
      <c r="J26" s="600">
        <f t="shared" si="17"/>
        <v>123686</v>
      </c>
      <c r="K26" s="600">
        <f t="shared" si="17"/>
        <v>110387</v>
      </c>
      <c r="L26" s="600">
        <f t="shared" si="17"/>
        <v>218</v>
      </c>
      <c r="M26" s="600">
        <f t="shared" si="17"/>
        <v>204</v>
      </c>
      <c r="N26" s="601">
        <f t="shared" si="17"/>
        <v>14</v>
      </c>
      <c r="O26" s="529">
        <f t="shared" si="17"/>
        <v>71142</v>
      </c>
      <c r="P26" s="599">
        <f t="shared" si="17"/>
        <v>70952</v>
      </c>
      <c r="Q26" s="601">
        <f t="shared" si="17"/>
        <v>190</v>
      </c>
      <c r="R26" s="602">
        <f t="shared" si="17"/>
        <v>557968</v>
      </c>
      <c r="S26" s="599">
        <f t="shared" si="17"/>
        <v>1246411</v>
      </c>
      <c r="T26" s="603">
        <f t="shared" si="12"/>
        <v>0.27240988730536519</v>
      </c>
      <c r="U26" s="604">
        <f t="shared" si="13"/>
        <v>0.18797250666112542</v>
      </c>
      <c r="V26" s="605">
        <f t="shared" si="14"/>
        <v>9.3046681263898314E-4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189710</v>
      </c>
      <c r="D27" s="599">
        <f t="shared" si="18"/>
        <v>189604</v>
      </c>
      <c r="E27" s="600">
        <f t="shared" si="18"/>
        <v>189469</v>
      </c>
      <c r="F27" s="600">
        <f t="shared" si="18"/>
        <v>135</v>
      </c>
      <c r="G27" s="601">
        <f t="shared" si="18"/>
        <v>106</v>
      </c>
      <c r="H27" s="529">
        <f t="shared" si="18"/>
        <v>292180</v>
      </c>
      <c r="I27" s="599">
        <f t="shared" si="18"/>
        <v>291922</v>
      </c>
      <c r="J27" s="600">
        <f t="shared" si="18"/>
        <v>154189</v>
      </c>
      <c r="K27" s="600">
        <f t="shared" si="18"/>
        <v>137733</v>
      </c>
      <c r="L27" s="600">
        <f t="shared" si="18"/>
        <v>258</v>
      </c>
      <c r="M27" s="600">
        <f t="shared" si="18"/>
        <v>241</v>
      </c>
      <c r="N27" s="601">
        <f t="shared" si="18"/>
        <v>17</v>
      </c>
      <c r="O27" s="529">
        <f t="shared" si="18"/>
        <v>88778</v>
      </c>
      <c r="P27" s="599">
        <f t="shared" si="18"/>
        <v>88555</v>
      </c>
      <c r="Q27" s="601">
        <f t="shared" si="18"/>
        <v>223</v>
      </c>
      <c r="R27" s="602">
        <f t="shared" si="18"/>
        <v>697635</v>
      </c>
      <c r="S27" s="599">
        <f t="shared" si="18"/>
        <v>1557936</v>
      </c>
      <c r="T27" s="603">
        <f t="shared" si="12"/>
        <v>0.27193303088291154</v>
      </c>
      <c r="U27" s="604">
        <f t="shared" si="13"/>
        <v>0.18754300561768905</v>
      </c>
      <c r="V27" s="605">
        <f t="shared" si="14"/>
        <v>8.8301731809158741E-4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227313</v>
      </c>
      <c r="D28" s="599">
        <f t="shared" si="19"/>
        <v>227192</v>
      </c>
      <c r="E28" s="600">
        <f t="shared" si="19"/>
        <v>227041</v>
      </c>
      <c r="F28" s="600">
        <f t="shared" si="19"/>
        <v>151</v>
      </c>
      <c r="G28" s="601">
        <f t="shared" si="19"/>
        <v>121</v>
      </c>
      <c r="H28" s="529">
        <f t="shared" si="19"/>
        <v>349810</v>
      </c>
      <c r="I28" s="599">
        <f t="shared" si="19"/>
        <v>349518</v>
      </c>
      <c r="J28" s="600">
        <f t="shared" si="19"/>
        <v>184543</v>
      </c>
      <c r="K28" s="600">
        <f t="shared" si="19"/>
        <v>164975</v>
      </c>
      <c r="L28" s="600">
        <f t="shared" si="19"/>
        <v>292</v>
      </c>
      <c r="M28" s="600">
        <f t="shared" si="19"/>
        <v>272</v>
      </c>
      <c r="N28" s="601">
        <f t="shared" si="19"/>
        <v>20</v>
      </c>
      <c r="O28" s="529">
        <f t="shared" si="19"/>
        <v>106283</v>
      </c>
      <c r="P28" s="599">
        <f t="shared" si="19"/>
        <v>106032</v>
      </c>
      <c r="Q28" s="601">
        <f t="shared" si="19"/>
        <v>251</v>
      </c>
      <c r="R28" s="602">
        <f t="shared" si="19"/>
        <v>837353</v>
      </c>
      <c r="S28" s="599">
        <f t="shared" si="19"/>
        <v>1869406</v>
      </c>
      <c r="T28" s="603">
        <f t="shared" si="12"/>
        <v>0.27146615585063888</v>
      </c>
      <c r="U28" s="604">
        <f t="shared" si="13"/>
        <v>0.18712361038747066</v>
      </c>
      <c r="V28" s="605">
        <f t="shared" si="14"/>
        <v>8.3473885823732888E-4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264998</v>
      </c>
      <c r="D29" s="599">
        <f t="shared" si="20"/>
        <v>264865</v>
      </c>
      <c r="E29" s="600">
        <f t="shared" si="20"/>
        <v>264700</v>
      </c>
      <c r="F29" s="600">
        <f t="shared" si="20"/>
        <v>165</v>
      </c>
      <c r="G29" s="601">
        <f t="shared" si="20"/>
        <v>133</v>
      </c>
      <c r="H29" s="529">
        <f t="shared" si="20"/>
        <v>407477</v>
      </c>
      <c r="I29" s="599">
        <f t="shared" si="20"/>
        <v>407157</v>
      </c>
      <c r="J29" s="600">
        <f t="shared" si="20"/>
        <v>214949</v>
      </c>
      <c r="K29" s="600">
        <f t="shared" si="20"/>
        <v>192208</v>
      </c>
      <c r="L29" s="600">
        <f t="shared" si="20"/>
        <v>320</v>
      </c>
      <c r="M29" s="600">
        <f t="shared" si="20"/>
        <v>298</v>
      </c>
      <c r="N29" s="601">
        <f t="shared" si="20"/>
        <v>22</v>
      </c>
      <c r="O29" s="529">
        <f t="shared" si="20"/>
        <v>123744</v>
      </c>
      <c r="P29" s="599">
        <f t="shared" si="20"/>
        <v>123470</v>
      </c>
      <c r="Q29" s="601">
        <f t="shared" si="20"/>
        <v>274</v>
      </c>
      <c r="R29" s="602">
        <f t="shared" si="20"/>
        <v>977342</v>
      </c>
      <c r="S29" s="599">
        <f t="shared" si="20"/>
        <v>2181050</v>
      </c>
      <c r="T29" s="603">
        <f t="shared" si="12"/>
        <v>0.27114152466587949</v>
      </c>
      <c r="U29" s="604">
        <f t="shared" si="13"/>
        <v>0.18682607001215012</v>
      </c>
      <c r="V29" s="605">
        <f t="shared" si="14"/>
        <v>7.8532039845193718E-4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302614</v>
      </c>
      <c r="D30" s="599">
        <f t="shared" si="21"/>
        <v>302472</v>
      </c>
      <c r="E30" s="600">
        <f t="shared" si="21"/>
        <v>302294</v>
      </c>
      <c r="F30" s="600">
        <f t="shared" si="21"/>
        <v>178</v>
      </c>
      <c r="G30" s="601">
        <f t="shared" si="21"/>
        <v>142</v>
      </c>
      <c r="H30" s="529">
        <f t="shared" si="21"/>
        <v>465029</v>
      </c>
      <c r="I30" s="599">
        <f t="shared" si="21"/>
        <v>464685</v>
      </c>
      <c r="J30" s="600">
        <f t="shared" si="21"/>
        <v>245315</v>
      </c>
      <c r="K30" s="600">
        <f t="shared" si="21"/>
        <v>219370</v>
      </c>
      <c r="L30" s="600">
        <f t="shared" si="21"/>
        <v>344</v>
      </c>
      <c r="M30" s="600">
        <f t="shared" si="21"/>
        <v>320</v>
      </c>
      <c r="N30" s="601">
        <f t="shared" si="21"/>
        <v>24</v>
      </c>
      <c r="O30" s="529">
        <f t="shared" si="21"/>
        <v>141209</v>
      </c>
      <c r="P30" s="599">
        <f t="shared" si="21"/>
        <v>140916</v>
      </c>
      <c r="Q30" s="601">
        <f t="shared" si="21"/>
        <v>293</v>
      </c>
      <c r="R30" s="602">
        <f t="shared" si="21"/>
        <v>1117418</v>
      </c>
      <c r="S30" s="599">
        <f t="shared" si="21"/>
        <v>2492753</v>
      </c>
      <c r="T30" s="603">
        <f t="shared" si="12"/>
        <v>0.2708153976399163</v>
      </c>
      <c r="U30" s="604">
        <f t="shared" si="13"/>
        <v>0.18655237803344335</v>
      </c>
      <c r="V30" s="605">
        <f t="shared" si="14"/>
        <v>7.3973881198806954E-4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340102</v>
      </c>
      <c r="D31" s="599">
        <f t="shared" si="22"/>
        <v>339953</v>
      </c>
      <c r="E31" s="600">
        <f t="shared" si="22"/>
        <v>339764</v>
      </c>
      <c r="F31" s="600">
        <f t="shared" si="22"/>
        <v>189</v>
      </c>
      <c r="G31" s="601">
        <f t="shared" si="22"/>
        <v>149</v>
      </c>
      <c r="H31" s="529">
        <f t="shared" si="22"/>
        <v>522390</v>
      </c>
      <c r="I31" s="599">
        <f t="shared" si="22"/>
        <v>522027</v>
      </c>
      <c r="J31" s="600">
        <f t="shared" si="22"/>
        <v>275558</v>
      </c>
      <c r="K31" s="600">
        <f t="shared" si="22"/>
        <v>246469</v>
      </c>
      <c r="L31" s="600">
        <f t="shared" si="22"/>
        <v>363</v>
      </c>
      <c r="M31" s="600">
        <f t="shared" si="22"/>
        <v>338</v>
      </c>
      <c r="N31" s="601">
        <f t="shared" si="22"/>
        <v>25</v>
      </c>
      <c r="O31" s="529">
        <f t="shared" si="22"/>
        <v>158576</v>
      </c>
      <c r="P31" s="599">
        <f t="shared" si="22"/>
        <v>158268</v>
      </c>
      <c r="Q31" s="601">
        <f t="shared" si="22"/>
        <v>308</v>
      </c>
      <c r="R31" s="602">
        <f t="shared" si="22"/>
        <v>1257453</v>
      </c>
      <c r="S31" s="599">
        <f t="shared" si="22"/>
        <v>2804304</v>
      </c>
      <c r="T31" s="603">
        <f t="shared" si="12"/>
        <v>0.27046895589735759</v>
      </c>
      <c r="U31" s="604">
        <f t="shared" si="13"/>
        <v>0.18628151584136385</v>
      </c>
      <c r="V31" s="605">
        <f t="shared" si="14"/>
        <v>6.9488313329121919E-4</v>
      </c>
    </row>
    <row r="32" spans="1:45" ht="20.149999999999999" customHeight="1" x14ac:dyDescent="0.2">
      <c r="B32" s="537" t="s">
        <v>63</v>
      </c>
      <c r="C32" s="529">
        <f t="shared" ref="C32:S32" si="23">SUM(C8:C17)</f>
        <v>377482</v>
      </c>
      <c r="D32" s="599">
        <f t="shared" si="23"/>
        <v>377327</v>
      </c>
      <c r="E32" s="600">
        <f t="shared" si="23"/>
        <v>377129</v>
      </c>
      <c r="F32" s="600">
        <f t="shared" si="23"/>
        <v>198</v>
      </c>
      <c r="G32" s="601">
        <f t="shared" si="23"/>
        <v>155</v>
      </c>
      <c r="H32" s="529">
        <f t="shared" si="23"/>
        <v>579622</v>
      </c>
      <c r="I32" s="599">
        <f t="shared" si="23"/>
        <v>579243</v>
      </c>
      <c r="J32" s="600">
        <f t="shared" si="23"/>
        <v>305808</v>
      </c>
      <c r="K32" s="600">
        <f t="shared" si="23"/>
        <v>273435</v>
      </c>
      <c r="L32" s="600">
        <f t="shared" si="23"/>
        <v>379</v>
      </c>
      <c r="M32" s="600">
        <f t="shared" si="23"/>
        <v>353</v>
      </c>
      <c r="N32" s="601">
        <f t="shared" si="23"/>
        <v>26</v>
      </c>
      <c r="O32" s="529">
        <f t="shared" si="23"/>
        <v>175901</v>
      </c>
      <c r="P32" s="599">
        <f t="shared" si="23"/>
        <v>175580</v>
      </c>
      <c r="Q32" s="601">
        <f t="shared" si="23"/>
        <v>321</v>
      </c>
      <c r="R32" s="602">
        <f t="shared" si="23"/>
        <v>1397597</v>
      </c>
      <c r="S32" s="599">
        <f t="shared" si="23"/>
        <v>3115987</v>
      </c>
      <c r="T32" s="603">
        <f t="shared" si="12"/>
        <v>0.27009359636576208</v>
      </c>
      <c r="U32" s="604">
        <f t="shared" si="13"/>
        <v>0.1860155385757386</v>
      </c>
      <c r="V32" s="605">
        <f t="shared" si="14"/>
        <v>6.5387442160580521E-4</v>
      </c>
    </row>
    <row r="33" spans="1:35" ht="20.149999999999999" customHeight="1" x14ac:dyDescent="0.2">
      <c r="B33" s="537" t="s">
        <v>64</v>
      </c>
      <c r="C33" s="529">
        <f t="shared" ref="C33:S33" si="24">SUM(C8:C18)</f>
        <v>414768</v>
      </c>
      <c r="D33" s="599">
        <f t="shared" si="24"/>
        <v>414609</v>
      </c>
      <c r="E33" s="600">
        <f t="shared" si="24"/>
        <v>414402</v>
      </c>
      <c r="F33" s="600">
        <f t="shared" si="24"/>
        <v>207</v>
      </c>
      <c r="G33" s="601">
        <f t="shared" si="24"/>
        <v>159</v>
      </c>
      <c r="H33" s="529">
        <f t="shared" si="24"/>
        <v>636648</v>
      </c>
      <c r="I33" s="599">
        <f t="shared" si="24"/>
        <v>636255</v>
      </c>
      <c r="J33" s="600">
        <f t="shared" si="24"/>
        <v>335894</v>
      </c>
      <c r="K33" s="600">
        <f t="shared" si="24"/>
        <v>300361</v>
      </c>
      <c r="L33" s="600">
        <f t="shared" si="24"/>
        <v>393</v>
      </c>
      <c r="M33" s="600">
        <f t="shared" si="24"/>
        <v>366</v>
      </c>
      <c r="N33" s="601">
        <f t="shared" si="24"/>
        <v>27</v>
      </c>
      <c r="O33" s="529">
        <f t="shared" si="24"/>
        <v>193141</v>
      </c>
      <c r="P33" s="599">
        <f t="shared" si="24"/>
        <v>192816</v>
      </c>
      <c r="Q33" s="601">
        <f t="shared" si="24"/>
        <v>325</v>
      </c>
      <c r="R33" s="602">
        <f t="shared" si="24"/>
        <v>1537753</v>
      </c>
      <c r="S33" s="599">
        <f t="shared" si="24"/>
        <v>3427565</v>
      </c>
      <c r="T33" s="603">
        <f t="shared" si="12"/>
        <v>0.26972342112159753</v>
      </c>
      <c r="U33" s="604">
        <f t="shared" si="13"/>
        <v>0.18574352346344999</v>
      </c>
      <c r="V33" s="605">
        <f t="shared" si="14"/>
        <v>6.172955856297357E-4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451953</v>
      </c>
      <c r="D34" s="608">
        <f t="shared" si="25"/>
        <v>451793</v>
      </c>
      <c r="E34" s="609">
        <f t="shared" si="25"/>
        <v>451583</v>
      </c>
      <c r="F34" s="609">
        <f t="shared" si="25"/>
        <v>210</v>
      </c>
      <c r="G34" s="610">
        <f t="shared" si="25"/>
        <v>160</v>
      </c>
      <c r="H34" s="607">
        <f t="shared" si="25"/>
        <v>693379</v>
      </c>
      <c r="I34" s="608">
        <f t="shared" si="25"/>
        <v>692981</v>
      </c>
      <c r="J34" s="609">
        <f t="shared" si="25"/>
        <v>365745</v>
      </c>
      <c r="K34" s="609">
        <f t="shared" si="25"/>
        <v>327236</v>
      </c>
      <c r="L34" s="609">
        <f t="shared" si="25"/>
        <v>398</v>
      </c>
      <c r="M34" s="609">
        <f t="shared" si="25"/>
        <v>370</v>
      </c>
      <c r="N34" s="610">
        <f t="shared" si="25"/>
        <v>28</v>
      </c>
      <c r="O34" s="607">
        <f t="shared" si="25"/>
        <v>210227</v>
      </c>
      <c r="P34" s="608">
        <f t="shared" si="25"/>
        <v>209902</v>
      </c>
      <c r="Q34" s="610">
        <f t="shared" si="25"/>
        <v>325</v>
      </c>
      <c r="R34" s="611">
        <f t="shared" si="25"/>
        <v>1678388</v>
      </c>
      <c r="S34" s="608">
        <f t="shared" si="25"/>
        <v>3739092</v>
      </c>
      <c r="T34" s="612">
        <f t="shared" si="12"/>
        <v>0.26927802153018254</v>
      </c>
      <c r="U34" s="613">
        <f t="shared" si="13"/>
        <v>0.18544047592303159</v>
      </c>
      <c r="V34" s="614">
        <f t="shared" si="14"/>
        <v>5.7400065476456599E-4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452407</v>
      </c>
      <c r="D35" s="616">
        <f t="shared" si="26"/>
        <v>452212</v>
      </c>
      <c r="E35" s="616">
        <f t="shared" si="26"/>
        <v>451964</v>
      </c>
      <c r="F35" s="616">
        <f t="shared" si="26"/>
        <v>248</v>
      </c>
      <c r="G35" s="617">
        <f t="shared" si="26"/>
        <v>195</v>
      </c>
      <c r="H35" s="618">
        <f t="shared" si="26"/>
        <v>694938</v>
      </c>
      <c r="I35" s="616">
        <f t="shared" si="26"/>
        <v>694462</v>
      </c>
      <c r="J35" s="616">
        <f t="shared" si="26"/>
        <v>366542</v>
      </c>
      <c r="K35" s="616">
        <f t="shared" si="26"/>
        <v>327920</v>
      </c>
      <c r="L35" s="616">
        <f t="shared" si="26"/>
        <v>476</v>
      </c>
      <c r="M35" s="616">
        <f t="shared" si="26"/>
        <v>443</v>
      </c>
      <c r="N35" s="619">
        <f t="shared" si="26"/>
        <v>33</v>
      </c>
      <c r="O35" s="618">
        <f t="shared" si="26"/>
        <v>210678</v>
      </c>
      <c r="P35" s="616">
        <f t="shared" si="26"/>
        <v>210290</v>
      </c>
      <c r="Q35" s="619">
        <f t="shared" si="26"/>
        <v>388</v>
      </c>
      <c r="R35" s="618">
        <f t="shared" si="26"/>
        <v>1676615</v>
      </c>
      <c r="S35" s="616">
        <f t="shared" si="26"/>
        <v>3738996</v>
      </c>
      <c r="T35" s="620">
        <f t="shared" si="12"/>
        <v>0.26983356345970899</v>
      </c>
      <c r="U35" s="620">
        <f t="shared" si="13"/>
        <v>0.18586219402213858</v>
      </c>
      <c r="V35" s="621">
        <f t="shared" si="14"/>
        <v>6.8495319006875433E-4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37701</v>
      </c>
      <c r="D36" s="626">
        <f>E36+F36</f>
        <v>37685</v>
      </c>
      <c r="E36" s="626">
        <f>C36-F36-G36</f>
        <v>37664</v>
      </c>
      <c r="F36" s="626">
        <f>ROUND(AVERAGE(F7:F18),0)</f>
        <v>21</v>
      </c>
      <c r="G36" s="627">
        <f>ROUND(AVERAGE(G7:G18),0)</f>
        <v>16</v>
      </c>
      <c r="H36" s="625">
        <f>L36+I36</f>
        <v>57912</v>
      </c>
      <c r="I36" s="626">
        <f>ROUND(AVERAGE(I7:I18),0)</f>
        <v>57872</v>
      </c>
      <c r="J36" s="626">
        <f>J35/(COUNTIF(J7:J18,"&gt;0"))</f>
        <v>30545.166666666668</v>
      </c>
      <c r="K36" s="626">
        <f>AVERAGE(K7:K18)</f>
        <v>27326.666666666668</v>
      </c>
      <c r="L36" s="626">
        <f>ROUND(L35/(COUNTIF(L7:L18,"&gt;0")),0)</f>
        <v>40</v>
      </c>
      <c r="M36" s="626">
        <f>ROUND(AVERAGE(M7:M18),0)</f>
        <v>37</v>
      </c>
      <c r="N36" s="628">
        <f>L36-M36</f>
        <v>3</v>
      </c>
      <c r="O36" s="625">
        <f>AVERAGE(O7:O18)</f>
        <v>17556.5</v>
      </c>
      <c r="P36" s="626">
        <f>P35/(COUNTIF(P7:P18,"&gt;0"))</f>
        <v>17524.166666666668</v>
      </c>
      <c r="Q36" s="628">
        <f>AVERAGE(Q7:Q18)</f>
        <v>32.333333333333336</v>
      </c>
      <c r="R36" s="625">
        <f>AVERAGE(R7:R18)</f>
        <v>139717.91666666666</v>
      </c>
      <c r="S36" s="626">
        <f>AVERAGE(S7:S18)</f>
        <v>311583</v>
      </c>
      <c r="T36" s="629">
        <f t="shared" si="12"/>
        <v>0.2698365456589617</v>
      </c>
      <c r="U36" s="630">
        <f t="shared" si="13"/>
        <v>0.18586379873099623</v>
      </c>
      <c r="V36" s="631">
        <f t="shared" si="14"/>
        <v>6.9070313579223648E-4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453452</v>
      </c>
      <c r="D37" s="635">
        <f t="shared" si="27"/>
        <v>453156</v>
      </c>
      <c r="E37" s="636">
        <f t="shared" si="27"/>
        <v>452835</v>
      </c>
      <c r="F37" s="636">
        <f t="shared" si="27"/>
        <v>321</v>
      </c>
      <c r="G37" s="637">
        <f t="shared" si="27"/>
        <v>296</v>
      </c>
      <c r="H37" s="634">
        <f t="shared" si="27"/>
        <v>698117</v>
      </c>
      <c r="I37" s="635">
        <f t="shared" si="27"/>
        <v>697445</v>
      </c>
      <c r="J37" s="636">
        <f t="shared" si="27"/>
        <v>367924</v>
      </c>
      <c r="K37" s="636">
        <f t="shared" si="27"/>
        <v>329521</v>
      </c>
      <c r="L37" s="636">
        <f t="shared" si="27"/>
        <v>672</v>
      </c>
      <c r="M37" s="636">
        <f t="shared" si="27"/>
        <v>620</v>
      </c>
      <c r="N37" s="637">
        <f t="shared" si="27"/>
        <v>52</v>
      </c>
      <c r="O37" s="634">
        <f t="shared" si="27"/>
        <v>211517</v>
      </c>
      <c r="P37" s="638">
        <f t="shared" si="27"/>
        <v>210964</v>
      </c>
      <c r="Q37" s="637">
        <f t="shared" si="27"/>
        <v>553</v>
      </c>
      <c r="R37" s="634">
        <f t="shared" si="27"/>
        <v>1673585</v>
      </c>
      <c r="S37" s="635">
        <f t="shared" si="27"/>
        <v>3739987</v>
      </c>
      <c r="T37" s="639">
        <f t="shared" si="12"/>
        <v>0.27094650107404167</v>
      </c>
      <c r="U37" s="639">
        <f t="shared" si="13"/>
        <v>0.18666294829367053</v>
      </c>
      <c r="V37" s="640">
        <f t="shared" si="14"/>
        <v>9.6258936539290693E-4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37787.666666666664</v>
      </c>
      <c r="D38" s="643">
        <f t="shared" ref="D38:S38" si="28">D37/(COUNTIF(D8:D16,"&gt;0")+3)</f>
        <v>37763</v>
      </c>
      <c r="E38" s="644">
        <f t="shared" si="28"/>
        <v>37736.25</v>
      </c>
      <c r="F38" s="644">
        <f t="shared" si="28"/>
        <v>26.75</v>
      </c>
      <c r="G38" s="645">
        <f t="shared" si="28"/>
        <v>24.666666666666668</v>
      </c>
      <c r="H38" s="642">
        <f t="shared" si="28"/>
        <v>58176.416666666664</v>
      </c>
      <c r="I38" s="643">
        <f t="shared" si="28"/>
        <v>58120.416666666664</v>
      </c>
      <c r="J38" s="644">
        <f t="shared" si="28"/>
        <v>30660.333333333332</v>
      </c>
      <c r="K38" s="644">
        <f t="shared" si="28"/>
        <v>27460.083333333332</v>
      </c>
      <c r="L38" s="644">
        <f t="shared" si="28"/>
        <v>56</v>
      </c>
      <c r="M38" s="644">
        <f t="shared" si="28"/>
        <v>51.666666666666664</v>
      </c>
      <c r="N38" s="645">
        <f t="shared" si="28"/>
        <v>4.333333333333333</v>
      </c>
      <c r="O38" s="642">
        <f t="shared" si="28"/>
        <v>17626.416666666668</v>
      </c>
      <c r="P38" s="646">
        <f t="shared" si="28"/>
        <v>17580.333333333332</v>
      </c>
      <c r="Q38" s="645">
        <f t="shared" si="28"/>
        <v>46.083333333333336</v>
      </c>
      <c r="R38" s="642">
        <f t="shared" si="28"/>
        <v>139465.41666666666</v>
      </c>
      <c r="S38" s="643">
        <f t="shared" si="28"/>
        <v>311665.58333333331</v>
      </c>
      <c r="T38" s="647">
        <f t="shared" si="12"/>
        <v>0.27094650107404167</v>
      </c>
      <c r="U38" s="647">
        <f t="shared" si="13"/>
        <v>0.18666294829367056</v>
      </c>
      <c r="V38" s="648">
        <f t="shared" si="14"/>
        <v>9.6258936539290693E-4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C2" sqref="C2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2854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SUM(平成31年度!C17:C19)</f>
        <v>111851</v>
      </c>
      <c r="D2" s="480">
        <f>SUM(平成31年度!D17:D19)</f>
        <v>111840</v>
      </c>
      <c r="E2" s="480">
        <f>SUM(平成31年度!E17:E19)</f>
        <v>111819</v>
      </c>
      <c r="F2" s="480">
        <f>SUM(平成31年度!F17:F19)</f>
        <v>21</v>
      </c>
      <c r="G2" s="480">
        <f>SUM(平成31年度!G17:G19)</f>
        <v>11</v>
      </c>
      <c r="H2" s="480">
        <f>SUM(平成31年度!H17:H19)</f>
        <v>170989</v>
      </c>
      <c r="I2" s="480">
        <f>SUM(平成31年度!I17:I19)</f>
        <v>170954</v>
      </c>
      <c r="J2" s="480">
        <f>SUM(平成31年度!J17:J19)</f>
        <v>90187</v>
      </c>
      <c r="K2" s="480">
        <f>SUM(平成31年度!K17:K19)</f>
        <v>80767</v>
      </c>
      <c r="L2" s="480">
        <f>SUM(平成31年度!L17:L19)</f>
        <v>35</v>
      </c>
      <c r="M2" s="480">
        <f>SUM(平成31年度!M17:M19)</f>
        <v>32</v>
      </c>
      <c r="N2" s="480">
        <f>SUM(平成31年度!N17:N19)</f>
        <v>3</v>
      </c>
      <c r="O2" s="480">
        <f>SUM(平成31年度!O17:O19)</f>
        <v>51651</v>
      </c>
      <c r="P2" s="480">
        <f>SUM(平成31年度!P17:P19)</f>
        <v>51634</v>
      </c>
      <c r="Q2" s="480">
        <f>SUM(平成31年度!Q17:Q19)</f>
        <v>17</v>
      </c>
      <c r="R2" s="480">
        <f>SUM(平成31年度!R17:R19)</f>
        <v>420935</v>
      </c>
      <c r="S2" s="480">
        <f>SUM(平成31年度!S17:S19)</f>
        <v>934788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2855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873">
        <v>37185</v>
      </c>
      <c r="D7" s="874">
        <v>37184</v>
      </c>
      <c r="E7" s="874">
        <v>37181</v>
      </c>
      <c r="F7" s="875">
        <v>3</v>
      </c>
      <c r="G7" s="876">
        <v>1</v>
      </c>
      <c r="H7" s="877">
        <v>56731</v>
      </c>
      <c r="I7" s="874">
        <v>56726</v>
      </c>
      <c r="J7" s="875">
        <v>29851</v>
      </c>
      <c r="K7" s="878">
        <v>26875</v>
      </c>
      <c r="L7" s="874">
        <v>5</v>
      </c>
      <c r="M7" s="875">
        <v>4</v>
      </c>
      <c r="N7" s="879">
        <v>1</v>
      </c>
      <c r="O7" s="873">
        <v>17086</v>
      </c>
      <c r="P7" s="874">
        <v>17086</v>
      </c>
      <c r="Q7" s="879">
        <v>0</v>
      </c>
      <c r="R7" s="880">
        <v>140635</v>
      </c>
      <c r="S7" s="881">
        <v>311527</v>
      </c>
      <c r="T7" s="882">
        <v>0.26440786432964769</v>
      </c>
      <c r="U7" s="883">
        <v>0.18210620588263618</v>
      </c>
      <c r="V7" s="884">
        <v>8.8135234704130014E-5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37533</v>
      </c>
      <c r="D8" s="526">
        <f t="shared" ref="D8:D19" si="0">E8+F8</f>
        <v>37533</v>
      </c>
      <c r="E8" s="526">
        <f t="shared" ref="E8:E18" si="1">C8-G8-F8</f>
        <v>37533</v>
      </c>
      <c r="F8" s="740">
        <v>0</v>
      </c>
      <c r="G8" s="741">
        <v>0</v>
      </c>
      <c r="H8" s="529">
        <f t="shared" ref="H8:H19" si="2">I8+L8</f>
        <v>57213</v>
      </c>
      <c r="I8" s="527">
        <v>57213</v>
      </c>
      <c r="J8" s="759">
        <f t="shared" ref="J8:J19" si="3">I8-K8</f>
        <v>30123</v>
      </c>
      <c r="K8" s="742">
        <v>27090</v>
      </c>
      <c r="L8" s="526">
        <f t="shared" ref="L8:L19" si="4">M8+N8</f>
        <v>0</v>
      </c>
      <c r="M8" s="740">
        <v>0</v>
      </c>
      <c r="N8" s="741">
        <v>0</v>
      </c>
      <c r="O8" s="739">
        <v>17358</v>
      </c>
      <c r="P8" s="526">
        <f t="shared" ref="P8:P19" si="5">O8-Q8</f>
        <v>17358</v>
      </c>
      <c r="Q8" s="743">
        <v>0</v>
      </c>
      <c r="R8" s="871">
        <v>141190</v>
      </c>
      <c r="S8" s="872">
        <v>311795</v>
      </c>
      <c r="T8" s="534">
        <f t="shared" ref="T8:T21" si="6">C8/R8</f>
        <v>0.26583327431121184</v>
      </c>
      <c r="U8" s="534">
        <f t="shared" ref="U8:U21" si="7">H8/S8</f>
        <v>0.18349556599688899</v>
      </c>
      <c r="V8" s="535">
        <f t="shared" ref="V8:V21" si="8">L8/H8</f>
        <v>0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37476</v>
      </c>
      <c r="D9" s="526">
        <f t="shared" si="0"/>
        <v>37476</v>
      </c>
      <c r="E9" s="526">
        <f t="shared" si="1"/>
        <v>37476</v>
      </c>
      <c r="F9" s="740">
        <v>0</v>
      </c>
      <c r="G9" s="741">
        <v>0</v>
      </c>
      <c r="H9" s="529">
        <f t="shared" si="2"/>
        <v>57054</v>
      </c>
      <c r="I9" s="527">
        <v>57054</v>
      </c>
      <c r="J9" s="759">
        <f t="shared" si="3"/>
        <v>30011</v>
      </c>
      <c r="K9" s="742">
        <v>27043</v>
      </c>
      <c r="L9" s="526">
        <f t="shared" si="4"/>
        <v>0</v>
      </c>
      <c r="M9" s="740">
        <v>0</v>
      </c>
      <c r="N9" s="741">
        <v>0</v>
      </c>
      <c r="O9" s="739">
        <v>17323</v>
      </c>
      <c r="P9" s="526">
        <f t="shared" si="5"/>
        <v>17323</v>
      </c>
      <c r="Q9" s="743">
        <v>0</v>
      </c>
      <c r="R9" s="746">
        <v>141318</v>
      </c>
      <c r="S9" s="747">
        <v>311855</v>
      </c>
      <c r="T9" s="534">
        <f t="shared" si="6"/>
        <v>0.26518914787925107</v>
      </c>
      <c r="U9" s="534">
        <f t="shared" si="7"/>
        <v>0.18295040964550832</v>
      </c>
      <c r="V9" s="535">
        <f t="shared" si="8"/>
        <v>0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37402</v>
      </c>
      <c r="D10" s="526">
        <f t="shared" si="0"/>
        <v>37402</v>
      </c>
      <c r="E10" s="526">
        <f t="shared" si="1"/>
        <v>37402</v>
      </c>
      <c r="F10" s="740">
        <v>0</v>
      </c>
      <c r="G10" s="741">
        <v>0</v>
      </c>
      <c r="H10" s="529">
        <f t="shared" si="2"/>
        <v>56900</v>
      </c>
      <c r="I10" s="527">
        <v>56900</v>
      </c>
      <c r="J10" s="759">
        <f t="shared" si="3"/>
        <v>29879</v>
      </c>
      <c r="K10" s="742">
        <v>27021</v>
      </c>
      <c r="L10" s="526">
        <f t="shared" si="4"/>
        <v>0</v>
      </c>
      <c r="M10" s="740">
        <v>0</v>
      </c>
      <c r="N10" s="741">
        <v>0</v>
      </c>
      <c r="O10" s="739">
        <v>17302</v>
      </c>
      <c r="P10" s="526">
        <f t="shared" si="5"/>
        <v>17302</v>
      </c>
      <c r="Q10" s="743">
        <v>0</v>
      </c>
      <c r="R10" s="748">
        <v>141470</v>
      </c>
      <c r="S10" s="740">
        <v>311801</v>
      </c>
      <c r="T10" s="534">
        <f t="shared" si="6"/>
        <v>0.26438114087792464</v>
      </c>
      <c r="U10" s="534">
        <f t="shared" si="7"/>
        <v>0.18248818958245805</v>
      </c>
      <c r="V10" s="535">
        <f t="shared" si="8"/>
        <v>0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37264</v>
      </c>
      <c r="D11" s="526">
        <f>E11+F11</f>
        <v>37264</v>
      </c>
      <c r="E11" s="526">
        <f>C11-G11-F11</f>
        <v>37264</v>
      </c>
      <c r="F11" s="740">
        <v>0</v>
      </c>
      <c r="G11" s="741">
        <v>0</v>
      </c>
      <c r="H11" s="529">
        <f>I11+L11</f>
        <v>56669</v>
      </c>
      <c r="I11" s="527">
        <v>56669</v>
      </c>
      <c r="J11" s="759">
        <f t="shared" si="3"/>
        <v>29719</v>
      </c>
      <c r="K11" s="742">
        <v>26950</v>
      </c>
      <c r="L11" s="526">
        <f t="shared" si="4"/>
        <v>0</v>
      </c>
      <c r="M11" s="740">
        <v>0</v>
      </c>
      <c r="N11" s="741">
        <v>0</v>
      </c>
      <c r="O11" s="739">
        <v>17189</v>
      </c>
      <c r="P11" s="526">
        <f t="shared" si="5"/>
        <v>17189</v>
      </c>
      <c r="Q11" s="870">
        <v>0</v>
      </c>
      <c r="R11" s="748">
        <v>141609</v>
      </c>
      <c r="S11" s="740">
        <v>311834</v>
      </c>
      <c r="T11" s="534">
        <f t="shared" si="6"/>
        <v>0.26314711635559884</v>
      </c>
      <c r="U11" s="534">
        <f t="shared" si="7"/>
        <v>0.18172809892442773</v>
      </c>
      <c r="V11" s="535">
        <f t="shared" si="8"/>
        <v>0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37226</v>
      </c>
      <c r="D12" s="526">
        <f t="shared" si="0"/>
        <v>37226</v>
      </c>
      <c r="E12" s="526">
        <f t="shared" si="1"/>
        <v>37226</v>
      </c>
      <c r="F12" s="740">
        <v>0</v>
      </c>
      <c r="G12" s="741">
        <v>0</v>
      </c>
      <c r="H12" s="529">
        <f t="shared" si="2"/>
        <v>56500</v>
      </c>
      <c r="I12" s="527">
        <v>56500</v>
      </c>
      <c r="J12" s="759">
        <f t="shared" si="3"/>
        <v>29586</v>
      </c>
      <c r="K12" s="742">
        <v>26914</v>
      </c>
      <c r="L12" s="526">
        <f t="shared" si="4"/>
        <v>0</v>
      </c>
      <c r="M12" s="740">
        <v>0</v>
      </c>
      <c r="N12" s="741">
        <v>0</v>
      </c>
      <c r="O12" s="739">
        <v>17110</v>
      </c>
      <c r="P12" s="526">
        <f t="shared" si="5"/>
        <v>17110</v>
      </c>
      <c r="Q12" s="743">
        <v>0</v>
      </c>
      <c r="R12" s="748">
        <v>141687</v>
      </c>
      <c r="S12" s="740">
        <v>311771</v>
      </c>
      <c r="T12" s="534">
        <f t="shared" si="6"/>
        <v>0.26273405464156907</v>
      </c>
      <c r="U12" s="534">
        <f t="shared" si="7"/>
        <v>0.18122275644623778</v>
      </c>
      <c r="V12" s="535">
        <f t="shared" si="8"/>
        <v>0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37155</v>
      </c>
      <c r="D13" s="526">
        <f t="shared" si="0"/>
        <v>37155</v>
      </c>
      <c r="E13" s="526">
        <f t="shared" si="1"/>
        <v>37155</v>
      </c>
      <c r="F13" s="740">
        <v>0</v>
      </c>
      <c r="G13" s="741">
        <v>0</v>
      </c>
      <c r="H13" s="529">
        <f t="shared" si="2"/>
        <v>56273</v>
      </c>
      <c r="I13" s="527">
        <v>56273</v>
      </c>
      <c r="J13" s="759">
        <f t="shared" si="3"/>
        <v>29406</v>
      </c>
      <c r="K13" s="742">
        <v>26867</v>
      </c>
      <c r="L13" s="526">
        <f t="shared" si="4"/>
        <v>0</v>
      </c>
      <c r="M13" s="740">
        <v>0</v>
      </c>
      <c r="N13" s="741">
        <v>0</v>
      </c>
      <c r="O13" s="739">
        <v>17024</v>
      </c>
      <c r="P13" s="526">
        <f t="shared" si="5"/>
        <v>17024</v>
      </c>
      <c r="Q13" s="743">
        <v>0</v>
      </c>
      <c r="R13" s="748">
        <v>141768</v>
      </c>
      <c r="S13" s="740">
        <v>311716</v>
      </c>
      <c r="T13" s="534">
        <f t="shared" si="6"/>
        <v>0.26208312171999321</v>
      </c>
      <c r="U13" s="534">
        <f t="shared" si="7"/>
        <v>0.18052650489548178</v>
      </c>
      <c r="V13" s="535">
        <f t="shared" si="8"/>
        <v>0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20.149999999999999" customHeight="1" x14ac:dyDescent="0.2">
      <c r="A14" s="550" t="s">
        <v>275</v>
      </c>
      <c r="B14" s="536" t="s">
        <v>46</v>
      </c>
      <c r="C14" s="739">
        <v>37154</v>
      </c>
      <c r="D14" s="526">
        <f t="shared" si="0"/>
        <v>37154</v>
      </c>
      <c r="E14" s="526">
        <f t="shared" si="1"/>
        <v>37154</v>
      </c>
      <c r="F14" s="740">
        <v>0</v>
      </c>
      <c r="G14" s="741">
        <v>0</v>
      </c>
      <c r="H14" s="529">
        <f t="shared" si="2"/>
        <v>56230</v>
      </c>
      <c r="I14" s="527">
        <v>56230</v>
      </c>
      <c r="J14" s="759">
        <f t="shared" si="3"/>
        <v>29316</v>
      </c>
      <c r="K14" s="742">
        <v>26914</v>
      </c>
      <c r="L14" s="526">
        <f t="shared" si="4"/>
        <v>0</v>
      </c>
      <c r="M14" s="740">
        <v>0</v>
      </c>
      <c r="N14" s="741">
        <v>0</v>
      </c>
      <c r="O14" s="739">
        <v>16971</v>
      </c>
      <c r="P14" s="526">
        <f t="shared" si="5"/>
        <v>16971</v>
      </c>
      <c r="Q14" s="743">
        <v>0</v>
      </c>
      <c r="R14" s="748">
        <v>141730</v>
      </c>
      <c r="S14" s="740">
        <v>311577</v>
      </c>
      <c r="T14" s="534">
        <f t="shared" si="6"/>
        <v>0.26214633457983488</v>
      </c>
      <c r="U14" s="534">
        <f t="shared" si="7"/>
        <v>0.18046903333686376</v>
      </c>
      <c r="V14" s="535">
        <f t="shared" si="8"/>
        <v>0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20.149999999999999" customHeight="1" x14ac:dyDescent="0.2">
      <c r="A15" s="550" t="s">
        <v>2813</v>
      </c>
      <c r="B15" s="537" t="s">
        <v>47</v>
      </c>
      <c r="C15" s="739">
        <v>37190</v>
      </c>
      <c r="D15" s="526">
        <f t="shared" si="0"/>
        <v>37190</v>
      </c>
      <c r="E15" s="526">
        <f t="shared" si="1"/>
        <v>37190</v>
      </c>
      <c r="F15" s="740">
        <v>0</v>
      </c>
      <c r="G15" s="741">
        <v>0</v>
      </c>
      <c r="H15" s="529">
        <f t="shared" si="2"/>
        <v>56202</v>
      </c>
      <c r="I15" s="527">
        <v>56202</v>
      </c>
      <c r="J15" s="759">
        <f t="shared" si="3"/>
        <v>29277</v>
      </c>
      <c r="K15" s="742">
        <v>26925</v>
      </c>
      <c r="L15" s="526">
        <f t="shared" si="4"/>
        <v>0</v>
      </c>
      <c r="M15" s="740">
        <v>0</v>
      </c>
      <c r="N15" s="741">
        <v>0</v>
      </c>
      <c r="O15" s="739">
        <v>16930</v>
      </c>
      <c r="P15" s="526">
        <f t="shared" si="5"/>
        <v>16930</v>
      </c>
      <c r="Q15" s="743">
        <v>0</v>
      </c>
      <c r="R15" s="744">
        <v>141792</v>
      </c>
      <c r="S15" s="745">
        <v>311460</v>
      </c>
      <c r="T15" s="534">
        <f t="shared" si="6"/>
        <v>0.26228560144436924</v>
      </c>
      <c r="U15" s="534">
        <f t="shared" si="7"/>
        <v>0.18044692737430168</v>
      </c>
      <c r="V15" s="535">
        <f t="shared" si="8"/>
        <v>0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37131</v>
      </c>
      <c r="D16" s="526">
        <f t="shared" si="0"/>
        <v>37131</v>
      </c>
      <c r="E16" s="526">
        <f t="shared" si="1"/>
        <v>37131</v>
      </c>
      <c r="F16" s="740">
        <v>0</v>
      </c>
      <c r="G16" s="741">
        <v>0</v>
      </c>
      <c r="H16" s="529">
        <f t="shared" si="2"/>
        <v>56065</v>
      </c>
      <c r="I16" s="527">
        <v>56065</v>
      </c>
      <c r="J16" s="759">
        <f t="shared" si="3"/>
        <v>29097</v>
      </c>
      <c r="K16" s="742">
        <v>26968</v>
      </c>
      <c r="L16" s="526">
        <f t="shared" si="4"/>
        <v>0</v>
      </c>
      <c r="M16" s="740">
        <v>0</v>
      </c>
      <c r="N16" s="741">
        <v>0</v>
      </c>
      <c r="O16" s="739">
        <v>16840</v>
      </c>
      <c r="P16" s="526">
        <f t="shared" si="5"/>
        <v>16840</v>
      </c>
      <c r="Q16" s="743">
        <v>0</v>
      </c>
      <c r="R16" s="744">
        <v>141804</v>
      </c>
      <c r="S16" s="749">
        <v>311347</v>
      </c>
      <c r="T16" s="554">
        <f t="shared" si="6"/>
        <v>0.26184733858001186</v>
      </c>
      <c r="U16" s="534">
        <f t="shared" si="7"/>
        <v>0.18007239510899414</v>
      </c>
      <c r="V16" s="535">
        <f t="shared" si="8"/>
        <v>0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37212</v>
      </c>
      <c r="D17" s="526">
        <f t="shared" si="0"/>
        <v>37212</v>
      </c>
      <c r="E17" s="526">
        <f t="shared" si="1"/>
        <v>37212</v>
      </c>
      <c r="F17" s="740">
        <v>0</v>
      </c>
      <c r="G17" s="754">
        <v>0</v>
      </c>
      <c r="H17" s="529">
        <f t="shared" si="2"/>
        <v>56076</v>
      </c>
      <c r="I17" s="527">
        <v>56076</v>
      </c>
      <c r="J17" s="759">
        <f t="shared" si="3"/>
        <v>29193</v>
      </c>
      <c r="K17" s="742">
        <v>26883</v>
      </c>
      <c r="L17" s="526">
        <f t="shared" si="4"/>
        <v>0</v>
      </c>
      <c r="M17" s="740">
        <v>0</v>
      </c>
      <c r="N17" s="741">
        <v>0</v>
      </c>
      <c r="O17" s="739">
        <v>16781</v>
      </c>
      <c r="P17" s="526">
        <f t="shared" si="5"/>
        <v>16781</v>
      </c>
      <c r="Q17" s="743">
        <v>0</v>
      </c>
      <c r="R17" s="750">
        <v>141916</v>
      </c>
      <c r="S17" s="751">
        <v>311244</v>
      </c>
      <c r="T17" s="533">
        <f t="shared" si="6"/>
        <v>0.26221144902618448</v>
      </c>
      <c r="U17" s="534">
        <f t="shared" si="7"/>
        <v>0.18016732852681497</v>
      </c>
      <c r="V17" s="535">
        <f t="shared" si="8"/>
        <v>0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36971</v>
      </c>
      <c r="D18" s="526">
        <f t="shared" si="0"/>
        <v>36971</v>
      </c>
      <c r="E18" s="526">
        <f t="shared" si="1"/>
        <v>36971</v>
      </c>
      <c r="F18" s="740">
        <v>0</v>
      </c>
      <c r="G18" s="754">
        <v>0</v>
      </c>
      <c r="H18" s="529">
        <f t="shared" si="2"/>
        <v>55760</v>
      </c>
      <c r="I18" s="527">
        <v>55760</v>
      </c>
      <c r="J18" s="759">
        <f t="shared" si="3"/>
        <v>28901</v>
      </c>
      <c r="K18" s="742">
        <v>26859</v>
      </c>
      <c r="L18" s="526">
        <f t="shared" si="4"/>
        <v>0</v>
      </c>
      <c r="M18" s="740">
        <v>0</v>
      </c>
      <c r="N18" s="741">
        <v>0</v>
      </c>
      <c r="O18" s="739">
        <v>16685</v>
      </c>
      <c r="P18" s="526">
        <f t="shared" si="5"/>
        <v>16685</v>
      </c>
      <c r="Q18" s="743">
        <v>0</v>
      </c>
      <c r="R18" s="765">
        <v>141697</v>
      </c>
      <c r="S18" s="766">
        <v>310916</v>
      </c>
      <c r="T18" s="533">
        <f t="shared" si="6"/>
        <v>0.26091589800772069</v>
      </c>
      <c r="U18" s="534">
        <f t="shared" si="7"/>
        <v>0.17934104388323535</v>
      </c>
      <c r="V18" s="535">
        <f t="shared" si="8"/>
        <v>0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537" t="s">
        <v>51</v>
      </c>
      <c r="C19" s="739">
        <v>36847</v>
      </c>
      <c r="D19" s="526">
        <f t="shared" si="0"/>
        <v>36847</v>
      </c>
      <c r="E19" s="526">
        <f>C19-G19-F19</f>
        <v>36847</v>
      </c>
      <c r="F19" s="740">
        <v>0</v>
      </c>
      <c r="G19" s="754">
        <v>0</v>
      </c>
      <c r="H19" s="529">
        <f t="shared" si="2"/>
        <v>55512</v>
      </c>
      <c r="I19" s="527">
        <v>55512</v>
      </c>
      <c r="J19" s="759">
        <f t="shared" si="3"/>
        <v>28709</v>
      </c>
      <c r="K19" s="742">
        <v>26803</v>
      </c>
      <c r="L19" s="526">
        <f t="shared" si="4"/>
        <v>0</v>
      </c>
      <c r="M19" s="740">
        <v>0</v>
      </c>
      <c r="N19" s="741">
        <v>0</v>
      </c>
      <c r="O19" s="739">
        <v>16602</v>
      </c>
      <c r="P19" s="526">
        <f t="shared" si="5"/>
        <v>16602</v>
      </c>
      <c r="Q19" s="743">
        <v>0</v>
      </c>
      <c r="R19" s="756">
        <v>141978</v>
      </c>
      <c r="S19" s="757">
        <v>310610</v>
      </c>
      <c r="T19" s="533">
        <f t="shared" si="6"/>
        <v>0.25952612376565382</v>
      </c>
      <c r="U19" s="534">
        <f t="shared" si="7"/>
        <v>0.17871929429187727</v>
      </c>
      <c r="V19" s="535">
        <f t="shared" si="8"/>
        <v>0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762" t="s">
        <v>52</v>
      </c>
      <c r="C20" s="763">
        <f t="shared" ref="C20:S20" si="9">SUM(C8:C19)</f>
        <v>446561</v>
      </c>
      <c r="D20" s="559">
        <f t="shared" si="9"/>
        <v>446561</v>
      </c>
      <c r="E20" s="559">
        <f t="shared" si="9"/>
        <v>446561</v>
      </c>
      <c r="F20" s="559">
        <f t="shared" si="9"/>
        <v>0</v>
      </c>
      <c r="G20" s="575">
        <f t="shared" si="9"/>
        <v>0</v>
      </c>
      <c r="H20" s="558">
        <f t="shared" si="9"/>
        <v>676454</v>
      </c>
      <c r="I20" s="559">
        <f t="shared" si="9"/>
        <v>676454</v>
      </c>
      <c r="J20" s="559">
        <f t="shared" si="9"/>
        <v>353217</v>
      </c>
      <c r="K20" s="559">
        <f t="shared" si="9"/>
        <v>323237</v>
      </c>
      <c r="L20" s="559">
        <f t="shared" si="9"/>
        <v>0</v>
      </c>
      <c r="M20" s="559">
        <f t="shared" si="9"/>
        <v>0</v>
      </c>
      <c r="N20" s="560">
        <f t="shared" si="9"/>
        <v>0</v>
      </c>
      <c r="O20" s="558">
        <f t="shared" si="9"/>
        <v>204115</v>
      </c>
      <c r="P20" s="559">
        <f t="shared" si="9"/>
        <v>204115</v>
      </c>
      <c r="Q20" s="560">
        <f t="shared" si="9"/>
        <v>0</v>
      </c>
      <c r="R20" s="561">
        <f t="shared" si="9"/>
        <v>1699959</v>
      </c>
      <c r="S20" s="562">
        <f t="shared" si="9"/>
        <v>3737926</v>
      </c>
      <c r="T20" s="563">
        <f t="shared" si="6"/>
        <v>0.26268927662373032</v>
      </c>
      <c r="U20" s="564">
        <f t="shared" si="7"/>
        <v>0.18097040979409437</v>
      </c>
      <c r="V20" s="565">
        <f t="shared" si="8"/>
        <v>0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762" t="s">
        <v>53</v>
      </c>
      <c r="C21" s="764">
        <f>AVERAGE(C8:C19)</f>
        <v>37213.416666666664</v>
      </c>
      <c r="D21" s="562">
        <f>D20/(COUNTIF(D8:D19,"&gt;0"))</f>
        <v>37213.416666666664</v>
      </c>
      <c r="E21" s="560">
        <f>E20/(COUNTIF(E8:E19,"&gt;0"))</f>
        <v>37213.416666666664</v>
      </c>
      <c r="F21" s="560">
        <f t="shared" ref="F21:S21" si="10">AVERAGE(F8:F19)</f>
        <v>0</v>
      </c>
      <c r="G21" s="575">
        <f t="shared" si="10"/>
        <v>0</v>
      </c>
      <c r="H21" s="574">
        <f>H20/(COUNTIF(H8:H19,"&gt;0"))</f>
        <v>56371.166666666664</v>
      </c>
      <c r="I21" s="562">
        <f t="shared" si="10"/>
        <v>56371.166666666664</v>
      </c>
      <c r="J21" s="562">
        <f>J20/(COUNTIF(J8:J19,"&gt;0"))</f>
        <v>29434.75</v>
      </c>
      <c r="K21" s="562">
        <f t="shared" si="10"/>
        <v>26936.416666666668</v>
      </c>
      <c r="L21" s="560" t="e">
        <f>L20/(COUNTIF(L8:L19,"&gt;0"))</f>
        <v>#DIV/0!</v>
      </c>
      <c r="M21" s="560">
        <f t="shared" si="10"/>
        <v>0</v>
      </c>
      <c r="N21" s="575">
        <f t="shared" si="10"/>
        <v>0</v>
      </c>
      <c r="O21" s="574">
        <f t="shared" si="10"/>
        <v>17009.583333333332</v>
      </c>
      <c r="P21" s="562">
        <f>P20/(COUNTIF(P8:P19,"&gt;0"))</f>
        <v>17009.583333333332</v>
      </c>
      <c r="Q21" s="562">
        <f t="shared" si="10"/>
        <v>0</v>
      </c>
      <c r="R21" s="574">
        <f t="shared" si="10"/>
        <v>141663.25</v>
      </c>
      <c r="S21" s="560">
        <f t="shared" si="10"/>
        <v>311493.83333333331</v>
      </c>
      <c r="T21" s="563">
        <f t="shared" si="6"/>
        <v>0.26268927662373032</v>
      </c>
      <c r="U21" s="564">
        <f t="shared" si="7"/>
        <v>0.18097040979409437</v>
      </c>
      <c r="V21" s="565" t="e">
        <f t="shared" si="8"/>
        <v>#DIV/0!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577"/>
      <c r="C22" s="578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37533</v>
      </c>
      <c r="D23" s="526">
        <f t="shared" si="11"/>
        <v>37533</v>
      </c>
      <c r="E23" s="596">
        <f t="shared" si="11"/>
        <v>37533</v>
      </c>
      <c r="F23" s="596">
        <f t="shared" si="11"/>
        <v>0</v>
      </c>
      <c r="G23" s="597">
        <f t="shared" si="11"/>
        <v>0</v>
      </c>
      <c r="H23" s="595">
        <f t="shared" si="11"/>
        <v>57213</v>
      </c>
      <c r="I23" s="526">
        <f t="shared" si="11"/>
        <v>57213</v>
      </c>
      <c r="J23" s="596">
        <f t="shared" si="11"/>
        <v>30123</v>
      </c>
      <c r="K23" s="596">
        <f t="shared" si="11"/>
        <v>27090</v>
      </c>
      <c r="L23" s="596">
        <f t="shared" si="11"/>
        <v>0</v>
      </c>
      <c r="M23" s="596">
        <f t="shared" si="11"/>
        <v>0</v>
      </c>
      <c r="N23" s="597">
        <f t="shared" si="11"/>
        <v>0</v>
      </c>
      <c r="O23" s="595">
        <f t="shared" si="11"/>
        <v>17358</v>
      </c>
      <c r="P23" s="526">
        <f t="shared" si="11"/>
        <v>17358</v>
      </c>
      <c r="Q23" s="597">
        <f t="shared" si="11"/>
        <v>0</v>
      </c>
      <c r="R23" s="598">
        <f t="shared" si="11"/>
        <v>141190</v>
      </c>
      <c r="S23" s="526">
        <f t="shared" si="11"/>
        <v>311795</v>
      </c>
      <c r="T23" s="533">
        <f t="shared" ref="T23:T38" si="12">C23/R23</f>
        <v>0.26583327431121184</v>
      </c>
      <c r="U23" s="534">
        <f t="shared" ref="U23:U38" si="13">H23/S23</f>
        <v>0.18349556599688899</v>
      </c>
      <c r="V23" s="535">
        <f t="shared" ref="V23:V38" si="14">L23/H23</f>
        <v>0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75009</v>
      </c>
      <c r="D24" s="599">
        <f t="shared" si="15"/>
        <v>75009</v>
      </c>
      <c r="E24" s="600">
        <f t="shared" si="15"/>
        <v>75009</v>
      </c>
      <c r="F24" s="600">
        <f t="shared" si="15"/>
        <v>0</v>
      </c>
      <c r="G24" s="601">
        <f t="shared" si="15"/>
        <v>0</v>
      </c>
      <c r="H24" s="529">
        <f t="shared" si="15"/>
        <v>114267</v>
      </c>
      <c r="I24" s="599">
        <f t="shared" si="15"/>
        <v>114267</v>
      </c>
      <c r="J24" s="600">
        <f t="shared" si="15"/>
        <v>60134</v>
      </c>
      <c r="K24" s="600">
        <f t="shared" si="15"/>
        <v>54133</v>
      </c>
      <c r="L24" s="600">
        <f t="shared" si="15"/>
        <v>0</v>
      </c>
      <c r="M24" s="600">
        <f t="shared" si="15"/>
        <v>0</v>
      </c>
      <c r="N24" s="601">
        <f t="shared" si="15"/>
        <v>0</v>
      </c>
      <c r="O24" s="529">
        <f t="shared" si="15"/>
        <v>34681</v>
      </c>
      <c r="P24" s="599">
        <f t="shared" si="15"/>
        <v>34681</v>
      </c>
      <c r="Q24" s="601">
        <f t="shared" si="15"/>
        <v>0</v>
      </c>
      <c r="R24" s="602">
        <f t="shared" si="15"/>
        <v>282508</v>
      </c>
      <c r="S24" s="599">
        <f t="shared" si="15"/>
        <v>623650</v>
      </c>
      <c r="T24" s="603">
        <f t="shared" si="12"/>
        <v>0.26551106517337564</v>
      </c>
      <c r="U24" s="604">
        <f t="shared" si="13"/>
        <v>0.18322296159704962</v>
      </c>
      <c r="V24" s="605">
        <f t="shared" si="14"/>
        <v>0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112411</v>
      </c>
      <c r="D25" s="599">
        <f t="shared" si="16"/>
        <v>112411</v>
      </c>
      <c r="E25" s="600">
        <f t="shared" si="16"/>
        <v>112411</v>
      </c>
      <c r="F25" s="600">
        <f t="shared" si="16"/>
        <v>0</v>
      </c>
      <c r="G25" s="601">
        <f t="shared" si="16"/>
        <v>0</v>
      </c>
      <c r="H25" s="529">
        <f t="shared" si="16"/>
        <v>171167</v>
      </c>
      <c r="I25" s="599">
        <f t="shared" si="16"/>
        <v>171167</v>
      </c>
      <c r="J25" s="600">
        <f t="shared" si="16"/>
        <v>90013</v>
      </c>
      <c r="K25" s="600">
        <f t="shared" si="16"/>
        <v>81154</v>
      </c>
      <c r="L25" s="600">
        <f t="shared" si="16"/>
        <v>0</v>
      </c>
      <c r="M25" s="600">
        <f t="shared" si="16"/>
        <v>0</v>
      </c>
      <c r="N25" s="601">
        <f t="shared" si="16"/>
        <v>0</v>
      </c>
      <c r="O25" s="529">
        <f t="shared" si="16"/>
        <v>51983</v>
      </c>
      <c r="P25" s="599">
        <f t="shared" si="16"/>
        <v>51983</v>
      </c>
      <c r="Q25" s="601">
        <f t="shared" si="16"/>
        <v>0</v>
      </c>
      <c r="R25" s="602">
        <f t="shared" si="16"/>
        <v>423978</v>
      </c>
      <c r="S25" s="599">
        <f t="shared" si="16"/>
        <v>935451</v>
      </c>
      <c r="T25" s="603">
        <f t="shared" si="12"/>
        <v>0.26513403997377222</v>
      </c>
      <c r="U25" s="604">
        <f t="shared" si="13"/>
        <v>0.18297805015976251</v>
      </c>
      <c r="V25" s="605">
        <f t="shared" si="14"/>
        <v>0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149675</v>
      </c>
      <c r="D26" s="599">
        <f t="shared" si="17"/>
        <v>149675</v>
      </c>
      <c r="E26" s="600">
        <f t="shared" si="17"/>
        <v>149675</v>
      </c>
      <c r="F26" s="600">
        <f t="shared" si="17"/>
        <v>0</v>
      </c>
      <c r="G26" s="601">
        <f>SUM(G8:G11)</f>
        <v>0</v>
      </c>
      <c r="H26" s="529">
        <f t="shared" si="17"/>
        <v>227836</v>
      </c>
      <c r="I26" s="599">
        <f t="shared" si="17"/>
        <v>227836</v>
      </c>
      <c r="J26" s="600">
        <f t="shared" si="17"/>
        <v>119732</v>
      </c>
      <c r="K26" s="600">
        <f t="shared" si="17"/>
        <v>108104</v>
      </c>
      <c r="L26" s="600">
        <f t="shared" si="17"/>
        <v>0</v>
      </c>
      <c r="M26" s="600">
        <f t="shared" si="17"/>
        <v>0</v>
      </c>
      <c r="N26" s="601">
        <f t="shared" si="17"/>
        <v>0</v>
      </c>
      <c r="O26" s="529">
        <f t="shared" si="17"/>
        <v>69172</v>
      </c>
      <c r="P26" s="599">
        <f t="shared" si="17"/>
        <v>69172</v>
      </c>
      <c r="Q26" s="601">
        <f t="shared" si="17"/>
        <v>0</v>
      </c>
      <c r="R26" s="602">
        <f t="shared" si="17"/>
        <v>565587</v>
      </c>
      <c r="S26" s="599">
        <f t="shared" si="17"/>
        <v>1247285</v>
      </c>
      <c r="T26" s="603">
        <f t="shared" si="12"/>
        <v>0.26463656342879166</v>
      </c>
      <c r="U26" s="604">
        <f t="shared" si="13"/>
        <v>0.18266554957367401</v>
      </c>
      <c r="V26" s="605">
        <f t="shared" si="14"/>
        <v>0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186901</v>
      </c>
      <c r="D27" s="599">
        <f t="shared" si="18"/>
        <v>186901</v>
      </c>
      <c r="E27" s="600">
        <f t="shared" si="18"/>
        <v>186901</v>
      </c>
      <c r="F27" s="600">
        <f t="shared" si="18"/>
        <v>0</v>
      </c>
      <c r="G27" s="601">
        <f t="shared" si="18"/>
        <v>0</v>
      </c>
      <c r="H27" s="529">
        <f t="shared" si="18"/>
        <v>284336</v>
      </c>
      <c r="I27" s="599">
        <f t="shared" si="18"/>
        <v>284336</v>
      </c>
      <c r="J27" s="600">
        <f t="shared" si="18"/>
        <v>149318</v>
      </c>
      <c r="K27" s="600">
        <f t="shared" si="18"/>
        <v>135018</v>
      </c>
      <c r="L27" s="600">
        <f t="shared" si="18"/>
        <v>0</v>
      </c>
      <c r="M27" s="600">
        <f t="shared" si="18"/>
        <v>0</v>
      </c>
      <c r="N27" s="601">
        <f t="shared" si="18"/>
        <v>0</v>
      </c>
      <c r="O27" s="529">
        <f t="shared" si="18"/>
        <v>86282</v>
      </c>
      <c r="P27" s="599">
        <f t="shared" si="18"/>
        <v>86282</v>
      </c>
      <c r="Q27" s="601">
        <f t="shared" si="18"/>
        <v>0</v>
      </c>
      <c r="R27" s="602">
        <f t="shared" si="18"/>
        <v>707274</v>
      </c>
      <c r="S27" s="599">
        <f t="shared" si="18"/>
        <v>1559056</v>
      </c>
      <c r="T27" s="603">
        <f t="shared" si="12"/>
        <v>0.26425543707247828</v>
      </c>
      <c r="U27" s="604">
        <f t="shared" si="13"/>
        <v>0.18237702815036791</v>
      </c>
      <c r="V27" s="605">
        <f t="shared" si="14"/>
        <v>0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224056</v>
      </c>
      <c r="D28" s="599">
        <f t="shared" si="19"/>
        <v>224056</v>
      </c>
      <c r="E28" s="600">
        <f t="shared" si="19"/>
        <v>224056</v>
      </c>
      <c r="F28" s="600">
        <f t="shared" si="19"/>
        <v>0</v>
      </c>
      <c r="G28" s="601">
        <f t="shared" si="19"/>
        <v>0</v>
      </c>
      <c r="H28" s="529">
        <f t="shared" si="19"/>
        <v>340609</v>
      </c>
      <c r="I28" s="599">
        <f t="shared" si="19"/>
        <v>340609</v>
      </c>
      <c r="J28" s="600">
        <f t="shared" si="19"/>
        <v>178724</v>
      </c>
      <c r="K28" s="600">
        <f t="shared" si="19"/>
        <v>161885</v>
      </c>
      <c r="L28" s="600">
        <f t="shared" si="19"/>
        <v>0</v>
      </c>
      <c r="M28" s="600">
        <f t="shared" si="19"/>
        <v>0</v>
      </c>
      <c r="N28" s="601">
        <f t="shared" si="19"/>
        <v>0</v>
      </c>
      <c r="O28" s="529">
        <f t="shared" si="19"/>
        <v>103306</v>
      </c>
      <c r="P28" s="599">
        <f t="shared" si="19"/>
        <v>103306</v>
      </c>
      <c r="Q28" s="601">
        <f t="shared" si="19"/>
        <v>0</v>
      </c>
      <c r="R28" s="602">
        <f t="shared" si="19"/>
        <v>849042</v>
      </c>
      <c r="S28" s="599">
        <f t="shared" si="19"/>
        <v>1870772</v>
      </c>
      <c r="T28" s="603">
        <f t="shared" si="12"/>
        <v>0.26389271673250558</v>
      </c>
      <c r="U28" s="604">
        <f t="shared" si="13"/>
        <v>0.18206868608253704</v>
      </c>
      <c r="V28" s="605">
        <f t="shared" si="14"/>
        <v>0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261210</v>
      </c>
      <c r="D29" s="599">
        <f t="shared" si="20"/>
        <v>261210</v>
      </c>
      <c r="E29" s="600">
        <f t="shared" si="20"/>
        <v>261210</v>
      </c>
      <c r="F29" s="600">
        <f t="shared" si="20"/>
        <v>0</v>
      </c>
      <c r="G29" s="601">
        <f t="shared" si="20"/>
        <v>0</v>
      </c>
      <c r="H29" s="529">
        <f t="shared" si="20"/>
        <v>396839</v>
      </c>
      <c r="I29" s="599">
        <f t="shared" si="20"/>
        <v>396839</v>
      </c>
      <c r="J29" s="600">
        <f t="shared" si="20"/>
        <v>208040</v>
      </c>
      <c r="K29" s="600">
        <f t="shared" si="20"/>
        <v>188799</v>
      </c>
      <c r="L29" s="600">
        <f t="shared" si="20"/>
        <v>0</v>
      </c>
      <c r="M29" s="600">
        <f t="shared" si="20"/>
        <v>0</v>
      </c>
      <c r="N29" s="601">
        <f t="shared" si="20"/>
        <v>0</v>
      </c>
      <c r="O29" s="529">
        <f t="shared" si="20"/>
        <v>120277</v>
      </c>
      <c r="P29" s="599">
        <f t="shared" si="20"/>
        <v>120277</v>
      </c>
      <c r="Q29" s="601">
        <f t="shared" si="20"/>
        <v>0</v>
      </c>
      <c r="R29" s="602">
        <f t="shared" si="20"/>
        <v>990772</v>
      </c>
      <c r="S29" s="599">
        <f t="shared" si="20"/>
        <v>2182349</v>
      </c>
      <c r="T29" s="603">
        <f t="shared" si="12"/>
        <v>0.26364289665028884</v>
      </c>
      <c r="U29" s="604">
        <f t="shared" si="13"/>
        <v>0.18184030143666297</v>
      </c>
      <c r="V29" s="605">
        <f t="shared" si="14"/>
        <v>0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298400</v>
      </c>
      <c r="D30" s="599">
        <f t="shared" si="21"/>
        <v>298400</v>
      </c>
      <c r="E30" s="600">
        <f t="shared" si="21"/>
        <v>298400</v>
      </c>
      <c r="F30" s="600">
        <f t="shared" si="21"/>
        <v>0</v>
      </c>
      <c r="G30" s="601">
        <f t="shared" si="21"/>
        <v>0</v>
      </c>
      <c r="H30" s="529">
        <f t="shared" si="21"/>
        <v>453041</v>
      </c>
      <c r="I30" s="599">
        <f t="shared" si="21"/>
        <v>453041</v>
      </c>
      <c r="J30" s="600">
        <f t="shared" si="21"/>
        <v>237317</v>
      </c>
      <c r="K30" s="600">
        <f t="shared" si="21"/>
        <v>215724</v>
      </c>
      <c r="L30" s="600">
        <f t="shared" si="21"/>
        <v>0</v>
      </c>
      <c r="M30" s="600">
        <f t="shared" si="21"/>
        <v>0</v>
      </c>
      <c r="N30" s="601">
        <f t="shared" si="21"/>
        <v>0</v>
      </c>
      <c r="O30" s="529">
        <f t="shared" si="21"/>
        <v>137207</v>
      </c>
      <c r="P30" s="599">
        <f t="shared" si="21"/>
        <v>137207</v>
      </c>
      <c r="Q30" s="601">
        <f t="shared" si="21"/>
        <v>0</v>
      </c>
      <c r="R30" s="602">
        <f t="shared" si="21"/>
        <v>1132564</v>
      </c>
      <c r="S30" s="599">
        <f t="shared" si="21"/>
        <v>2493809</v>
      </c>
      <c r="T30" s="603">
        <f t="shared" si="12"/>
        <v>0.26347296929798225</v>
      </c>
      <c r="U30" s="604">
        <f t="shared" si="13"/>
        <v>0.18166627837175983</v>
      </c>
      <c r="V30" s="605">
        <f t="shared" si="14"/>
        <v>0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335531</v>
      </c>
      <c r="D31" s="599">
        <f t="shared" si="22"/>
        <v>335531</v>
      </c>
      <c r="E31" s="600">
        <f t="shared" si="22"/>
        <v>335531</v>
      </c>
      <c r="F31" s="600">
        <f t="shared" si="22"/>
        <v>0</v>
      </c>
      <c r="G31" s="601">
        <f t="shared" si="22"/>
        <v>0</v>
      </c>
      <c r="H31" s="529">
        <f t="shared" si="22"/>
        <v>509106</v>
      </c>
      <c r="I31" s="599">
        <f t="shared" si="22"/>
        <v>509106</v>
      </c>
      <c r="J31" s="600">
        <f t="shared" si="22"/>
        <v>266414</v>
      </c>
      <c r="K31" s="600">
        <f t="shared" si="22"/>
        <v>242692</v>
      </c>
      <c r="L31" s="600">
        <f t="shared" si="22"/>
        <v>0</v>
      </c>
      <c r="M31" s="600">
        <f t="shared" si="22"/>
        <v>0</v>
      </c>
      <c r="N31" s="601">
        <f t="shared" si="22"/>
        <v>0</v>
      </c>
      <c r="O31" s="529">
        <f t="shared" si="22"/>
        <v>154047</v>
      </c>
      <c r="P31" s="599">
        <f t="shared" si="22"/>
        <v>154047</v>
      </c>
      <c r="Q31" s="601">
        <f t="shared" si="22"/>
        <v>0</v>
      </c>
      <c r="R31" s="602">
        <f t="shared" si="22"/>
        <v>1274368</v>
      </c>
      <c r="S31" s="599">
        <f t="shared" si="22"/>
        <v>2805156</v>
      </c>
      <c r="T31" s="603">
        <f t="shared" si="12"/>
        <v>0.26329207889714745</v>
      </c>
      <c r="U31" s="604">
        <f t="shared" si="13"/>
        <v>0.18148937171408649</v>
      </c>
      <c r="V31" s="605">
        <f t="shared" si="14"/>
        <v>0</v>
      </c>
    </row>
    <row r="32" spans="1:45" ht="20.149999999999999" customHeight="1" x14ac:dyDescent="0.2">
      <c r="B32" s="537" t="s">
        <v>63</v>
      </c>
      <c r="C32" s="529">
        <f t="shared" ref="C32:S32" si="23">SUM(C8:C17)</f>
        <v>372743</v>
      </c>
      <c r="D32" s="599">
        <f t="shared" si="23"/>
        <v>372743</v>
      </c>
      <c r="E32" s="600">
        <f t="shared" si="23"/>
        <v>372743</v>
      </c>
      <c r="F32" s="600">
        <f t="shared" si="23"/>
        <v>0</v>
      </c>
      <c r="G32" s="601">
        <f t="shared" si="23"/>
        <v>0</v>
      </c>
      <c r="H32" s="529">
        <f t="shared" si="23"/>
        <v>565182</v>
      </c>
      <c r="I32" s="599">
        <f t="shared" si="23"/>
        <v>565182</v>
      </c>
      <c r="J32" s="600">
        <f t="shared" si="23"/>
        <v>295607</v>
      </c>
      <c r="K32" s="600">
        <f t="shared" si="23"/>
        <v>269575</v>
      </c>
      <c r="L32" s="600">
        <f t="shared" si="23"/>
        <v>0</v>
      </c>
      <c r="M32" s="600">
        <f t="shared" si="23"/>
        <v>0</v>
      </c>
      <c r="N32" s="601">
        <f t="shared" si="23"/>
        <v>0</v>
      </c>
      <c r="O32" s="529">
        <f t="shared" si="23"/>
        <v>170828</v>
      </c>
      <c r="P32" s="599">
        <f t="shared" si="23"/>
        <v>170828</v>
      </c>
      <c r="Q32" s="601">
        <f t="shared" si="23"/>
        <v>0</v>
      </c>
      <c r="R32" s="602">
        <f t="shared" si="23"/>
        <v>1416284</v>
      </c>
      <c r="S32" s="599">
        <f t="shared" si="23"/>
        <v>3116400</v>
      </c>
      <c r="T32" s="603">
        <f t="shared" si="12"/>
        <v>0.26318379647019946</v>
      </c>
      <c r="U32" s="604">
        <f t="shared" si="13"/>
        <v>0.18135733538698498</v>
      </c>
      <c r="V32" s="605">
        <f t="shared" si="14"/>
        <v>0</v>
      </c>
    </row>
    <row r="33" spans="1:35" ht="20.149999999999999" customHeight="1" x14ac:dyDescent="0.2">
      <c r="B33" s="537" t="s">
        <v>64</v>
      </c>
      <c r="C33" s="529">
        <f t="shared" ref="C33:S33" si="24">SUM(C8:C18)</f>
        <v>409714</v>
      </c>
      <c r="D33" s="599">
        <f t="shared" si="24"/>
        <v>409714</v>
      </c>
      <c r="E33" s="600">
        <f t="shared" si="24"/>
        <v>409714</v>
      </c>
      <c r="F33" s="600">
        <f t="shared" si="24"/>
        <v>0</v>
      </c>
      <c r="G33" s="601">
        <f t="shared" si="24"/>
        <v>0</v>
      </c>
      <c r="H33" s="529">
        <f t="shared" si="24"/>
        <v>620942</v>
      </c>
      <c r="I33" s="599">
        <f t="shared" si="24"/>
        <v>620942</v>
      </c>
      <c r="J33" s="600">
        <f t="shared" si="24"/>
        <v>324508</v>
      </c>
      <c r="K33" s="600">
        <f t="shared" si="24"/>
        <v>296434</v>
      </c>
      <c r="L33" s="600">
        <f t="shared" si="24"/>
        <v>0</v>
      </c>
      <c r="M33" s="600">
        <f t="shared" si="24"/>
        <v>0</v>
      </c>
      <c r="N33" s="601">
        <f t="shared" si="24"/>
        <v>0</v>
      </c>
      <c r="O33" s="529">
        <f t="shared" si="24"/>
        <v>187513</v>
      </c>
      <c r="P33" s="599">
        <f t="shared" si="24"/>
        <v>187513</v>
      </c>
      <c r="Q33" s="601">
        <f t="shared" si="24"/>
        <v>0</v>
      </c>
      <c r="R33" s="602">
        <f t="shared" si="24"/>
        <v>1557981</v>
      </c>
      <c r="S33" s="599">
        <f t="shared" si="24"/>
        <v>3427316</v>
      </c>
      <c r="T33" s="603">
        <f t="shared" si="12"/>
        <v>0.26297753310213667</v>
      </c>
      <c r="U33" s="604">
        <f t="shared" si="13"/>
        <v>0.18117442336802325</v>
      </c>
      <c r="V33" s="605">
        <f t="shared" si="14"/>
        <v>0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446561</v>
      </c>
      <c r="D34" s="608">
        <f t="shared" si="25"/>
        <v>446561</v>
      </c>
      <c r="E34" s="609">
        <f t="shared" si="25"/>
        <v>446561</v>
      </c>
      <c r="F34" s="609">
        <f t="shared" si="25"/>
        <v>0</v>
      </c>
      <c r="G34" s="610">
        <f t="shared" si="25"/>
        <v>0</v>
      </c>
      <c r="H34" s="607">
        <f t="shared" si="25"/>
        <v>676454</v>
      </c>
      <c r="I34" s="608">
        <f t="shared" si="25"/>
        <v>676454</v>
      </c>
      <c r="J34" s="609">
        <f t="shared" si="25"/>
        <v>353217</v>
      </c>
      <c r="K34" s="609">
        <f t="shared" si="25"/>
        <v>323237</v>
      </c>
      <c r="L34" s="609">
        <f t="shared" si="25"/>
        <v>0</v>
      </c>
      <c r="M34" s="609">
        <f t="shared" si="25"/>
        <v>0</v>
      </c>
      <c r="N34" s="610">
        <f t="shared" si="25"/>
        <v>0</v>
      </c>
      <c r="O34" s="607">
        <f t="shared" si="25"/>
        <v>204115</v>
      </c>
      <c r="P34" s="608">
        <f t="shared" si="25"/>
        <v>204115</v>
      </c>
      <c r="Q34" s="610">
        <f t="shared" si="25"/>
        <v>0</v>
      </c>
      <c r="R34" s="611">
        <f t="shared" si="25"/>
        <v>1699959</v>
      </c>
      <c r="S34" s="608">
        <f t="shared" si="25"/>
        <v>3737926</v>
      </c>
      <c r="T34" s="612">
        <f t="shared" si="12"/>
        <v>0.26268927662373032</v>
      </c>
      <c r="U34" s="613">
        <f t="shared" si="13"/>
        <v>0.18097040979409437</v>
      </c>
      <c r="V34" s="614">
        <f t="shared" si="14"/>
        <v>0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446899</v>
      </c>
      <c r="D35" s="616">
        <f t="shared" si="26"/>
        <v>446898</v>
      </c>
      <c r="E35" s="616">
        <f t="shared" si="26"/>
        <v>446895</v>
      </c>
      <c r="F35" s="616">
        <f t="shared" si="26"/>
        <v>3</v>
      </c>
      <c r="G35" s="617">
        <f t="shared" si="26"/>
        <v>1</v>
      </c>
      <c r="H35" s="618">
        <f t="shared" si="26"/>
        <v>677673</v>
      </c>
      <c r="I35" s="616">
        <f t="shared" si="26"/>
        <v>677668</v>
      </c>
      <c r="J35" s="616">
        <f t="shared" si="26"/>
        <v>354359</v>
      </c>
      <c r="K35" s="616">
        <f t="shared" si="26"/>
        <v>323309</v>
      </c>
      <c r="L35" s="616">
        <f t="shared" si="26"/>
        <v>5</v>
      </c>
      <c r="M35" s="616">
        <f t="shared" si="26"/>
        <v>4</v>
      </c>
      <c r="N35" s="619">
        <f t="shared" si="26"/>
        <v>1</v>
      </c>
      <c r="O35" s="618">
        <f t="shared" si="26"/>
        <v>204599</v>
      </c>
      <c r="P35" s="616">
        <f t="shared" si="26"/>
        <v>204599</v>
      </c>
      <c r="Q35" s="619">
        <f t="shared" si="26"/>
        <v>0</v>
      </c>
      <c r="R35" s="618">
        <f t="shared" si="26"/>
        <v>1698616</v>
      </c>
      <c r="S35" s="616">
        <f t="shared" si="26"/>
        <v>3738843</v>
      </c>
      <c r="T35" s="620">
        <f t="shared" si="12"/>
        <v>0.26309595576634154</v>
      </c>
      <c r="U35" s="620">
        <f t="shared" si="13"/>
        <v>0.18125206113228076</v>
      </c>
      <c r="V35" s="621">
        <f t="shared" si="14"/>
        <v>7.3781897758948638E-6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37242</v>
      </c>
      <c r="D36" s="626">
        <f>E36+F36</f>
        <v>37242</v>
      </c>
      <c r="E36" s="626">
        <f>C36-F36-G36</f>
        <v>37242</v>
      </c>
      <c r="F36" s="626">
        <f>ROUND(AVERAGE(F7:F18),0)</f>
        <v>0</v>
      </c>
      <c r="G36" s="627">
        <f>ROUND(AVERAGE(G7:G18),0)</f>
        <v>0</v>
      </c>
      <c r="H36" s="625">
        <f>L36+I36</f>
        <v>56477</v>
      </c>
      <c r="I36" s="626">
        <f>ROUND(AVERAGE(I7:I18),0)</f>
        <v>56472</v>
      </c>
      <c r="J36" s="626">
        <f>J35/(COUNTIF(J7:J18,"&gt;0"))</f>
        <v>29529.916666666668</v>
      </c>
      <c r="K36" s="626">
        <f>AVERAGE(K7:K18)</f>
        <v>26942.416666666668</v>
      </c>
      <c r="L36" s="626">
        <f>ROUND(L35/(COUNTIF(L7:L18,"&gt;0")),0)</f>
        <v>5</v>
      </c>
      <c r="M36" s="626">
        <f>ROUND(AVERAGE(M7:M18),0)</f>
        <v>0</v>
      </c>
      <c r="N36" s="628">
        <f>L36-M36</f>
        <v>5</v>
      </c>
      <c r="O36" s="625">
        <f>AVERAGE(O7:O18)</f>
        <v>17049.916666666668</v>
      </c>
      <c r="P36" s="626">
        <f>P35/(COUNTIF(P7:P18,"&gt;0"))</f>
        <v>17049.916666666668</v>
      </c>
      <c r="Q36" s="628">
        <f>AVERAGE(Q7:Q18)</f>
        <v>0</v>
      </c>
      <c r="R36" s="625">
        <f>AVERAGE(R7:R18)</f>
        <v>141551.33333333334</v>
      </c>
      <c r="S36" s="626">
        <f>AVERAGE(S7:S18)</f>
        <v>311570.25</v>
      </c>
      <c r="T36" s="629">
        <f t="shared" si="12"/>
        <v>0.26309889933922675</v>
      </c>
      <c r="U36" s="630">
        <f t="shared" si="13"/>
        <v>0.18126570171574469</v>
      </c>
      <c r="V36" s="631">
        <f t="shared" si="14"/>
        <v>8.8531614639587798E-5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447382</v>
      </c>
      <c r="D37" s="635">
        <f t="shared" si="27"/>
        <v>447371</v>
      </c>
      <c r="E37" s="636">
        <f t="shared" si="27"/>
        <v>447350</v>
      </c>
      <c r="F37" s="636">
        <f t="shared" si="27"/>
        <v>21</v>
      </c>
      <c r="G37" s="637">
        <f t="shared" si="27"/>
        <v>11</v>
      </c>
      <c r="H37" s="634">
        <f t="shared" si="27"/>
        <v>680095</v>
      </c>
      <c r="I37" s="635">
        <f t="shared" si="27"/>
        <v>680060</v>
      </c>
      <c r="J37" s="636">
        <f t="shared" si="27"/>
        <v>356601</v>
      </c>
      <c r="K37" s="636">
        <f t="shared" si="27"/>
        <v>323459</v>
      </c>
      <c r="L37" s="636">
        <f t="shared" si="27"/>
        <v>35</v>
      </c>
      <c r="M37" s="636">
        <f t="shared" si="27"/>
        <v>32</v>
      </c>
      <c r="N37" s="637">
        <f t="shared" si="27"/>
        <v>3</v>
      </c>
      <c r="O37" s="634">
        <f t="shared" si="27"/>
        <v>205698</v>
      </c>
      <c r="P37" s="638">
        <f t="shared" si="27"/>
        <v>205681</v>
      </c>
      <c r="Q37" s="637">
        <f t="shared" si="27"/>
        <v>17</v>
      </c>
      <c r="R37" s="634">
        <f t="shared" si="27"/>
        <v>1695303</v>
      </c>
      <c r="S37" s="635">
        <f t="shared" si="27"/>
        <v>3739944</v>
      </c>
      <c r="T37" s="639">
        <f t="shared" si="12"/>
        <v>0.2638950087388508</v>
      </c>
      <c r="U37" s="639">
        <f t="shared" si="13"/>
        <v>0.18184630572008564</v>
      </c>
      <c r="V37" s="640">
        <f t="shared" si="14"/>
        <v>5.1463398495798383E-5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37281.833333333336</v>
      </c>
      <c r="D38" s="643">
        <f t="shared" ref="D38:S38" si="28">D37/(COUNTIF(D8:D16,"&gt;0")+3)</f>
        <v>37280.916666666664</v>
      </c>
      <c r="E38" s="644">
        <f t="shared" si="28"/>
        <v>37279.166666666664</v>
      </c>
      <c r="F38" s="644">
        <f t="shared" si="28"/>
        <v>7</v>
      </c>
      <c r="G38" s="645">
        <f t="shared" si="28"/>
        <v>3.6666666666666665</v>
      </c>
      <c r="H38" s="642">
        <f t="shared" si="28"/>
        <v>56674.583333333336</v>
      </c>
      <c r="I38" s="643">
        <f t="shared" si="28"/>
        <v>56671.666666666664</v>
      </c>
      <c r="J38" s="644">
        <f t="shared" si="28"/>
        <v>29716.75</v>
      </c>
      <c r="K38" s="644">
        <f t="shared" si="28"/>
        <v>26954.916666666668</v>
      </c>
      <c r="L38" s="644">
        <f t="shared" si="28"/>
        <v>11.666666666666666</v>
      </c>
      <c r="M38" s="644">
        <f t="shared" si="28"/>
        <v>10.666666666666666</v>
      </c>
      <c r="N38" s="645">
        <f t="shared" si="28"/>
        <v>1</v>
      </c>
      <c r="O38" s="642">
        <f t="shared" si="28"/>
        <v>17141.5</v>
      </c>
      <c r="P38" s="646">
        <f t="shared" si="28"/>
        <v>17140.083333333332</v>
      </c>
      <c r="Q38" s="645">
        <f t="shared" si="28"/>
        <v>5.666666666666667</v>
      </c>
      <c r="R38" s="642">
        <f t="shared" si="28"/>
        <v>141275.25</v>
      </c>
      <c r="S38" s="643">
        <f t="shared" si="28"/>
        <v>311662</v>
      </c>
      <c r="T38" s="647">
        <f t="shared" si="12"/>
        <v>0.26389500873885086</v>
      </c>
      <c r="U38" s="647">
        <f t="shared" si="13"/>
        <v>0.18184630572008564</v>
      </c>
      <c r="V38" s="648">
        <f t="shared" si="14"/>
        <v>2.058535939831935E-4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L21" sqref="L21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2857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SUM(令和２年度!C17:C19)</f>
        <v>111030</v>
      </c>
      <c r="D2" s="480">
        <f>SUM(令和２年度!D17:D19)</f>
        <v>111030</v>
      </c>
      <c r="E2" s="480">
        <f>SUM(令和２年度!E17:E19)</f>
        <v>111030</v>
      </c>
      <c r="F2" s="480">
        <f>SUM(令和２年度!F17:F19)</f>
        <v>0</v>
      </c>
      <c r="G2" s="480">
        <f>SUM(令和２年度!G17:G19)</f>
        <v>0</v>
      </c>
      <c r="H2" s="480">
        <f>SUM(令和２年度!H17:H19)</f>
        <v>167348</v>
      </c>
      <c r="I2" s="480">
        <f>SUM(令和２年度!I17:I19)</f>
        <v>167348</v>
      </c>
      <c r="J2" s="480">
        <f>SUM(令和２年度!J17:J19)</f>
        <v>86803</v>
      </c>
      <c r="K2" s="480">
        <f>SUM(令和２年度!K17:K19)</f>
        <v>80545</v>
      </c>
      <c r="L2" s="480">
        <f>SUM(令和２年度!L17:L19)</f>
        <v>0</v>
      </c>
      <c r="M2" s="480">
        <f>SUM(令和２年度!M17:M19)</f>
        <v>0</v>
      </c>
      <c r="N2" s="480">
        <f>SUM(令和２年度!N17:N19)</f>
        <v>0</v>
      </c>
      <c r="O2" s="480">
        <f>SUM(令和２年度!O17:O19)</f>
        <v>50068</v>
      </c>
      <c r="P2" s="480">
        <f>SUM(令和２年度!P17:P19)</f>
        <v>50068</v>
      </c>
      <c r="Q2" s="480">
        <f>SUM(令和２年度!Q17:Q19)</f>
        <v>0</v>
      </c>
      <c r="R2" s="480">
        <f>SUM(令和２年度!R17:R19)</f>
        <v>425591</v>
      </c>
      <c r="S2" s="480">
        <f>SUM(令和２年度!S17:S19)</f>
        <v>932770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2856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873">
        <v>36847</v>
      </c>
      <c r="D7" s="874">
        <v>36847</v>
      </c>
      <c r="E7" s="874">
        <v>36847</v>
      </c>
      <c r="F7" s="875">
        <v>0</v>
      </c>
      <c r="G7" s="876">
        <v>0</v>
      </c>
      <c r="H7" s="877">
        <v>55512</v>
      </c>
      <c r="I7" s="874">
        <v>55512</v>
      </c>
      <c r="J7" s="875">
        <v>28709</v>
      </c>
      <c r="K7" s="878">
        <v>26803</v>
      </c>
      <c r="L7" s="874">
        <v>0</v>
      </c>
      <c r="M7" s="875">
        <v>0</v>
      </c>
      <c r="N7" s="879">
        <v>0</v>
      </c>
      <c r="O7" s="873">
        <v>16602</v>
      </c>
      <c r="P7" s="874">
        <v>16602</v>
      </c>
      <c r="Q7" s="879">
        <v>0</v>
      </c>
      <c r="R7" s="880">
        <v>141978</v>
      </c>
      <c r="S7" s="881">
        <v>310610</v>
      </c>
      <c r="T7" s="882">
        <v>0.25952612376565382</v>
      </c>
      <c r="U7" s="883">
        <v>0.17871929429187727</v>
      </c>
      <c r="V7" s="884">
        <v>0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37183</v>
      </c>
      <c r="D8" s="526">
        <f t="shared" ref="D8:D19" si="0">E8+F8</f>
        <v>37183</v>
      </c>
      <c r="E8" s="526">
        <f t="shared" ref="E8:E18" si="1">C8-G8-F8</f>
        <v>37183</v>
      </c>
      <c r="F8" s="740">
        <v>0</v>
      </c>
      <c r="G8" s="741">
        <v>0</v>
      </c>
      <c r="H8" s="529">
        <f t="shared" ref="H8:H19" si="2">I8+L8</f>
        <v>56047</v>
      </c>
      <c r="I8" s="527">
        <v>56047</v>
      </c>
      <c r="J8" s="759">
        <f t="shared" ref="J8:J19" si="3">I8-K8</f>
        <v>28967</v>
      </c>
      <c r="K8" s="742">
        <v>27080</v>
      </c>
      <c r="L8" s="526">
        <f t="shared" ref="L8:L19" si="4">M8+N8</f>
        <v>0</v>
      </c>
      <c r="M8" s="740">
        <v>0</v>
      </c>
      <c r="N8" s="741">
        <v>0</v>
      </c>
      <c r="O8" s="739">
        <v>16856</v>
      </c>
      <c r="P8" s="526">
        <f t="shared" ref="P8:P19" si="5">O8-Q8</f>
        <v>16856</v>
      </c>
      <c r="Q8" s="743">
        <v>0</v>
      </c>
      <c r="R8" s="885">
        <v>142210</v>
      </c>
      <c r="S8" s="886">
        <v>310455</v>
      </c>
      <c r="T8" s="534">
        <f t="shared" ref="T8:T21" si="6">C8/R8</f>
        <v>0.26146543843611558</v>
      </c>
      <c r="U8" s="534">
        <f t="shared" ref="U8:U21" si="7">H8/S8</f>
        <v>0.18053180009985345</v>
      </c>
      <c r="V8" s="535">
        <f t="shared" ref="V8:V21" si="8">L8/H8</f>
        <v>0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37170</v>
      </c>
      <c r="D9" s="526">
        <f t="shared" si="0"/>
        <v>37170</v>
      </c>
      <c r="E9" s="526">
        <f t="shared" si="1"/>
        <v>37170</v>
      </c>
      <c r="F9" s="740">
        <v>0</v>
      </c>
      <c r="G9" s="741">
        <v>0</v>
      </c>
      <c r="H9" s="529">
        <f t="shared" si="2"/>
        <v>56006</v>
      </c>
      <c r="I9" s="527">
        <v>56006</v>
      </c>
      <c r="J9" s="759">
        <f t="shared" si="3"/>
        <v>28908</v>
      </c>
      <c r="K9" s="742">
        <v>27098</v>
      </c>
      <c r="L9" s="526">
        <f t="shared" si="4"/>
        <v>0</v>
      </c>
      <c r="M9" s="740">
        <v>0</v>
      </c>
      <c r="N9" s="741">
        <v>0</v>
      </c>
      <c r="O9" s="739">
        <v>16866</v>
      </c>
      <c r="P9" s="526">
        <f t="shared" si="5"/>
        <v>16866</v>
      </c>
      <c r="Q9" s="743">
        <v>0</v>
      </c>
      <c r="R9" s="746">
        <v>142355</v>
      </c>
      <c r="S9" s="747">
        <v>310416</v>
      </c>
      <c r="T9" s="534">
        <f t="shared" si="6"/>
        <v>0.26110779389554284</v>
      </c>
      <c r="U9" s="534">
        <f t="shared" si="7"/>
        <v>0.18042240090716974</v>
      </c>
      <c r="V9" s="535">
        <f t="shared" si="8"/>
        <v>0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37071</v>
      </c>
      <c r="D10" s="526">
        <f t="shared" si="0"/>
        <v>37071</v>
      </c>
      <c r="E10" s="526">
        <f t="shared" si="1"/>
        <v>37071</v>
      </c>
      <c r="F10" s="740">
        <v>0</v>
      </c>
      <c r="G10" s="741">
        <v>0</v>
      </c>
      <c r="H10" s="529">
        <f t="shared" si="2"/>
        <v>55799</v>
      </c>
      <c r="I10" s="527">
        <v>55799</v>
      </c>
      <c r="J10" s="759">
        <f t="shared" si="3"/>
        <v>28738</v>
      </c>
      <c r="K10" s="742">
        <v>27061</v>
      </c>
      <c r="L10" s="526">
        <f t="shared" si="4"/>
        <v>0</v>
      </c>
      <c r="M10" s="740">
        <v>0</v>
      </c>
      <c r="N10" s="741">
        <v>0</v>
      </c>
      <c r="O10" s="739">
        <v>16782</v>
      </c>
      <c r="P10" s="526">
        <f t="shared" si="5"/>
        <v>16782</v>
      </c>
      <c r="Q10" s="743">
        <v>0</v>
      </c>
      <c r="R10" s="748">
        <v>142427</v>
      </c>
      <c r="S10" s="740">
        <v>310319</v>
      </c>
      <c r="T10" s="534">
        <f t="shared" si="6"/>
        <v>0.26028070520336732</v>
      </c>
      <c r="U10" s="534">
        <f t="shared" si="7"/>
        <v>0.17981174211053785</v>
      </c>
      <c r="V10" s="535">
        <f t="shared" si="8"/>
        <v>0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36904</v>
      </c>
      <c r="D11" s="526">
        <f>E11+F11</f>
        <v>36904</v>
      </c>
      <c r="E11" s="526">
        <f>C11-G11-F11</f>
        <v>36904</v>
      </c>
      <c r="F11" s="740">
        <v>0</v>
      </c>
      <c r="G11" s="741">
        <v>0</v>
      </c>
      <c r="H11" s="529">
        <f>I11+L11</f>
        <v>55494</v>
      </c>
      <c r="I11" s="527">
        <v>55494</v>
      </c>
      <c r="J11" s="759">
        <f t="shared" si="3"/>
        <v>28537</v>
      </c>
      <c r="K11" s="742">
        <v>26957</v>
      </c>
      <c r="L11" s="526">
        <f t="shared" si="4"/>
        <v>0</v>
      </c>
      <c r="M11" s="740">
        <v>0</v>
      </c>
      <c r="N11" s="741">
        <v>0</v>
      </c>
      <c r="O11" s="739">
        <v>16705</v>
      </c>
      <c r="P11" s="526">
        <f t="shared" si="5"/>
        <v>16705</v>
      </c>
      <c r="Q11" s="870">
        <v>0</v>
      </c>
      <c r="R11" s="748">
        <v>142462</v>
      </c>
      <c r="S11" s="740">
        <v>310259</v>
      </c>
      <c r="T11" s="534">
        <f t="shared" si="6"/>
        <v>0.25904451713439375</v>
      </c>
      <c r="U11" s="534">
        <f t="shared" si="7"/>
        <v>0.17886346568512115</v>
      </c>
      <c r="V11" s="535">
        <f t="shared" si="8"/>
        <v>0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36770</v>
      </c>
      <c r="D12" s="526">
        <f t="shared" si="0"/>
        <v>36770</v>
      </c>
      <c r="E12" s="526">
        <f t="shared" si="1"/>
        <v>36770</v>
      </c>
      <c r="F12" s="740">
        <v>0</v>
      </c>
      <c r="G12" s="741">
        <v>0</v>
      </c>
      <c r="H12" s="529">
        <f t="shared" si="2"/>
        <v>55227</v>
      </c>
      <c r="I12" s="527">
        <v>55227</v>
      </c>
      <c r="J12" s="759">
        <f t="shared" si="3"/>
        <v>28343</v>
      </c>
      <c r="K12" s="742">
        <v>26884</v>
      </c>
      <c r="L12" s="526">
        <f t="shared" si="4"/>
        <v>0</v>
      </c>
      <c r="M12" s="740">
        <v>0</v>
      </c>
      <c r="N12" s="741">
        <v>0</v>
      </c>
      <c r="O12" s="739">
        <v>16610</v>
      </c>
      <c r="P12" s="526">
        <f t="shared" si="5"/>
        <v>16610</v>
      </c>
      <c r="Q12" s="743">
        <v>0</v>
      </c>
      <c r="R12" s="748">
        <v>142540</v>
      </c>
      <c r="S12" s="740">
        <v>310283</v>
      </c>
      <c r="T12" s="534">
        <f t="shared" si="6"/>
        <v>0.25796267714325805</v>
      </c>
      <c r="U12" s="534">
        <f t="shared" si="7"/>
        <v>0.1779891260558909</v>
      </c>
      <c r="V12" s="535">
        <f t="shared" si="8"/>
        <v>0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36691</v>
      </c>
      <c r="D13" s="526">
        <f t="shared" si="0"/>
        <v>36691</v>
      </c>
      <c r="E13" s="526">
        <f t="shared" si="1"/>
        <v>36691</v>
      </c>
      <c r="F13" s="740">
        <v>0</v>
      </c>
      <c r="G13" s="741">
        <v>0</v>
      </c>
      <c r="H13" s="529">
        <f t="shared" si="2"/>
        <v>54980</v>
      </c>
      <c r="I13" s="527">
        <v>54980</v>
      </c>
      <c r="J13" s="759">
        <f t="shared" si="3"/>
        <v>28221</v>
      </c>
      <c r="K13" s="742">
        <v>26759</v>
      </c>
      <c r="L13" s="526">
        <f t="shared" si="4"/>
        <v>0</v>
      </c>
      <c r="M13" s="740">
        <v>0</v>
      </c>
      <c r="N13" s="741">
        <v>0</v>
      </c>
      <c r="O13" s="739">
        <v>16529</v>
      </c>
      <c r="P13" s="526">
        <f t="shared" si="5"/>
        <v>16529</v>
      </c>
      <c r="Q13" s="743">
        <v>0</v>
      </c>
      <c r="R13" s="748">
        <v>142498</v>
      </c>
      <c r="S13" s="740">
        <v>310110</v>
      </c>
      <c r="T13" s="534">
        <f t="shared" si="6"/>
        <v>0.25748431556934132</v>
      </c>
      <c r="U13" s="534">
        <f t="shared" si="7"/>
        <v>0.17729192867047178</v>
      </c>
      <c r="V13" s="535">
        <f t="shared" si="8"/>
        <v>0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19.5" customHeight="1" x14ac:dyDescent="0.2">
      <c r="A14" s="550" t="s">
        <v>275</v>
      </c>
      <c r="B14" s="536" t="s">
        <v>46</v>
      </c>
      <c r="C14" s="739">
        <v>36635</v>
      </c>
      <c r="D14" s="526">
        <f t="shared" si="0"/>
        <v>36635</v>
      </c>
      <c r="E14" s="526">
        <f t="shared" si="1"/>
        <v>36635</v>
      </c>
      <c r="F14" s="740">
        <v>0</v>
      </c>
      <c r="G14" s="741">
        <v>0</v>
      </c>
      <c r="H14" s="529">
        <f t="shared" si="2"/>
        <v>54867</v>
      </c>
      <c r="I14" s="527">
        <v>54867</v>
      </c>
      <c r="J14" s="759">
        <f t="shared" si="3"/>
        <v>28200</v>
      </c>
      <c r="K14" s="742">
        <v>26667</v>
      </c>
      <c r="L14" s="526">
        <f t="shared" si="4"/>
        <v>0</v>
      </c>
      <c r="M14" s="740">
        <v>0</v>
      </c>
      <c r="N14" s="741">
        <v>0</v>
      </c>
      <c r="O14" s="739">
        <v>16515</v>
      </c>
      <c r="P14" s="526">
        <f t="shared" si="5"/>
        <v>16515</v>
      </c>
      <c r="Q14" s="743">
        <v>0</v>
      </c>
      <c r="R14" s="748">
        <v>142532</v>
      </c>
      <c r="S14" s="740">
        <v>310085</v>
      </c>
      <c r="T14" s="534">
        <f t="shared" si="6"/>
        <v>0.25703000028063872</v>
      </c>
      <c r="U14" s="534">
        <f t="shared" si="7"/>
        <v>0.17694180627892353</v>
      </c>
      <c r="V14" s="535">
        <f t="shared" si="8"/>
        <v>0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19.5" customHeight="1" x14ac:dyDescent="0.2">
      <c r="A15" s="550" t="s">
        <v>2813</v>
      </c>
      <c r="B15" s="537" t="s">
        <v>47</v>
      </c>
      <c r="C15" s="739">
        <v>36487</v>
      </c>
      <c r="D15" s="526">
        <f t="shared" si="0"/>
        <v>36487</v>
      </c>
      <c r="E15" s="526">
        <f t="shared" si="1"/>
        <v>36487</v>
      </c>
      <c r="F15" s="740">
        <v>0</v>
      </c>
      <c r="G15" s="741">
        <v>0</v>
      </c>
      <c r="H15" s="529">
        <f t="shared" si="2"/>
        <v>54596</v>
      </c>
      <c r="I15" s="527">
        <v>54596</v>
      </c>
      <c r="J15" s="759">
        <f t="shared" si="3"/>
        <v>28047</v>
      </c>
      <c r="K15" s="742">
        <v>26549</v>
      </c>
      <c r="L15" s="526">
        <f t="shared" si="4"/>
        <v>0</v>
      </c>
      <c r="M15" s="740">
        <v>0</v>
      </c>
      <c r="N15" s="741">
        <v>0</v>
      </c>
      <c r="O15" s="739">
        <v>16443</v>
      </c>
      <c r="P15" s="526">
        <f t="shared" si="5"/>
        <v>16443</v>
      </c>
      <c r="Q15" s="743">
        <v>0</v>
      </c>
      <c r="R15" s="744">
        <v>142563</v>
      </c>
      <c r="S15" s="745">
        <v>310037</v>
      </c>
      <c r="T15" s="534">
        <f t="shared" si="6"/>
        <v>0.25593597216669123</v>
      </c>
      <c r="U15" s="534">
        <f t="shared" si="7"/>
        <v>0.17609511122865981</v>
      </c>
      <c r="V15" s="535">
        <f t="shared" si="8"/>
        <v>0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36383</v>
      </c>
      <c r="D16" s="526">
        <f t="shared" si="0"/>
        <v>36383</v>
      </c>
      <c r="E16" s="526">
        <f t="shared" si="1"/>
        <v>36383</v>
      </c>
      <c r="F16" s="740">
        <v>0</v>
      </c>
      <c r="G16" s="741">
        <v>0</v>
      </c>
      <c r="H16" s="529">
        <f t="shared" si="2"/>
        <v>54398</v>
      </c>
      <c r="I16" s="527">
        <v>54398</v>
      </c>
      <c r="J16" s="759">
        <f t="shared" si="3"/>
        <v>27893</v>
      </c>
      <c r="K16" s="742">
        <v>26505</v>
      </c>
      <c r="L16" s="526">
        <f t="shared" si="4"/>
        <v>0</v>
      </c>
      <c r="M16" s="740">
        <v>0</v>
      </c>
      <c r="N16" s="741">
        <v>0</v>
      </c>
      <c r="O16" s="739">
        <v>16362</v>
      </c>
      <c r="P16" s="526">
        <f t="shared" si="5"/>
        <v>16362</v>
      </c>
      <c r="Q16" s="743">
        <v>0</v>
      </c>
      <c r="R16" s="744">
        <v>142498</v>
      </c>
      <c r="S16" s="749">
        <v>309825</v>
      </c>
      <c r="T16" s="554">
        <f t="shared" si="6"/>
        <v>0.25532288172465578</v>
      </c>
      <c r="U16" s="534">
        <f t="shared" si="7"/>
        <v>0.17557653514080529</v>
      </c>
      <c r="V16" s="535">
        <f t="shared" si="8"/>
        <v>0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36293</v>
      </c>
      <c r="D17" s="526">
        <f t="shared" si="0"/>
        <v>36293</v>
      </c>
      <c r="E17" s="526">
        <f t="shared" si="1"/>
        <v>36293</v>
      </c>
      <c r="F17" s="740">
        <v>0</v>
      </c>
      <c r="G17" s="754">
        <v>0</v>
      </c>
      <c r="H17" s="529">
        <f t="shared" si="2"/>
        <v>54205</v>
      </c>
      <c r="I17" s="527">
        <v>54205</v>
      </c>
      <c r="J17" s="759">
        <f t="shared" si="3"/>
        <v>27856</v>
      </c>
      <c r="K17" s="742">
        <v>26349</v>
      </c>
      <c r="L17" s="526">
        <f t="shared" si="4"/>
        <v>0</v>
      </c>
      <c r="M17" s="740">
        <v>0</v>
      </c>
      <c r="N17" s="741">
        <v>0</v>
      </c>
      <c r="O17" s="739">
        <v>16261</v>
      </c>
      <c r="P17" s="526">
        <f t="shared" si="5"/>
        <v>16261</v>
      </c>
      <c r="Q17" s="743">
        <v>0</v>
      </c>
      <c r="R17" s="750">
        <v>142522</v>
      </c>
      <c r="S17" s="751">
        <v>309736</v>
      </c>
      <c r="T17" s="533">
        <f t="shared" si="6"/>
        <v>0.25464840515850184</v>
      </c>
      <c r="U17" s="534">
        <f t="shared" si="7"/>
        <v>0.1750038742671178</v>
      </c>
      <c r="V17" s="535">
        <f t="shared" si="8"/>
        <v>0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36155</v>
      </c>
      <c r="D18" s="526">
        <f t="shared" si="0"/>
        <v>36155</v>
      </c>
      <c r="E18" s="526">
        <f t="shared" si="1"/>
        <v>36155</v>
      </c>
      <c r="F18" s="740">
        <v>0</v>
      </c>
      <c r="G18" s="754">
        <v>0</v>
      </c>
      <c r="H18" s="529">
        <f t="shared" si="2"/>
        <v>53963</v>
      </c>
      <c r="I18" s="527">
        <v>53963</v>
      </c>
      <c r="J18" s="759">
        <f t="shared" si="3"/>
        <v>27673</v>
      </c>
      <c r="K18" s="742">
        <v>26290</v>
      </c>
      <c r="L18" s="526">
        <f t="shared" si="4"/>
        <v>0</v>
      </c>
      <c r="M18" s="740">
        <v>0</v>
      </c>
      <c r="N18" s="741">
        <v>0</v>
      </c>
      <c r="O18" s="739">
        <v>16156</v>
      </c>
      <c r="P18" s="526">
        <f t="shared" si="5"/>
        <v>16156</v>
      </c>
      <c r="Q18" s="743">
        <v>0</v>
      </c>
      <c r="R18" s="765">
        <v>142477</v>
      </c>
      <c r="S18" s="766">
        <v>309534</v>
      </c>
      <c r="T18" s="533">
        <f t="shared" si="6"/>
        <v>0.25376025604132596</v>
      </c>
      <c r="U18" s="534">
        <f t="shared" si="7"/>
        <v>0.17433626031389121</v>
      </c>
      <c r="V18" s="535">
        <f t="shared" si="8"/>
        <v>0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889" t="s">
        <v>51</v>
      </c>
      <c r="C19" s="887">
        <v>36068</v>
      </c>
      <c r="D19" s="526">
        <f t="shared" si="0"/>
        <v>36068</v>
      </c>
      <c r="E19" s="526">
        <f>C19-G19-F19</f>
        <v>36068</v>
      </c>
      <c r="F19" s="740">
        <v>0</v>
      </c>
      <c r="G19" s="754">
        <v>0</v>
      </c>
      <c r="H19" s="529">
        <f t="shared" si="2"/>
        <v>53778</v>
      </c>
      <c r="I19" s="527">
        <v>53778</v>
      </c>
      <c r="J19" s="759">
        <f t="shared" si="3"/>
        <v>27628</v>
      </c>
      <c r="K19" s="742">
        <v>26150</v>
      </c>
      <c r="L19" s="526">
        <f t="shared" si="4"/>
        <v>0</v>
      </c>
      <c r="M19" s="740">
        <v>0</v>
      </c>
      <c r="N19" s="741">
        <v>0</v>
      </c>
      <c r="O19" s="739">
        <v>16106</v>
      </c>
      <c r="P19" s="526">
        <f t="shared" si="5"/>
        <v>16106</v>
      </c>
      <c r="Q19" s="743">
        <v>0</v>
      </c>
      <c r="R19" s="756">
        <v>142974</v>
      </c>
      <c r="S19" s="757">
        <v>309338</v>
      </c>
      <c r="T19" s="533">
        <f t="shared" si="6"/>
        <v>0.25226964343167291</v>
      </c>
      <c r="U19" s="534">
        <f t="shared" si="7"/>
        <v>0.17384867038643814</v>
      </c>
      <c r="V19" s="535">
        <f t="shared" si="8"/>
        <v>0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890" t="s">
        <v>52</v>
      </c>
      <c r="C20" s="888">
        <f t="shared" ref="C20:S20" si="9">SUM(C8:C19)</f>
        <v>439810</v>
      </c>
      <c r="D20" s="559">
        <f t="shared" si="9"/>
        <v>439810</v>
      </c>
      <c r="E20" s="559">
        <f t="shared" si="9"/>
        <v>439810</v>
      </c>
      <c r="F20" s="559">
        <f t="shared" si="9"/>
        <v>0</v>
      </c>
      <c r="G20" s="575">
        <f t="shared" si="9"/>
        <v>0</v>
      </c>
      <c r="H20" s="558">
        <f t="shared" si="9"/>
        <v>659360</v>
      </c>
      <c r="I20" s="559">
        <f t="shared" si="9"/>
        <v>659360</v>
      </c>
      <c r="J20" s="559">
        <f t="shared" si="9"/>
        <v>339011</v>
      </c>
      <c r="K20" s="559">
        <f t="shared" si="9"/>
        <v>320349</v>
      </c>
      <c r="L20" s="559">
        <f t="shared" si="9"/>
        <v>0</v>
      </c>
      <c r="M20" s="559">
        <f t="shared" si="9"/>
        <v>0</v>
      </c>
      <c r="N20" s="560">
        <f t="shared" si="9"/>
        <v>0</v>
      </c>
      <c r="O20" s="558">
        <f t="shared" si="9"/>
        <v>198191</v>
      </c>
      <c r="P20" s="559">
        <f t="shared" si="9"/>
        <v>198191</v>
      </c>
      <c r="Q20" s="560">
        <f t="shared" si="9"/>
        <v>0</v>
      </c>
      <c r="R20" s="561">
        <f t="shared" si="9"/>
        <v>1710058</v>
      </c>
      <c r="S20" s="562">
        <f t="shared" si="9"/>
        <v>3720397</v>
      </c>
      <c r="T20" s="563">
        <f t="shared" si="6"/>
        <v>0.25719010700221862</v>
      </c>
      <c r="U20" s="564">
        <f t="shared" si="7"/>
        <v>0.17722839793710188</v>
      </c>
      <c r="V20" s="565">
        <f t="shared" si="8"/>
        <v>0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890" t="s">
        <v>53</v>
      </c>
      <c r="C21" s="560">
        <f>AVERAGE(C8:C19)</f>
        <v>36650.833333333336</v>
      </c>
      <c r="D21" s="562">
        <f>D20/(COUNTIF(D8:D19,"&gt;0"))</f>
        <v>36650.833333333336</v>
      </c>
      <c r="E21" s="560">
        <f>E20/(COUNTIF(E8:E19,"&gt;0"))</f>
        <v>36650.833333333336</v>
      </c>
      <c r="F21" s="560">
        <f t="shared" ref="F21:S21" si="10">AVERAGE(F8:F19)</f>
        <v>0</v>
      </c>
      <c r="G21" s="575">
        <f t="shared" si="10"/>
        <v>0</v>
      </c>
      <c r="H21" s="574">
        <f>H20/(COUNTIF(H8:H19,"&gt;0"))</f>
        <v>54946.666666666664</v>
      </c>
      <c r="I21" s="562">
        <f t="shared" si="10"/>
        <v>54946.666666666664</v>
      </c>
      <c r="J21" s="562">
        <f>J20/(COUNTIF(J8:J19,"&gt;0"))</f>
        <v>28250.916666666668</v>
      </c>
      <c r="K21" s="562">
        <f t="shared" si="10"/>
        <v>26695.75</v>
      </c>
      <c r="L21" s="560" t="e">
        <f>L20/(COUNTIF(L8:L19,"&gt;0"))</f>
        <v>#DIV/0!</v>
      </c>
      <c r="M21" s="560">
        <f t="shared" si="10"/>
        <v>0</v>
      </c>
      <c r="N21" s="575">
        <f t="shared" si="10"/>
        <v>0</v>
      </c>
      <c r="O21" s="574">
        <f t="shared" si="10"/>
        <v>16515.916666666668</v>
      </c>
      <c r="P21" s="562">
        <f>P20/(COUNTIF(P8:P19,"&gt;0"))</f>
        <v>16515.916666666668</v>
      </c>
      <c r="Q21" s="562">
        <f t="shared" si="10"/>
        <v>0</v>
      </c>
      <c r="R21" s="574">
        <f t="shared" si="10"/>
        <v>142504.83333333334</v>
      </c>
      <c r="S21" s="560">
        <f t="shared" si="10"/>
        <v>310033.08333333331</v>
      </c>
      <c r="T21" s="563">
        <f t="shared" si="6"/>
        <v>0.25719010700221862</v>
      </c>
      <c r="U21" s="564">
        <f t="shared" si="7"/>
        <v>0.17722839793710188</v>
      </c>
      <c r="V21" s="565" t="e">
        <f t="shared" si="8"/>
        <v>#DIV/0!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891"/>
      <c r="C22" s="581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37183</v>
      </c>
      <c r="D23" s="526">
        <f t="shared" si="11"/>
        <v>37183</v>
      </c>
      <c r="E23" s="596">
        <f t="shared" si="11"/>
        <v>37183</v>
      </c>
      <c r="F23" s="596">
        <f t="shared" si="11"/>
        <v>0</v>
      </c>
      <c r="G23" s="597">
        <f t="shared" si="11"/>
        <v>0</v>
      </c>
      <c r="H23" s="595">
        <f t="shared" si="11"/>
        <v>56047</v>
      </c>
      <c r="I23" s="526">
        <f t="shared" si="11"/>
        <v>56047</v>
      </c>
      <c r="J23" s="596">
        <f t="shared" si="11"/>
        <v>28967</v>
      </c>
      <c r="K23" s="596">
        <f t="shared" si="11"/>
        <v>27080</v>
      </c>
      <c r="L23" s="596">
        <f t="shared" si="11"/>
        <v>0</v>
      </c>
      <c r="M23" s="596">
        <f t="shared" si="11"/>
        <v>0</v>
      </c>
      <c r="N23" s="597">
        <f t="shared" si="11"/>
        <v>0</v>
      </c>
      <c r="O23" s="595">
        <f t="shared" si="11"/>
        <v>16856</v>
      </c>
      <c r="P23" s="526">
        <f t="shared" si="11"/>
        <v>16856</v>
      </c>
      <c r="Q23" s="597">
        <f t="shared" si="11"/>
        <v>0</v>
      </c>
      <c r="R23" s="598">
        <f t="shared" si="11"/>
        <v>142210</v>
      </c>
      <c r="S23" s="526">
        <f t="shared" si="11"/>
        <v>310455</v>
      </c>
      <c r="T23" s="533">
        <f t="shared" ref="T23:T38" si="12">C23/R23</f>
        <v>0.26146543843611558</v>
      </c>
      <c r="U23" s="534">
        <f t="shared" ref="U23:U38" si="13">H23/S23</f>
        <v>0.18053180009985345</v>
      </c>
      <c r="V23" s="535">
        <f t="shared" ref="V23:V38" si="14">L23/H23</f>
        <v>0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74353</v>
      </c>
      <c r="D24" s="599">
        <f t="shared" si="15"/>
        <v>74353</v>
      </c>
      <c r="E24" s="600">
        <f t="shared" si="15"/>
        <v>74353</v>
      </c>
      <c r="F24" s="600">
        <f t="shared" si="15"/>
        <v>0</v>
      </c>
      <c r="G24" s="601">
        <f t="shared" si="15"/>
        <v>0</v>
      </c>
      <c r="H24" s="529">
        <f t="shared" si="15"/>
        <v>112053</v>
      </c>
      <c r="I24" s="599">
        <f t="shared" si="15"/>
        <v>112053</v>
      </c>
      <c r="J24" s="600">
        <f t="shared" si="15"/>
        <v>57875</v>
      </c>
      <c r="K24" s="600">
        <f t="shared" si="15"/>
        <v>54178</v>
      </c>
      <c r="L24" s="600">
        <f t="shared" si="15"/>
        <v>0</v>
      </c>
      <c r="M24" s="600">
        <f t="shared" si="15"/>
        <v>0</v>
      </c>
      <c r="N24" s="601">
        <f t="shared" si="15"/>
        <v>0</v>
      </c>
      <c r="O24" s="529">
        <f t="shared" si="15"/>
        <v>33722</v>
      </c>
      <c r="P24" s="599">
        <f t="shared" si="15"/>
        <v>33722</v>
      </c>
      <c r="Q24" s="601">
        <f t="shared" si="15"/>
        <v>0</v>
      </c>
      <c r="R24" s="602">
        <f t="shared" si="15"/>
        <v>284565</v>
      </c>
      <c r="S24" s="599">
        <f t="shared" si="15"/>
        <v>620871</v>
      </c>
      <c r="T24" s="603">
        <f t="shared" si="12"/>
        <v>0.26128652504700156</v>
      </c>
      <c r="U24" s="604">
        <f t="shared" si="13"/>
        <v>0.1804771039394657</v>
      </c>
      <c r="V24" s="605">
        <f t="shared" si="14"/>
        <v>0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111424</v>
      </c>
      <c r="D25" s="599">
        <f t="shared" si="16"/>
        <v>111424</v>
      </c>
      <c r="E25" s="600">
        <f t="shared" si="16"/>
        <v>111424</v>
      </c>
      <c r="F25" s="600">
        <f t="shared" si="16"/>
        <v>0</v>
      </c>
      <c r="G25" s="601">
        <f t="shared" si="16"/>
        <v>0</v>
      </c>
      <c r="H25" s="529">
        <f t="shared" si="16"/>
        <v>167852</v>
      </c>
      <c r="I25" s="599">
        <f t="shared" si="16"/>
        <v>167852</v>
      </c>
      <c r="J25" s="600">
        <f t="shared" si="16"/>
        <v>86613</v>
      </c>
      <c r="K25" s="600">
        <f t="shared" si="16"/>
        <v>81239</v>
      </c>
      <c r="L25" s="600">
        <f t="shared" si="16"/>
        <v>0</v>
      </c>
      <c r="M25" s="600">
        <f t="shared" si="16"/>
        <v>0</v>
      </c>
      <c r="N25" s="601">
        <f t="shared" si="16"/>
        <v>0</v>
      </c>
      <c r="O25" s="529">
        <f t="shared" si="16"/>
        <v>50504</v>
      </c>
      <c r="P25" s="599">
        <f t="shared" si="16"/>
        <v>50504</v>
      </c>
      <c r="Q25" s="601">
        <f t="shared" si="16"/>
        <v>0</v>
      </c>
      <c r="R25" s="602">
        <f t="shared" si="16"/>
        <v>426992</v>
      </c>
      <c r="S25" s="599">
        <f t="shared" si="16"/>
        <v>931190</v>
      </c>
      <c r="T25" s="603">
        <f t="shared" si="12"/>
        <v>0.26095102484355681</v>
      </c>
      <c r="U25" s="604">
        <f t="shared" si="13"/>
        <v>0.18025537215820617</v>
      </c>
      <c r="V25" s="605">
        <f t="shared" si="14"/>
        <v>0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148328</v>
      </c>
      <c r="D26" s="599">
        <f t="shared" si="17"/>
        <v>148328</v>
      </c>
      <c r="E26" s="600">
        <f t="shared" si="17"/>
        <v>148328</v>
      </c>
      <c r="F26" s="600">
        <f t="shared" si="17"/>
        <v>0</v>
      </c>
      <c r="G26" s="601">
        <f>SUM(G8:G11)</f>
        <v>0</v>
      </c>
      <c r="H26" s="529">
        <f t="shared" si="17"/>
        <v>223346</v>
      </c>
      <c r="I26" s="599">
        <f t="shared" si="17"/>
        <v>223346</v>
      </c>
      <c r="J26" s="600">
        <f t="shared" si="17"/>
        <v>115150</v>
      </c>
      <c r="K26" s="600">
        <f t="shared" si="17"/>
        <v>108196</v>
      </c>
      <c r="L26" s="600">
        <f t="shared" si="17"/>
        <v>0</v>
      </c>
      <c r="M26" s="600">
        <f t="shared" si="17"/>
        <v>0</v>
      </c>
      <c r="N26" s="601">
        <f t="shared" si="17"/>
        <v>0</v>
      </c>
      <c r="O26" s="529">
        <f t="shared" si="17"/>
        <v>67209</v>
      </c>
      <c r="P26" s="599">
        <f t="shared" si="17"/>
        <v>67209</v>
      </c>
      <c r="Q26" s="601">
        <f t="shared" si="17"/>
        <v>0</v>
      </c>
      <c r="R26" s="602">
        <f t="shared" si="17"/>
        <v>569454</v>
      </c>
      <c r="S26" s="599">
        <f t="shared" si="17"/>
        <v>1241449</v>
      </c>
      <c r="T26" s="603">
        <f t="shared" si="12"/>
        <v>0.26047406814246632</v>
      </c>
      <c r="U26" s="604">
        <f t="shared" si="13"/>
        <v>0.17990751130332377</v>
      </c>
      <c r="V26" s="605">
        <f t="shared" si="14"/>
        <v>0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185098</v>
      </c>
      <c r="D27" s="599">
        <f t="shared" si="18"/>
        <v>185098</v>
      </c>
      <c r="E27" s="600">
        <f t="shared" si="18"/>
        <v>185098</v>
      </c>
      <c r="F27" s="600">
        <f t="shared" si="18"/>
        <v>0</v>
      </c>
      <c r="G27" s="601">
        <f t="shared" si="18"/>
        <v>0</v>
      </c>
      <c r="H27" s="529">
        <f t="shared" si="18"/>
        <v>278573</v>
      </c>
      <c r="I27" s="599">
        <f t="shared" si="18"/>
        <v>278573</v>
      </c>
      <c r="J27" s="600">
        <f t="shared" si="18"/>
        <v>143493</v>
      </c>
      <c r="K27" s="600">
        <f t="shared" si="18"/>
        <v>135080</v>
      </c>
      <c r="L27" s="600">
        <f t="shared" si="18"/>
        <v>0</v>
      </c>
      <c r="M27" s="600">
        <f t="shared" si="18"/>
        <v>0</v>
      </c>
      <c r="N27" s="601">
        <f t="shared" si="18"/>
        <v>0</v>
      </c>
      <c r="O27" s="529">
        <f t="shared" si="18"/>
        <v>83819</v>
      </c>
      <c r="P27" s="599">
        <f t="shared" si="18"/>
        <v>83819</v>
      </c>
      <c r="Q27" s="601">
        <f t="shared" si="18"/>
        <v>0</v>
      </c>
      <c r="R27" s="602">
        <f t="shared" si="18"/>
        <v>711994</v>
      </c>
      <c r="S27" s="599">
        <f t="shared" si="18"/>
        <v>1551732</v>
      </c>
      <c r="T27" s="603">
        <f t="shared" si="12"/>
        <v>0.25997129189290918</v>
      </c>
      <c r="U27" s="604">
        <f t="shared" si="13"/>
        <v>0.17952391263439821</v>
      </c>
      <c r="V27" s="605">
        <f t="shared" si="14"/>
        <v>0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221789</v>
      </c>
      <c r="D28" s="599">
        <f t="shared" si="19"/>
        <v>221789</v>
      </c>
      <c r="E28" s="600">
        <f t="shared" si="19"/>
        <v>221789</v>
      </c>
      <c r="F28" s="600">
        <f t="shared" si="19"/>
        <v>0</v>
      </c>
      <c r="G28" s="601">
        <f t="shared" si="19"/>
        <v>0</v>
      </c>
      <c r="H28" s="529">
        <f t="shared" si="19"/>
        <v>333553</v>
      </c>
      <c r="I28" s="599">
        <f t="shared" si="19"/>
        <v>333553</v>
      </c>
      <c r="J28" s="600">
        <f t="shared" si="19"/>
        <v>171714</v>
      </c>
      <c r="K28" s="600">
        <f t="shared" si="19"/>
        <v>161839</v>
      </c>
      <c r="L28" s="600">
        <f t="shared" si="19"/>
        <v>0</v>
      </c>
      <c r="M28" s="600">
        <f t="shared" si="19"/>
        <v>0</v>
      </c>
      <c r="N28" s="601">
        <f t="shared" si="19"/>
        <v>0</v>
      </c>
      <c r="O28" s="529">
        <f t="shared" si="19"/>
        <v>100348</v>
      </c>
      <c r="P28" s="599">
        <f t="shared" si="19"/>
        <v>100348</v>
      </c>
      <c r="Q28" s="601">
        <f t="shared" si="19"/>
        <v>0</v>
      </c>
      <c r="R28" s="602">
        <f t="shared" si="19"/>
        <v>854492</v>
      </c>
      <c r="S28" s="599">
        <f t="shared" si="19"/>
        <v>1861842</v>
      </c>
      <c r="T28" s="603">
        <f t="shared" si="12"/>
        <v>0.25955655523983839</v>
      </c>
      <c r="U28" s="604">
        <f t="shared" si="13"/>
        <v>0.17915215147149974</v>
      </c>
      <c r="V28" s="605">
        <f t="shared" si="14"/>
        <v>0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258424</v>
      </c>
      <c r="D29" s="599">
        <f t="shared" si="20"/>
        <v>258424</v>
      </c>
      <c r="E29" s="600">
        <f t="shared" si="20"/>
        <v>258424</v>
      </c>
      <c r="F29" s="600">
        <f t="shared" si="20"/>
        <v>0</v>
      </c>
      <c r="G29" s="601">
        <f t="shared" si="20"/>
        <v>0</v>
      </c>
      <c r="H29" s="529">
        <f t="shared" si="20"/>
        <v>388420</v>
      </c>
      <c r="I29" s="599">
        <f t="shared" si="20"/>
        <v>388420</v>
      </c>
      <c r="J29" s="600">
        <f t="shared" si="20"/>
        <v>199914</v>
      </c>
      <c r="K29" s="600">
        <f t="shared" si="20"/>
        <v>188506</v>
      </c>
      <c r="L29" s="600">
        <f t="shared" si="20"/>
        <v>0</v>
      </c>
      <c r="M29" s="600">
        <f t="shared" si="20"/>
        <v>0</v>
      </c>
      <c r="N29" s="601">
        <f t="shared" si="20"/>
        <v>0</v>
      </c>
      <c r="O29" s="529">
        <f t="shared" si="20"/>
        <v>116863</v>
      </c>
      <c r="P29" s="599">
        <f t="shared" si="20"/>
        <v>116863</v>
      </c>
      <c r="Q29" s="601">
        <f t="shared" si="20"/>
        <v>0</v>
      </c>
      <c r="R29" s="602">
        <f t="shared" si="20"/>
        <v>997024</v>
      </c>
      <c r="S29" s="599">
        <f t="shared" si="20"/>
        <v>2171927</v>
      </c>
      <c r="T29" s="603">
        <f t="shared" si="12"/>
        <v>0.25919536540745258</v>
      </c>
      <c r="U29" s="604">
        <f t="shared" si="13"/>
        <v>0.17883658152414883</v>
      </c>
      <c r="V29" s="605">
        <f t="shared" si="14"/>
        <v>0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294911</v>
      </c>
      <c r="D30" s="599">
        <f t="shared" si="21"/>
        <v>294911</v>
      </c>
      <c r="E30" s="600">
        <f t="shared" si="21"/>
        <v>294911</v>
      </c>
      <c r="F30" s="600">
        <f t="shared" si="21"/>
        <v>0</v>
      </c>
      <c r="G30" s="601">
        <f t="shared" si="21"/>
        <v>0</v>
      </c>
      <c r="H30" s="529">
        <f t="shared" si="21"/>
        <v>443016</v>
      </c>
      <c r="I30" s="599">
        <f t="shared" si="21"/>
        <v>443016</v>
      </c>
      <c r="J30" s="600">
        <f t="shared" si="21"/>
        <v>227961</v>
      </c>
      <c r="K30" s="600">
        <f t="shared" si="21"/>
        <v>215055</v>
      </c>
      <c r="L30" s="600">
        <f t="shared" si="21"/>
        <v>0</v>
      </c>
      <c r="M30" s="600">
        <f t="shared" si="21"/>
        <v>0</v>
      </c>
      <c r="N30" s="601">
        <f t="shared" si="21"/>
        <v>0</v>
      </c>
      <c r="O30" s="529">
        <f t="shared" si="21"/>
        <v>133306</v>
      </c>
      <c r="P30" s="599">
        <f t="shared" si="21"/>
        <v>133306</v>
      </c>
      <c r="Q30" s="601">
        <f t="shared" si="21"/>
        <v>0</v>
      </c>
      <c r="R30" s="602">
        <f t="shared" si="21"/>
        <v>1139587</v>
      </c>
      <c r="S30" s="599">
        <f t="shared" si="21"/>
        <v>2481964</v>
      </c>
      <c r="T30" s="603">
        <f t="shared" si="12"/>
        <v>0.25878761340731338</v>
      </c>
      <c r="U30" s="604">
        <f t="shared" si="13"/>
        <v>0.17849412803731238</v>
      </c>
      <c r="V30" s="605">
        <f t="shared" si="14"/>
        <v>0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331294</v>
      </c>
      <c r="D31" s="599">
        <f t="shared" si="22"/>
        <v>331294</v>
      </c>
      <c r="E31" s="600">
        <f t="shared" si="22"/>
        <v>331294</v>
      </c>
      <c r="F31" s="600">
        <f t="shared" si="22"/>
        <v>0</v>
      </c>
      <c r="G31" s="601">
        <f t="shared" si="22"/>
        <v>0</v>
      </c>
      <c r="H31" s="529">
        <f t="shared" si="22"/>
        <v>497414</v>
      </c>
      <c r="I31" s="599">
        <f t="shared" si="22"/>
        <v>497414</v>
      </c>
      <c r="J31" s="600">
        <f t="shared" si="22"/>
        <v>255854</v>
      </c>
      <c r="K31" s="600">
        <f t="shared" si="22"/>
        <v>241560</v>
      </c>
      <c r="L31" s="600">
        <f t="shared" si="22"/>
        <v>0</v>
      </c>
      <c r="M31" s="600">
        <f t="shared" si="22"/>
        <v>0</v>
      </c>
      <c r="N31" s="601">
        <f t="shared" si="22"/>
        <v>0</v>
      </c>
      <c r="O31" s="529">
        <f t="shared" si="22"/>
        <v>149668</v>
      </c>
      <c r="P31" s="599">
        <f t="shared" si="22"/>
        <v>149668</v>
      </c>
      <c r="Q31" s="601">
        <f t="shared" si="22"/>
        <v>0</v>
      </c>
      <c r="R31" s="602">
        <f t="shared" si="22"/>
        <v>1282085</v>
      </c>
      <c r="S31" s="599">
        <f t="shared" si="22"/>
        <v>2791789</v>
      </c>
      <c r="T31" s="603">
        <f t="shared" si="12"/>
        <v>0.25840252401361846</v>
      </c>
      <c r="U31" s="604">
        <f t="shared" si="13"/>
        <v>0.17817034166980383</v>
      </c>
      <c r="V31" s="605">
        <f t="shared" si="14"/>
        <v>0</v>
      </c>
    </row>
    <row r="32" spans="1:45" ht="20.149999999999999" customHeight="1" x14ac:dyDescent="0.2">
      <c r="B32" s="537" t="s">
        <v>63</v>
      </c>
      <c r="C32" s="529">
        <f t="shared" ref="C32:S32" si="23">SUM(C8:C17)</f>
        <v>367587</v>
      </c>
      <c r="D32" s="599">
        <f t="shared" si="23"/>
        <v>367587</v>
      </c>
      <c r="E32" s="600">
        <f t="shared" si="23"/>
        <v>367587</v>
      </c>
      <c r="F32" s="600">
        <f t="shared" si="23"/>
        <v>0</v>
      </c>
      <c r="G32" s="601">
        <f t="shared" si="23"/>
        <v>0</v>
      </c>
      <c r="H32" s="529">
        <f t="shared" si="23"/>
        <v>551619</v>
      </c>
      <c r="I32" s="599">
        <f t="shared" si="23"/>
        <v>551619</v>
      </c>
      <c r="J32" s="600">
        <f t="shared" si="23"/>
        <v>283710</v>
      </c>
      <c r="K32" s="600">
        <f t="shared" si="23"/>
        <v>267909</v>
      </c>
      <c r="L32" s="600">
        <f t="shared" si="23"/>
        <v>0</v>
      </c>
      <c r="M32" s="600">
        <f t="shared" si="23"/>
        <v>0</v>
      </c>
      <c r="N32" s="601">
        <f t="shared" si="23"/>
        <v>0</v>
      </c>
      <c r="O32" s="529">
        <f t="shared" si="23"/>
        <v>165929</v>
      </c>
      <c r="P32" s="599">
        <f t="shared" si="23"/>
        <v>165929</v>
      </c>
      <c r="Q32" s="601">
        <f t="shared" si="23"/>
        <v>0</v>
      </c>
      <c r="R32" s="602">
        <f t="shared" si="23"/>
        <v>1424607</v>
      </c>
      <c r="S32" s="599">
        <f t="shared" si="23"/>
        <v>3101525</v>
      </c>
      <c r="T32" s="603">
        <f t="shared" si="12"/>
        <v>0.25802695059058395</v>
      </c>
      <c r="U32" s="604">
        <f t="shared" si="13"/>
        <v>0.17785412015057109</v>
      </c>
      <c r="V32" s="605">
        <f t="shared" si="14"/>
        <v>0</v>
      </c>
    </row>
    <row r="33" spans="1:35" ht="20.149999999999999" customHeight="1" x14ac:dyDescent="0.2">
      <c r="B33" s="537" t="s">
        <v>64</v>
      </c>
      <c r="C33" s="529">
        <f t="shared" ref="C33:S33" si="24">SUM(C8:C18)</f>
        <v>403742</v>
      </c>
      <c r="D33" s="599">
        <f t="shared" si="24"/>
        <v>403742</v>
      </c>
      <c r="E33" s="600">
        <f t="shared" si="24"/>
        <v>403742</v>
      </c>
      <c r="F33" s="600">
        <f t="shared" si="24"/>
        <v>0</v>
      </c>
      <c r="G33" s="601">
        <f t="shared" si="24"/>
        <v>0</v>
      </c>
      <c r="H33" s="529">
        <f t="shared" si="24"/>
        <v>605582</v>
      </c>
      <c r="I33" s="599">
        <f t="shared" si="24"/>
        <v>605582</v>
      </c>
      <c r="J33" s="600">
        <f t="shared" si="24"/>
        <v>311383</v>
      </c>
      <c r="K33" s="600">
        <f t="shared" si="24"/>
        <v>294199</v>
      </c>
      <c r="L33" s="600">
        <f t="shared" si="24"/>
        <v>0</v>
      </c>
      <c r="M33" s="600">
        <f t="shared" si="24"/>
        <v>0</v>
      </c>
      <c r="N33" s="601">
        <f t="shared" si="24"/>
        <v>0</v>
      </c>
      <c r="O33" s="529">
        <f t="shared" si="24"/>
        <v>182085</v>
      </c>
      <c r="P33" s="599">
        <f t="shared" si="24"/>
        <v>182085</v>
      </c>
      <c r="Q33" s="601">
        <f t="shared" si="24"/>
        <v>0</v>
      </c>
      <c r="R33" s="602">
        <f t="shared" si="24"/>
        <v>1567084</v>
      </c>
      <c r="S33" s="599">
        <f t="shared" si="24"/>
        <v>3411059</v>
      </c>
      <c r="T33" s="603">
        <f t="shared" si="12"/>
        <v>0.25763902892250828</v>
      </c>
      <c r="U33" s="604">
        <f t="shared" si="13"/>
        <v>0.17753489458845478</v>
      </c>
      <c r="V33" s="605">
        <f t="shared" si="14"/>
        <v>0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439810</v>
      </c>
      <c r="D34" s="608">
        <f t="shared" si="25"/>
        <v>439810</v>
      </c>
      <c r="E34" s="609">
        <f t="shared" si="25"/>
        <v>439810</v>
      </c>
      <c r="F34" s="609">
        <f t="shared" si="25"/>
        <v>0</v>
      </c>
      <c r="G34" s="610">
        <f t="shared" si="25"/>
        <v>0</v>
      </c>
      <c r="H34" s="607">
        <f t="shared" si="25"/>
        <v>659360</v>
      </c>
      <c r="I34" s="608">
        <f t="shared" si="25"/>
        <v>659360</v>
      </c>
      <c r="J34" s="609">
        <f t="shared" si="25"/>
        <v>339011</v>
      </c>
      <c r="K34" s="609">
        <f t="shared" si="25"/>
        <v>320349</v>
      </c>
      <c r="L34" s="609">
        <f t="shared" si="25"/>
        <v>0</v>
      </c>
      <c r="M34" s="609">
        <f t="shared" si="25"/>
        <v>0</v>
      </c>
      <c r="N34" s="610">
        <f t="shared" si="25"/>
        <v>0</v>
      </c>
      <c r="O34" s="607">
        <f t="shared" si="25"/>
        <v>198191</v>
      </c>
      <c r="P34" s="608">
        <f t="shared" si="25"/>
        <v>198191</v>
      </c>
      <c r="Q34" s="610">
        <f t="shared" si="25"/>
        <v>0</v>
      </c>
      <c r="R34" s="611">
        <f t="shared" si="25"/>
        <v>1710058</v>
      </c>
      <c r="S34" s="608">
        <f t="shared" si="25"/>
        <v>3720397</v>
      </c>
      <c r="T34" s="612">
        <f t="shared" si="12"/>
        <v>0.25719010700221862</v>
      </c>
      <c r="U34" s="613">
        <f t="shared" si="13"/>
        <v>0.17722839793710188</v>
      </c>
      <c r="V34" s="614">
        <f t="shared" si="14"/>
        <v>0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440589</v>
      </c>
      <c r="D35" s="616">
        <f t="shared" si="26"/>
        <v>440589</v>
      </c>
      <c r="E35" s="616">
        <f t="shared" si="26"/>
        <v>440589</v>
      </c>
      <c r="F35" s="616">
        <f t="shared" si="26"/>
        <v>0</v>
      </c>
      <c r="G35" s="617">
        <f t="shared" si="26"/>
        <v>0</v>
      </c>
      <c r="H35" s="618">
        <f t="shared" si="26"/>
        <v>661094</v>
      </c>
      <c r="I35" s="616">
        <f t="shared" si="26"/>
        <v>661094</v>
      </c>
      <c r="J35" s="616">
        <f t="shared" si="26"/>
        <v>340092</v>
      </c>
      <c r="K35" s="616">
        <f t="shared" si="26"/>
        <v>321002</v>
      </c>
      <c r="L35" s="616">
        <f t="shared" si="26"/>
        <v>0</v>
      </c>
      <c r="M35" s="616">
        <f t="shared" si="26"/>
        <v>0</v>
      </c>
      <c r="N35" s="619">
        <f t="shared" si="26"/>
        <v>0</v>
      </c>
      <c r="O35" s="618">
        <f t="shared" si="26"/>
        <v>198687</v>
      </c>
      <c r="P35" s="616">
        <f t="shared" si="26"/>
        <v>198687</v>
      </c>
      <c r="Q35" s="619">
        <f t="shared" si="26"/>
        <v>0</v>
      </c>
      <c r="R35" s="618">
        <f t="shared" si="26"/>
        <v>1709062</v>
      </c>
      <c r="S35" s="616">
        <f t="shared" si="26"/>
        <v>3721669</v>
      </c>
      <c r="T35" s="620">
        <f t="shared" si="12"/>
        <v>0.25779579675868985</v>
      </c>
      <c r="U35" s="620">
        <f t="shared" si="13"/>
        <v>0.17763374443025429</v>
      </c>
      <c r="V35" s="621">
        <f t="shared" si="14"/>
        <v>0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36716</v>
      </c>
      <c r="D36" s="626">
        <f>E36+F36</f>
        <v>36716</v>
      </c>
      <c r="E36" s="626">
        <f>C36-F36-G36</f>
        <v>36716</v>
      </c>
      <c r="F36" s="626">
        <f>ROUND(AVERAGE(F7:F18),0)</f>
        <v>0</v>
      </c>
      <c r="G36" s="627">
        <f>ROUND(AVERAGE(G7:G18),0)</f>
        <v>0</v>
      </c>
      <c r="H36" s="625" t="e">
        <f>L36+I36</f>
        <v>#DIV/0!</v>
      </c>
      <c r="I36" s="626">
        <f>ROUND(AVERAGE(I7:I18),0)</f>
        <v>55091</v>
      </c>
      <c r="J36" s="626">
        <f>J35/(COUNTIF(J7:J18,"&gt;0"))</f>
        <v>28341</v>
      </c>
      <c r="K36" s="626">
        <f>AVERAGE(K7:K18)</f>
        <v>26750.166666666668</v>
      </c>
      <c r="L36" s="626" t="e">
        <f>ROUND(L35/(COUNTIF(L7:L18,"&gt;0")),0)</f>
        <v>#DIV/0!</v>
      </c>
      <c r="M36" s="626">
        <f>ROUND(AVERAGE(M7:M18),0)</f>
        <v>0</v>
      </c>
      <c r="N36" s="628" t="e">
        <f>L36-M36</f>
        <v>#DIV/0!</v>
      </c>
      <c r="O36" s="625">
        <f>AVERAGE(O7:O18)</f>
        <v>16557.25</v>
      </c>
      <c r="P36" s="626">
        <f>P35/(COUNTIF(P7:P18,"&gt;0"))</f>
        <v>16557.25</v>
      </c>
      <c r="Q36" s="628">
        <f>AVERAGE(Q7:Q18)</f>
        <v>0</v>
      </c>
      <c r="R36" s="625">
        <f>AVERAGE(R7:R18)</f>
        <v>142421.83333333334</v>
      </c>
      <c r="S36" s="626">
        <f>AVERAGE(S7:S18)</f>
        <v>310139.08333333331</v>
      </c>
      <c r="T36" s="629">
        <f t="shared" si="12"/>
        <v>0.2577975521075303</v>
      </c>
      <c r="U36" s="630" t="e">
        <f t="shared" si="13"/>
        <v>#DIV/0!</v>
      </c>
      <c r="V36" s="631" t="e">
        <f t="shared" si="14"/>
        <v>#DIV/0!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442324</v>
      </c>
      <c r="D37" s="635">
        <f t="shared" si="27"/>
        <v>442324</v>
      </c>
      <c r="E37" s="636">
        <f t="shared" si="27"/>
        <v>442324</v>
      </c>
      <c r="F37" s="636">
        <f t="shared" si="27"/>
        <v>0</v>
      </c>
      <c r="G37" s="637">
        <f t="shared" si="27"/>
        <v>0</v>
      </c>
      <c r="H37" s="634">
        <f t="shared" si="27"/>
        <v>664762</v>
      </c>
      <c r="I37" s="635">
        <f t="shared" si="27"/>
        <v>664762</v>
      </c>
      <c r="J37" s="636">
        <f t="shared" si="27"/>
        <v>342657</v>
      </c>
      <c r="K37" s="636">
        <f t="shared" si="27"/>
        <v>322105</v>
      </c>
      <c r="L37" s="636">
        <f t="shared" si="27"/>
        <v>0</v>
      </c>
      <c r="M37" s="636">
        <f t="shared" si="27"/>
        <v>0</v>
      </c>
      <c r="N37" s="637">
        <f t="shared" si="27"/>
        <v>0</v>
      </c>
      <c r="O37" s="634">
        <f t="shared" si="27"/>
        <v>199736</v>
      </c>
      <c r="P37" s="638">
        <f t="shared" si="27"/>
        <v>199736</v>
      </c>
      <c r="Q37" s="637">
        <f t="shared" si="27"/>
        <v>0</v>
      </c>
      <c r="R37" s="634">
        <f t="shared" si="27"/>
        <v>1707676</v>
      </c>
      <c r="S37" s="635">
        <f t="shared" si="27"/>
        <v>3724559</v>
      </c>
      <c r="T37" s="639">
        <f t="shared" si="12"/>
        <v>0.25902103209273891</v>
      </c>
      <c r="U37" s="639">
        <f t="shared" si="13"/>
        <v>0.1784807275170027</v>
      </c>
      <c r="V37" s="640">
        <f t="shared" si="14"/>
        <v>0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36860.333333333336</v>
      </c>
      <c r="D38" s="643">
        <f t="shared" ref="D38:S38" si="28">D37/(COUNTIF(D8:D16,"&gt;0")+3)</f>
        <v>36860.333333333336</v>
      </c>
      <c r="E38" s="644">
        <f t="shared" si="28"/>
        <v>36860.333333333336</v>
      </c>
      <c r="F38" s="644">
        <f t="shared" si="28"/>
        <v>0</v>
      </c>
      <c r="G38" s="645">
        <f t="shared" si="28"/>
        <v>0</v>
      </c>
      <c r="H38" s="642">
        <f t="shared" si="28"/>
        <v>55396.833333333336</v>
      </c>
      <c r="I38" s="643">
        <f t="shared" si="28"/>
        <v>55396.833333333336</v>
      </c>
      <c r="J38" s="644">
        <f t="shared" si="28"/>
        <v>28554.75</v>
      </c>
      <c r="K38" s="644">
        <f t="shared" si="28"/>
        <v>26842.083333333332</v>
      </c>
      <c r="L38" s="644">
        <f t="shared" si="28"/>
        <v>0</v>
      </c>
      <c r="M38" s="644">
        <f t="shared" si="28"/>
        <v>0</v>
      </c>
      <c r="N38" s="645">
        <f t="shared" si="28"/>
        <v>0</v>
      </c>
      <c r="O38" s="642">
        <f t="shared" si="28"/>
        <v>16644.666666666668</v>
      </c>
      <c r="P38" s="646">
        <f t="shared" si="28"/>
        <v>16644.666666666668</v>
      </c>
      <c r="Q38" s="645">
        <f t="shared" si="28"/>
        <v>0</v>
      </c>
      <c r="R38" s="642">
        <f t="shared" si="28"/>
        <v>142306.33333333334</v>
      </c>
      <c r="S38" s="643">
        <f t="shared" si="28"/>
        <v>310379.91666666669</v>
      </c>
      <c r="T38" s="647">
        <f t="shared" si="12"/>
        <v>0.25902103209273891</v>
      </c>
      <c r="U38" s="647">
        <f t="shared" si="13"/>
        <v>0.17848072751700267</v>
      </c>
      <c r="V38" s="648">
        <f t="shared" si="14"/>
        <v>0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S87"/>
  <sheetViews>
    <sheetView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 activeCell="L37" sqref="L37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2859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SUM(令和３年度!C17:C19)</f>
        <v>108516</v>
      </c>
      <c r="D2" s="480">
        <f>SUM(令和３年度!D17:D19)</f>
        <v>108516</v>
      </c>
      <c r="E2" s="480">
        <f>SUM(令和３年度!E17:E19)</f>
        <v>108516</v>
      </c>
      <c r="F2" s="480">
        <f>SUM(令和３年度!F17:F19)</f>
        <v>0</v>
      </c>
      <c r="G2" s="480">
        <f>SUM(令和３年度!G17:G19)</f>
        <v>0</v>
      </c>
      <c r="H2" s="480">
        <f>SUM(令和３年度!H17:H19)</f>
        <v>161946</v>
      </c>
      <c r="I2" s="480">
        <f>SUM(令和３年度!I17:I19)</f>
        <v>161946</v>
      </c>
      <c r="J2" s="480">
        <f>SUM(令和３年度!J17:J19)</f>
        <v>83157</v>
      </c>
      <c r="K2" s="480">
        <f>SUM(令和３年度!K17:K19)</f>
        <v>78789</v>
      </c>
      <c r="L2" s="480">
        <f>SUM(令和３年度!L17:L19)</f>
        <v>0</v>
      </c>
      <c r="M2" s="480">
        <f>SUM(令和３年度!M17:M19)</f>
        <v>0</v>
      </c>
      <c r="N2" s="480">
        <f>SUM(令和３年度!N17:N19)</f>
        <v>0</v>
      </c>
      <c r="O2" s="480">
        <f>SUM(令和３年度!O17:O19)</f>
        <v>48523</v>
      </c>
      <c r="P2" s="480">
        <f>SUM(令和３年度!P17:P19)</f>
        <v>48523</v>
      </c>
      <c r="Q2" s="480">
        <f>SUM(令和３年度!Q17:Q19)</f>
        <v>0</v>
      </c>
      <c r="R2" s="480">
        <f>SUM(令和３年度!R17:R19)</f>
        <v>427973</v>
      </c>
      <c r="S2" s="480">
        <f>SUM(令和３年度!S17:S19)</f>
        <v>928608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2858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873">
        <v>36068</v>
      </c>
      <c r="D7" s="874">
        <v>36068</v>
      </c>
      <c r="E7" s="874">
        <v>36068</v>
      </c>
      <c r="F7" s="875">
        <v>0</v>
      </c>
      <c r="G7" s="876">
        <v>0</v>
      </c>
      <c r="H7" s="877">
        <v>53778</v>
      </c>
      <c r="I7" s="874">
        <v>53778</v>
      </c>
      <c r="J7" s="875">
        <v>27628</v>
      </c>
      <c r="K7" s="878">
        <v>26150</v>
      </c>
      <c r="L7" s="874">
        <v>0</v>
      </c>
      <c r="M7" s="875">
        <v>0</v>
      </c>
      <c r="N7" s="879">
        <v>0</v>
      </c>
      <c r="O7" s="873">
        <v>16106</v>
      </c>
      <c r="P7" s="874">
        <v>16106</v>
      </c>
      <c r="Q7" s="879">
        <v>0</v>
      </c>
      <c r="R7" s="880">
        <v>142974</v>
      </c>
      <c r="S7" s="881">
        <v>309338</v>
      </c>
      <c r="T7" s="882">
        <v>0.25952612376565382</v>
      </c>
      <c r="U7" s="883">
        <v>0.17871929429187727</v>
      </c>
      <c r="V7" s="884">
        <v>0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36657</v>
      </c>
      <c r="D8" s="526">
        <f t="shared" ref="D8:D19" si="0">E8+F8</f>
        <v>36657</v>
      </c>
      <c r="E8" s="526">
        <f t="shared" ref="E8:E18" si="1">C8-G8-F8</f>
        <v>36657</v>
      </c>
      <c r="F8" s="740">
        <v>0</v>
      </c>
      <c r="G8" s="741">
        <v>0</v>
      </c>
      <c r="H8" s="529">
        <f t="shared" ref="H8:H19" si="2">I8+L8</f>
        <v>54498</v>
      </c>
      <c r="I8" s="527">
        <v>54498</v>
      </c>
      <c r="J8" s="759">
        <f t="shared" ref="J8:J19" si="3">I8-K8</f>
        <v>28134</v>
      </c>
      <c r="K8" s="742">
        <v>26364</v>
      </c>
      <c r="L8" s="526">
        <f t="shared" ref="L8:L19" si="4">M8+N8</f>
        <v>0</v>
      </c>
      <c r="M8" s="740">
        <v>0</v>
      </c>
      <c r="N8" s="741">
        <v>0</v>
      </c>
      <c r="O8" s="739">
        <v>16350</v>
      </c>
      <c r="P8" s="526">
        <f t="shared" ref="P8:P19" si="5">O8-Q8</f>
        <v>16350</v>
      </c>
      <c r="Q8" s="743">
        <v>0</v>
      </c>
      <c r="R8" s="885">
        <v>143717</v>
      </c>
      <c r="S8" s="886">
        <v>309789</v>
      </c>
      <c r="T8" s="534">
        <f t="shared" ref="T8:T21" si="6">C8/R8</f>
        <v>0.25506377116137968</v>
      </c>
      <c r="U8" s="534">
        <f t="shared" ref="U8:U21" si="7">H8/S8</f>
        <v>0.17591973891907073</v>
      </c>
      <c r="V8" s="535">
        <f t="shared" ref="V8:V21" si="8">L8/H8</f>
        <v>0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>
        <v>36731</v>
      </c>
      <c r="D9" s="526">
        <f t="shared" si="0"/>
        <v>36731</v>
      </c>
      <c r="E9" s="526">
        <f t="shared" si="1"/>
        <v>36731</v>
      </c>
      <c r="F9" s="740">
        <v>0</v>
      </c>
      <c r="G9" s="741">
        <v>0</v>
      </c>
      <c r="H9" s="529">
        <f t="shared" si="2"/>
        <v>54445</v>
      </c>
      <c r="I9" s="527">
        <v>54445</v>
      </c>
      <c r="J9" s="759">
        <f t="shared" si="3"/>
        <v>28211</v>
      </c>
      <c r="K9" s="742">
        <v>26234</v>
      </c>
      <c r="L9" s="526">
        <f t="shared" si="4"/>
        <v>0</v>
      </c>
      <c r="M9" s="740">
        <v>0</v>
      </c>
      <c r="N9" s="741">
        <v>0</v>
      </c>
      <c r="O9" s="739">
        <v>16291</v>
      </c>
      <c r="P9" s="526">
        <f t="shared" si="5"/>
        <v>16291</v>
      </c>
      <c r="Q9" s="743">
        <v>0</v>
      </c>
      <c r="R9" s="746">
        <v>144305</v>
      </c>
      <c r="S9" s="747">
        <v>310292</v>
      </c>
      <c r="T9" s="534">
        <f t="shared" si="6"/>
        <v>0.25453726482103878</v>
      </c>
      <c r="U9" s="534">
        <f t="shared" si="7"/>
        <v>0.17546375671947714</v>
      </c>
      <c r="V9" s="535">
        <f t="shared" si="8"/>
        <v>0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>
        <v>36608</v>
      </c>
      <c r="D10" s="526">
        <f t="shared" si="0"/>
        <v>36608</v>
      </c>
      <c r="E10" s="526">
        <f t="shared" si="1"/>
        <v>36608</v>
      </c>
      <c r="F10" s="740">
        <v>0</v>
      </c>
      <c r="G10" s="741">
        <v>0</v>
      </c>
      <c r="H10" s="529">
        <f t="shared" si="2"/>
        <v>54208</v>
      </c>
      <c r="I10" s="527">
        <v>54208</v>
      </c>
      <c r="J10" s="759">
        <f t="shared" si="3"/>
        <v>28139</v>
      </c>
      <c r="K10" s="742">
        <v>26069</v>
      </c>
      <c r="L10" s="526">
        <f t="shared" si="4"/>
        <v>0</v>
      </c>
      <c r="M10" s="740">
        <v>0</v>
      </c>
      <c r="N10" s="741">
        <v>0</v>
      </c>
      <c r="O10" s="739">
        <v>16229</v>
      </c>
      <c r="P10" s="526">
        <f t="shared" si="5"/>
        <v>16229</v>
      </c>
      <c r="Q10" s="743">
        <v>0</v>
      </c>
      <c r="R10" s="748">
        <v>144509</v>
      </c>
      <c r="S10" s="740">
        <v>310448</v>
      </c>
      <c r="T10" s="534">
        <f t="shared" si="6"/>
        <v>0.25332678241493611</v>
      </c>
      <c r="U10" s="534">
        <f t="shared" si="7"/>
        <v>0.17461217337525126</v>
      </c>
      <c r="V10" s="535">
        <f t="shared" si="8"/>
        <v>0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>
        <v>36413</v>
      </c>
      <c r="D11" s="526">
        <f>E11+F11</f>
        <v>36413</v>
      </c>
      <c r="E11" s="526">
        <f>C11-G11-F11</f>
        <v>36413</v>
      </c>
      <c r="F11" s="740">
        <v>0</v>
      </c>
      <c r="G11" s="741">
        <v>0</v>
      </c>
      <c r="H11" s="529">
        <f>I11+L11</f>
        <v>53876</v>
      </c>
      <c r="I11" s="527">
        <v>53876</v>
      </c>
      <c r="J11" s="759">
        <f t="shared" si="3"/>
        <v>28021</v>
      </c>
      <c r="K11" s="742">
        <v>25855</v>
      </c>
      <c r="L11" s="526">
        <f t="shared" si="4"/>
        <v>0</v>
      </c>
      <c r="M11" s="740">
        <v>0</v>
      </c>
      <c r="N11" s="741">
        <v>0</v>
      </c>
      <c r="O11" s="739">
        <v>16197</v>
      </c>
      <c r="P11" s="526">
        <f t="shared" si="5"/>
        <v>16197</v>
      </c>
      <c r="Q11" s="870">
        <v>0</v>
      </c>
      <c r="R11" s="748">
        <v>144516</v>
      </c>
      <c r="S11" s="740">
        <v>310382</v>
      </c>
      <c r="T11" s="534">
        <f t="shared" si="6"/>
        <v>0.25196518032605386</v>
      </c>
      <c r="U11" s="534">
        <f t="shared" si="7"/>
        <v>0.17357965345928567</v>
      </c>
      <c r="V11" s="535">
        <f t="shared" si="8"/>
        <v>0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>
        <v>36147</v>
      </c>
      <c r="D12" s="526">
        <f t="shared" si="0"/>
        <v>36147</v>
      </c>
      <c r="E12" s="526">
        <f t="shared" si="1"/>
        <v>36147</v>
      </c>
      <c r="F12" s="740">
        <v>0</v>
      </c>
      <c r="G12" s="741">
        <v>0</v>
      </c>
      <c r="H12" s="529">
        <f t="shared" si="2"/>
        <v>53488</v>
      </c>
      <c r="I12" s="527">
        <v>53488</v>
      </c>
      <c r="J12" s="759">
        <f t="shared" si="3"/>
        <v>27823</v>
      </c>
      <c r="K12" s="742">
        <v>25665</v>
      </c>
      <c r="L12" s="526">
        <f t="shared" si="4"/>
        <v>0</v>
      </c>
      <c r="M12" s="740">
        <v>0</v>
      </c>
      <c r="N12" s="741">
        <v>0</v>
      </c>
      <c r="O12" s="739">
        <v>16130</v>
      </c>
      <c r="P12" s="526">
        <f t="shared" si="5"/>
        <v>16130</v>
      </c>
      <c r="Q12" s="743">
        <v>0</v>
      </c>
      <c r="R12" s="748">
        <v>144390</v>
      </c>
      <c r="S12" s="740">
        <v>310081</v>
      </c>
      <c r="T12" s="534">
        <f t="shared" si="6"/>
        <v>0.25034282152503634</v>
      </c>
      <c r="U12" s="534">
        <f t="shared" si="7"/>
        <v>0.1724968637227047</v>
      </c>
      <c r="V12" s="535">
        <f t="shared" si="8"/>
        <v>0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>
        <v>35982</v>
      </c>
      <c r="D13" s="526">
        <f t="shared" si="0"/>
        <v>35982</v>
      </c>
      <c r="E13" s="526">
        <f t="shared" si="1"/>
        <v>35982</v>
      </c>
      <c r="F13" s="740">
        <v>0</v>
      </c>
      <c r="G13" s="741">
        <v>0</v>
      </c>
      <c r="H13" s="529">
        <f t="shared" si="2"/>
        <v>53166</v>
      </c>
      <c r="I13" s="527">
        <v>53166</v>
      </c>
      <c r="J13" s="759">
        <f t="shared" si="3"/>
        <v>27690</v>
      </c>
      <c r="K13" s="742">
        <v>25476</v>
      </c>
      <c r="L13" s="526">
        <f t="shared" si="4"/>
        <v>0</v>
      </c>
      <c r="M13" s="740">
        <v>0</v>
      </c>
      <c r="N13" s="741">
        <v>0</v>
      </c>
      <c r="O13" s="739">
        <v>16058</v>
      </c>
      <c r="P13" s="526">
        <f t="shared" si="5"/>
        <v>16058</v>
      </c>
      <c r="Q13" s="743">
        <v>0</v>
      </c>
      <c r="R13" s="748">
        <v>144556</v>
      </c>
      <c r="S13" s="740">
        <v>310113</v>
      </c>
      <c r="T13" s="534">
        <f t="shared" si="6"/>
        <v>0.24891391571432525</v>
      </c>
      <c r="U13" s="534">
        <f t="shared" si="7"/>
        <v>0.17144073289413858</v>
      </c>
      <c r="V13" s="535">
        <f t="shared" si="8"/>
        <v>0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19.5" customHeight="1" x14ac:dyDescent="0.2">
      <c r="A14" s="550" t="s">
        <v>275</v>
      </c>
      <c r="B14" s="536" t="s">
        <v>46</v>
      </c>
      <c r="C14" s="739">
        <v>35673</v>
      </c>
      <c r="D14" s="526">
        <f t="shared" si="0"/>
        <v>35673</v>
      </c>
      <c r="E14" s="526">
        <f t="shared" si="1"/>
        <v>35673</v>
      </c>
      <c r="F14" s="740">
        <v>0</v>
      </c>
      <c r="G14" s="741">
        <v>0</v>
      </c>
      <c r="H14" s="529">
        <f t="shared" si="2"/>
        <v>52599</v>
      </c>
      <c r="I14" s="527">
        <v>52599</v>
      </c>
      <c r="J14" s="759">
        <f t="shared" si="3"/>
        <v>27543</v>
      </c>
      <c r="K14" s="742">
        <v>25056</v>
      </c>
      <c r="L14" s="526">
        <f t="shared" si="4"/>
        <v>0</v>
      </c>
      <c r="M14" s="740">
        <v>0</v>
      </c>
      <c r="N14" s="741">
        <v>0</v>
      </c>
      <c r="O14" s="739">
        <v>15911</v>
      </c>
      <c r="P14" s="526">
        <f t="shared" si="5"/>
        <v>15911</v>
      </c>
      <c r="Q14" s="743">
        <v>0</v>
      </c>
      <c r="R14" s="748">
        <v>144686</v>
      </c>
      <c r="S14" s="740">
        <v>310188</v>
      </c>
      <c r="T14" s="534">
        <f t="shared" si="6"/>
        <v>0.24655460790954203</v>
      </c>
      <c r="U14" s="534">
        <f t="shared" si="7"/>
        <v>0.16957135672559867</v>
      </c>
      <c r="V14" s="535">
        <f t="shared" si="8"/>
        <v>0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19.5" customHeight="1" x14ac:dyDescent="0.2">
      <c r="A15" s="550" t="s">
        <v>2813</v>
      </c>
      <c r="B15" s="537" t="s">
        <v>47</v>
      </c>
      <c r="C15" s="739">
        <v>35441</v>
      </c>
      <c r="D15" s="526">
        <f t="shared" si="0"/>
        <v>35441</v>
      </c>
      <c r="E15" s="526">
        <f t="shared" si="1"/>
        <v>35441</v>
      </c>
      <c r="F15" s="740">
        <v>0</v>
      </c>
      <c r="G15" s="741">
        <v>0</v>
      </c>
      <c r="H15" s="529">
        <f t="shared" si="2"/>
        <v>52144</v>
      </c>
      <c r="I15" s="527">
        <v>52144</v>
      </c>
      <c r="J15" s="759">
        <f t="shared" si="3"/>
        <v>27338</v>
      </c>
      <c r="K15" s="742">
        <v>24806</v>
      </c>
      <c r="L15" s="526">
        <f t="shared" si="4"/>
        <v>0</v>
      </c>
      <c r="M15" s="740">
        <v>0</v>
      </c>
      <c r="N15" s="741">
        <v>0</v>
      </c>
      <c r="O15" s="739">
        <v>15779</v>
      </c>
      <c r="P15" s="526">
        <f t="shared" si="5"/>
        <v>15779</v>
      </c>
      <c r="Q15" s="743">
        <v>0</v>
      </c>
      <c r="R15" s="744">
        <v>144738</v>
      </c>
      <c r="S15" s="745">
        <v>310136</v>
      </c>
      <c r="T15" s="534">
        <f t="shared" si="6"/>
        <v>0.24486313200403487</v>
      </c>
      <c r="U15" s="534">
        <f t="shared" si="7"/>
        <v>0.16813269017463306</v>
      </c>
      <c r="V15" s="535">
        <f t="shared" si="8"/>
        <v>0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>
        <v>35259</v>
      </c>
      <c r="D16" s="526">
        <f t="shared" si="0"/>
        <v>35259</v>
      </c>
      <c r="E16" s="526">
        <f t="shared" si="1"/>
        <v>35259</v>
      </c>
      <c r="F16" s="740">
        <v>0</v>
      </c>
      <c r="G16" s="741">
        <v>0</v>
      </c>
      <c r="H16" s="529">
        <f t="shared" si="2"/>
        <v>51850</v>
      </c>
      <c r="I16" s="527">
        <v>51850</v>
      </c>
      <c r="J16" s="759">
        <f t="shared" si="3"/>
        <v>27165</v>
      </c>
      <c r="K16" s="742">
        <v>24685</v>
      </c>
      <c r="L16" s="526">
        <f t="shared" si="4"/>
        <v>0</v>
      </c>
      <c r="M16" s="740">
        <v>0</v>
      </c>
      <c r="N16" s="741">
        <v>0</v>
      </c>
      <c r="O16" s="739">
        <v>15721</v>
      </c>
      <c r="P16" s="526">
        <f t="shared" si="5"/>
        <v>15721</v>
      </c>
      <c r="Q16" s="743">
        <v>0</v>
      </c>
      <c r="R16" s="744">
        <v>144504</v>
      </c>
      <c r="S16" s="749">
        <v>309719</v>
      </c>
      <c r="T16" s="554">
        <f t="shared" si="6"/>
        <v>0.24400016608536787</v>
      </c>
      <c r="U16" s="534">
        <f t="shared" si="7"/>
        <v>0.16740981341151173</v>
      </c>
      <c r="V16" s="535">
        <f t="shared" si="8"/>
        <v>0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>
        <v>35017</v>
      </c>
      <c r="D17" s="526">
        <f t="shared" si="0"/>
        <v>35017</v>
      </c>
      <c r="E17" s="526">
        <f t="shared" si="1"/>
        <v>35017</v>
      </c>
      <c r="F17" s="740">
        <v>0</v>
      </c>
      <c r="G17" s="754">
        <v>0</v>
      </c>
      <c r="H17" s="529">
        <f t="shared" si="2"/>
        <v>51473</v>
      </c>
      <c r="I17" s="527">
        <v>51473</v>
      </c>
      <c r="J17" s="759">
        <f t="shared" si="3"/>
        <v>27123</v>
      </c>
      <c r="K17" s="742">
        <v>24350</v>
      </c>
      <c r="L17" s="526">
        <f t="shared" si="4"/>
        <v>0</v>
      </c>
      <c r="M17" s="740">
        <v>0</v>
      </c>
      <c r="N17" s="741">
        <v>0</v>
      </c>
      <c r="O17" s="739">
        <v>15659</v>
      </c>
      <c r="P17" s="526">
        <f t="shared" si="5"/>
        <v>15659</v>
      </c>
      <c r="Q17" s="743">
        <v>0</v>
      </c>
      <c r="R17" s="750">
        <v>144216</v>
      </c>
      <c r="S17" s="751">
        <v>309257</v>
      </c>
      <c r="T17" s="533">
        <f t="shared" si="6"/>
        <v>0.24280939701558774</v>
      </c>
      <c r="U17" s="534">
        <f t="shared" si="7"/>
        <v>0.16644085663380295</v>
      </c>
      <c r="V17" s="535">
        <f t="shared" si="8"/>
        <v>0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>
        <v>34844</v>
      </c>
      <c r="D18" s="526">
        <f t="shared" si="0"/>
        <v>34844</v>
      </c>
      <c r="E18" s="526">
        <f t="shared" si="1"/>
        <v>34844</v>
      </c>
      <c r="F18" s="740">
        <v>0</v>
      </c>
      <c r="G18" s="754">
        <v>0</v>
      </c>
      <c r="H18" s="529">
        <f t="shared" si="2"/>
        <v>51175</v>
      </c>
      <c r="I18" s="527">
        <v>51175</v>
      </c>
      <c r="J18" s="759">
        <f t="shared" si="3"/>
        <v>27030</v>
      </c>
      <c r="K18" s="742">
        <v>24145</v>
      </c>
      <c r="L18" s="526">
        <f t="shared" si="4"/>
        <v>0</v>
      </c>
      <c r="M18" s="740">
        <v>0</v>
      </c>
      <c r="N18" s="741">
        <v>0</v>
      </c>
      <c r="O18" s="739">
        <v>15558</v>
      </c>
      <c r="P18" s="526">
        <f t="shared" si="5"/>
        <v>15558</v>
      </c>
      <c r="Q18" s="743">
        <v>0</v>
      </c>
      <c r="R18" s="765">
        <v>144208</v>
      </c>
      <c r="S18" s="766">
        <v>309051</v>
      </c>
      <c r="T18" s="533">
        <f t="shared" si="6"/>
        <v>0.24162321091756353</v>
      </c>
      <c r="U18" s="534">
        <f t="shared" si="7"/>
        <v>0.16558755674629755</v>
      </c>
      <c r="V18" s="535">
        <f t="shared" si="8"/>
        <v>0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889" t="s">
        <v>51</v>
      </c>
      <c r="C19" s="887">
        <v>34593</v>
      </c>
      <c r="D19" s="526">
        <f t="shared" si="0"/>
        <v>34593</v>
      </c>
      <c r="E19" s="526">
        <f>C19-G19-F19</f>
        <v>34593</v>
      </c>
      <c r="F19" s="740">
        <v>0</v>
      </c>
      <c r="G19" s="754">
        <v>0</v>
      </c>
      <c r="H19" s="529">
        <f t="shared" si="2"/>
        <v>50763</v>
      </c>
      <c r="I19" s="527">
        <v>50763</v>
      </c>
      <c r="J19" s="759">
        <f t="shared" si="3"/>
        <v>26853</v>
      </c>
      <c r="K19" s="742">
        <v>23910</v>
      </c>
      <c r="L19" s="526">
        <f t="shared" si="4"/>
        <v>0</v>
      </c>
      <c r="M19" s="740">
        <v>0</v>
      </c>
      <c r="N19" s="741">
        <v>0</v>
      </c>
      <c r="O19" s="739">
        <v>15439</v>
      </c>
      <c r="P19" s="526">
        <f t="shared" si="5"/>
        <v>15439</v>
      </c>
      <c r="Q19" s="743">
        <v>0</v>
      </c>
      <c r="R19" s="756">
        <v>144557</v>
      </c>
      <c r="S19" s="757">
        <v>308752</v>
      </c>
      <c r="T19" s="533">
        <f t="shared" si="6"/>
        <v>0.2393035273283203</v>
      </c>
      <c r="U19" s="534">
        <f t="shared" si="7"/>
        <v>0.16441350987200082</v>
      </c>
      <c r="V19" s="535">
        <f t="shared" si="8"/>
        <v>0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890" t="s">
        <v>52</v>
      </c>
      <c r="C20" s="888">
        <f t="shared" ref="C20:S20" si="9">SUM(C8:C19)</f>
        <v>429365</v>
      </c>
      <c r="D20" s="559">
        <f t="shared" si="9"/>
        <v>429365</v>
      </c>
      <c r="E20" s="559">
        <f t="shared" si="9"/>
        <v>429365</v>
      </c>
      <c r="F20" s="559">
        <f t="shared" si="9"/>
        <v>0</v>
      </c>
      <c r="G20" s="575">
        <f t="shared" si="9"/>
        <v>0</v>
      </c>
      <c r="H20" s="558">
        <f t="shared" si="9"/>
        <v>633685</v>
      </c>
      <c r="I20" s="559">
        <f t="shared" si="9"/>
        <v>633685</v>
      </c>
      <c r="J20" s="559">
        <f t="shared" si="9"/>
        <v>331070</v>
      </c>
      <c r="K20" s="559">
        <f t="shared" si="9"/>
        <v>302615</v>
      </c>
      <c r="L20" s="559">
        <f>SUM(L8:L19)</f>
        <v>0</v>
      </c>
      <c r="M20" s="559">
        <f t="shared" si="9"/>
        <v>0</v>
      </c>
      <c r="N20" s="560">
        <f t="shared" si="9"/>
        <v>0</v>
      </c>
      <c r="O20" s="558">
        <f t="shared" si="9"/>
        <v>191322</v>
      </c>
      <c r="P20" s="559">
        <f t="shared" si="9"/>
        <v>191322</v>
      </c>
      <c r="Q20" s="560">
        <f t="shared" si="9"/>
        <v>0</v>
      </c>
      <c r="R20" s="561">
        <f t="shared" si="9"/>
        <v>1732902</v>
      </c>
      <c r="S20" s="562">
        <f t="shared" si="9"/>
        <v>3718208</v>
      </c>
      <c r="T20" s="563">
        <f t="shared" si="6"/>
        <v>0.24777223409056023</v>
      </c>
      <c r="U20" s="564">
        <f t="shared" si="7"/>
        <v>0.17042752852987245</v>
      </c>
      <c r="V20" s="565">
        <f t="shared" si="8"/>
        <v>0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890" t="s">
        <v>53</v>
      </c>
      <c r="C21" s="560">
        <f>AVERAGE(C8:C19)</f>
        <v>35780.416666666664</v>
      </c>
      <c r="D21" s="562">
        <f>D20/(COUNTIF(D8:D19,"&gt;0"))</f>
        <v>35780.416666666664</v>
      </c>
      <c r="E21" s="560">
        <f>E20/(COUNTIF(E8:E19,"&gt;0"))</f>
        <v>35780.416666666664</v>
      </c>
      <c r="F21" s="560">
        <f t="shared" ref="F21:S21" si="10">AVERAGE(F8:F19)</f>
        <v>0</v>
      </c>
      <c r="G21" s="575">
        <f t="shared" si="10"/>
        <v>0</v>
      </c>
      <c r="H21" s="574">
        <f>H20/(COUNTIF(H8:H19,"&gt;0"))</f>
        <v>52807.083333333336</v>
      </c>
      <c r="I21" s="562">
        <f t="shared" si="10"/>
        <v>52807.083333333336</v>
      </c>
      <c r="J21" s="562">
        <f>J20/(COUNTIF(J8:J19,"&gt;0"))</f>
        <v>27589.166666666668</v>
      </c>
      <c r="K21" s="562">
        <f t="shared" si="10"/>
        <v>25217.916666666668</v>
      </c>
      <c r="L21" s="560">
        <v>0</v>
      </c>
      <c r="M21" s="560">
        <f t="shared" si="10"/>
        <v>0</v>
      </c>
      <c r="N21" s="575">
        <f t="shared" si="10"/>
        <v>0</v>
      </c>
      <c r="O21" s="574">
        <f t="shared" si="10"/>
        <v>15943.5</v>
      </c>
      <c r="P21" s="562">
        <f>P20/(COUNTIF(P8:P19,"&gt;0"))</f>
        <v>15943.5</v>
      </c>
      <c r="Q21" s="562">
        <f t="shared" si="10"/>
        <v>0</v>
      </c>
      <c r="R21" s="574">
        <f t="shared" si="10"/>
        <v>144408.5</v>
      </c>
      <c r="S21" s="560">
        <f t="shared" si="10"/>
        <v>309850.66666666669</v>
      </c>
      <c r="T21" s="563">
        <f t="shared" si="6"/>
        <v>0.24777223409056021</v>
      </c>
      <c r="U21" s="564">
        <f t="shared" si="7"/>
        <v>0.17042752852987245</v>
      </c>
      <c r="V21" s="565">
        <f t="shared" si="8"/>
        <v>0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891"/>
      <c r="C22" s="581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36657</v>
      </c>
      <c r="D23" s="526">
        <f t="shared" si="11"/>
        <v>36657</v>
      </c>
      <c r="E23" s="596">
        <f t="shared" si="11"/>
        <v>36657</v>
      </c>
      <c r="F23" s="596">
        <f t="shared" si="11"/>
        <v>0</v>
      </c>
      <c r="G23" s="597">
        <f t="shared" si="11"/>
        <v>0</v>
      </c>
      <c r="H23" s="595">
        <f t="shared" si="11"/>
        <v>54498</v>
      </c>
      <c r="I23" s="526">
        <f t="shared" si="11"/>
        <v>54498</v>
      </c>
      <c r="J23" s="596">
        <f t="shared" si="11"/>
        <v>28134</v>
      </c>
      <c r="K23" s="596">
        <f t="shared" si="11"/>
        <v>26364</v>
      </c>
      <c r="L23" s="596">
        <f t="shared" si="11"/>
        <v>0</v>
      </c>
      <c r="M23" s="596">
        <f t="shared" si="11"/>
        <v>0</v>
      </c>
      <c r="N23" s="597">
        <f t="shared" si="11"/>
        <v>0</v>
      </c>
      <c r="O23" s="595">
        <f t="shared" si="11"/>
        <v>16350</v>
      </c>
      <c r="P23" s="526">
        <f t="shared" si="11"/>
        <v>16350</v>
      </c>
      <c r="Q23" s="597">
        <f t="shared" si="11"/>
        <v>0</v>
      </c>
      <c r="R23" s="598">
        <f t="shared" si="11"/>
        <v>143717</v>
      </c>
      <c r="S23" s="526">
        <f t="shared" si="11"/>
        <v>309789</v>
      </c>
      <c r="T23" s="533">
        <f t="shared" ref="T23:T38" si="12">C23/R23</f>
        <v>0.25506377116137968</v>
      </c>
      <c r="U23" s="534">
        <f t="shared" ref="U23:U38" si="13">H23/S23</f>
        <v>0.17591973891907073</v>
      </c>
      <c r="V23" s="535">
        <f t="shared" ref="V23:V38" si="14">L23/H23</f>
        <v>0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73388</v>
      </c>
      <c r="D24" s="599">
        <f t="shared" si="15"/>
        <v>73388</v>
      </c>
      <c r="E24" s="600">
        <f t="shared" si="15"/>
        <v>73388</v>
      </c>
      <c r="F24" s="600">
        <f t="shared" si="15"/>
        <v>0</v>
      </c>
      <c r="G24" s="601">
        <f t="shared" si="15"/>
        <v>0</v>
      </c>
      <c r="H24" s="529">
        <f t="shared" si="15"/>
        <v>108943</v>
      </c>
      <c r="I24" s="599">
        <f t="shared" si="15"/>
        <v>108943</v>
      </c>
      <c r="J24" s="600">
        <f t="shared" si="15"/>
        <v>56345</v>
      </c>
      <c r="K24" s="600">
        <f t="shared" si="15"/>
        <v>52598</v>
      </c>
      <c r="L24" s="600">
        <f t="shared" si="15"/>
        <v>0</v>
      </c>
      <c r="M24" s="600">
        <f t="shared" si="15"/>
        <v>0</v>
      </c>
      <c r="N24" s="601">
        <f t="shared" si="15"/>
        <v>0</v>
      </c>
      <c r="O24" s="529">
        <f t="shared" si="15"/>
        <v>32641</v>
      </c>
      <c r="P24" s="599">
        <f t="shared" si="15"/>
        <v>32641</v>
      </c>
      <c r="Q24" s="601">
        <f t="shared" si="15"/>
        <v>0</v>
      </c>
      <c r="R24" s="602">
        <f t="shared" si="15"/>
        <v>288022</v>
      </c>
      <c r="S24" s="599">
        <f t="shared" si="15"/>
        <v>620081</v>
      </c>
      <c r="T24" s="603">
        <f t="shared" si="12"/>
        <v>0.25479998055704078</v>
      </c>
      <c r="U24" s="604">
        <f t="shared" si="13"/>
        <v>0.17569156287646293</v>
      </c>
      <c r="V24" s="605">
        <f t="shared" si="14"/>
        <v>0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109996</v>
      </c>
      <c r="D25" s="599">
        <f t="shared" si="16"/>
        <v>109996</v>
      </c>
      <c r="E25" s="600">
        <f t="shared" si="16"/>
        <v>109996</v>
      </c>
      <c r="F25" s="600">
        <f t="shared" si="16"/>
        <v>0</v>
      </c>
      <c r="G25" s="601">
        <f t="shared" si="16"/>
        <v>0</v>
      </c>
      <c r="H25" s="529">
        <f t="shared" si="16"/>
        <v>163151</v>
      </c>
      <c r="I25" s="599">
        <f t="shared" si="16"/>
        <v>163151</v>
      </c>
      <c r="J25" s="600">
        <f t="shared" si="16"/>
        <v>84484</v>
      </c>
      <c r="K25" s="600">
        <f t="shared" si="16"/>
        <v>78667</v>
      </c>
      <c r="L25" s="600">
        <f t="shared" si="16"/>
        <v>0</v>
      </c>
      <c r="M25" s="600">
        <f t="shared" si="16"/>
        <v>0</v>
      </c>
      <c r="N25" s="601">
        <f t="shared" si="16"/>
        <v>0</v>
      </c>
      <c r="O25" s="529">
        <f t="shared" si="16"/>
        <v>48870</v>
      </c>
      <c r="P25" s="599">
        <f t="shared" si="16"/>
        <v>48870</v>
      </c>
      <c r="Q25" s="601">
        <f t="shared" si="16"/>
        <v>0</v>
      </c>
      <c r="R25" s="602">
        <f t="shared" si="16"/>
        <v>432531</v>
      </c>
      <c r="S25" s="599">
        <f t="shared" si="16"/>
        <v>930529</v>
      </c>
      <c r="T25" s="603">
        <f t="shared" si="12"/>
        <v>0.25430778371954843</v>
      </c>
      <c r="U25" s="604">
        <f t="shared" si="13"/>
        <v>0.17533145124977298</v>
      </c>
      <c r="V25" s="605">
        <f t="shared" si="14"/>
        <v>0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146409</v>
      </c>
      <c r="D26" s="599">
        <f t="shared" si="17"/>
        <v>146409</v>
      </c>
      <c r="E26" s="600">
        <f t="shared" si="17"/>
        <v>146409</v>
      </c>
      <c r="F26" s="600">
        <f t="shared" si="17"/>
        <v>0</v>
      </c>
      <c r="G26" s="601">
        <f>SUM(G8:G11)</f>
        <v>0</v>
      </c>
      <c r="H26" s="529">
        <f t="shared" si="17"/>
        <v>217027</v>
      </c>
      <c r="I26" s="599">
        <f t="shared" si="17"/>
        <v>217027</v>
      </c>
      <c r="J26" s="600">
        <f t="shared" si="17"/>
        <v>112505</v>
      </c>
      <c r="K26" s="600">
        <f t="shared" si="17"/>
        <v>104522</v>
      </c>
      <c r="L26" s="600">
        <f t="shared" si="17"/>
        <v>0</v>
      </c>
      <c r="M26" s="600">
        <f t="shared" si="17"/>
        <v>0</v>
      </c>
      <c r="N26" s="601">
        <f t="shared" si="17"/>
        <v>0</v>
      </c>
      <c r="O26" s="529">
        <f t="shared" si="17"/>
        <v>65067</v>
      </c>
      <c r="P26" s="599">
        <f t="shared" si="17"/>
        <v>65067</v>
      </c>
      <c r="Q26" s="601">
        <f t="shared" si="17"/>
        <v>0</v>
      </c>
      <c r="R26" s="602">
        <f t="shared" si="17"/>
        <v>577047</v>
      </c>
      <c r="S26" s="599">
        <f t="shared" si="17"/>
        <v>1240911</v>
      </c>
      <c r="T26" s="603">
        <f t="shared" si="12"/>
        <v>0.25372110070756804</v>
      </c>
      <c r="U26" s="604">
        <f t="shared" si="13"/>
        <v>0.17489328404696228</v>
      </c>
      <c r="V26" s="605">
        <f t="shared" si="14"/>
        <v>0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182556</v>
      </c>
      <c r="D27" s="599">
        <f t="shared" si="18"/>
        <v>182556</v>
      </c>
      <c r="E27" s="600">
        <f t="shared" si="18"/>
        <v>182556</v>
      </c>
      <c r="F27" s="600">
        <f t="shared" si="18"/>
        <v>0</v>
      </c>
      <c r="G27" s="601">
        <f t="shared" si="18"/>
        <v>0</v>
      </c>
      <c r="H27" s="529">
        <f t="shared" si="18"/>
        <v>270515</v>
      </c>
      <c r="I27" s="599">
        <f t="shared" si="18"/>
        <v>270515</v>
      </c>
      <c r="J27" s="600">
        <f t="shared" si="18"/>
        <v>140328</v>
      </c>
      <c r="K27" s="600">
        <f t="shared" si="18"/>
        <v>130187</v>
      </c>
      <c r="L27" s="600">
        <f t="shared" si="18"/>
        <v>0</v>
      </c>
      <c r="M27" s="600">
        <f t="shared" si="18"/>
        <v>0</v>
      </c>
      <c r="N27" s="601">
        <f t="shared" si="18"/>
        <v>0</v>
      </c>
      <c r="O27" s="529">
        <f t="shared" si="18"/>
        <v>81197</v>
      </c>
      <c r="P27" s="599">
        <f t="shared" si="18"/>
        <v>81197</v>
      </c>
      <c r="Q27" s="601">
        <f t="shared" si="18"/>
        <v>0</v>
      </c>
      <c r="R27" s="602">
        <f t="shared" si="18"/>
        <v>721437</v>
      </c>
      <c r="S27" s="599">
        <f t="shared" si="18"/>
        <v>1550992</v>
      </c>
      <c r="T27" s="603">
        <f t="shared" si="12"/>
        <v>0.25304496442516811</v>
      </c>
      <c r="U27" s="604">
        <f t="shared" si="13"/>
        <v>0.17441418137553255</v>
      </c>
      <c r="V27" s="605">
        <f t="shared" si="14"/>
        <v>0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218538</v>
      </c>
      <c r="D28" s="599">
        <f t="shared" si="19"/>
        <v>218538</v>
      </c>
      <c r="E28" s="600">
        <f t="shared" si="19"/>
        <v>218538</v>
      </c>
      <c r="F28" s="600">
        <f t="shared" si="19"/>
        <v>0</v>
      </c>
      <c r="G28" s="601">
        <f t="shared" si="19"/>
        <v>0</v>
      </c>
      <c r="H28" s="529">
        <f t="shared" si="19"/>
        <v>323681</v>
      </c>
      <c r="I28" s="599">
        <f t="shared" si="19"/>
        <v>323681</v>
      </c>
      <c r="J28" s="600">
        <f t="shared" si="19"/>
        <v>168018</v>
      </c>
      <c r="K28" s="600">
        <f t="shared" si="19"/>
        <v>155663</v>
      </c>
      <c r="L28" s="600">
        <f t="shared" si="19"/>
        <v>0</v>
      </c>
      <c r="M28" s="600">
        <f t="shared" si="19"/>
        <v>0</v>
      </c>
      <c r="N28" s="601">
        <f t="shared" si="19"/>
        <v>0</v>
      </c>
      <c r="O28" s="529">
        <f t="shared" si="19"/>
        <v>97255</v>
      </c>
      <c r="P28" s="599">
        <f t="shared" si="19"/>
        <v>97255</v>
      </c>
      <c r="Q28" s="601">
        <f t="shared" si="19"/>
        <v>0</v>
      </c>
      <c r="R28" s="602">
        <f t="shared" si="19"/>
        <v>865993</v>
      </c>
      <c r="S28" s="599">
        <f t="shared" si="19"/>
        <v>1861105</v>
      </c>
      <c r="T28" s="603">
        <f t="shared" si="12"/>
        <v>0.25235538855394907</v>
      </c>
      <c r="U28" s="604">
        <f t="shared" si="13"/>
        <v>0.17391872033012645</v>
      </c>
      <c r="V28" s="605">
        <f t="shared" si="14"/>
        <v>0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254211</v>
      </c>
      <c r="D29" s="599">
        <f t="shared" si="20"/>
        <v>254211</v>
      </c>
      <c r="E29" s="600">
        <f t="shared" si="20"/>
        <v>254211</v>
      </c>
      <c r="F29" s="600">
        <f t="shared" si="20"/>
        <v>0</v>
      </c>
      <c r="G29" s="601">
        <f t="shared" si="20"/>
        <v>0</v>
      </c>
      <c r="H29" s="529">
        <f t="shared" si="20"/>
        <v>376280</v>
      </c>
      <c r="I29" s="599">
        <f t="shared" si="20"/>
        <v>376280</v>
      </c>
      <c r="J29" s="600">
        <f t="shared" si="20"/>
        <v>195561</v>
      </c>
      <c r="K29" s="600">
        <f t="shared" si="20"/>
        <v>180719</v>
      </c>
      <c r="L29" s="600">
        <f t="shared" si="20"/>
        <v>0</v>
      </c>
      <c r="M29" s="600">
        <f t="shared" si="20"/>
        <v>0</v>
      </c>
      <c r="N29" s="601">
        <f t="shared" si="20"/>
        <v>0</v>
      </c>
      <c r="O29" s="529">
        <f t="shared" si="20"/>
        <v>113166</v>
      </c>
      <c r="P29" s="599">
        <f t="shared" si="20"/>
        <v>113166</v>
      </c>
      <c r="Q29" s="601">
        <f t="shared" si="20"/>
        <v>0</v>
      </c>
      <c r="R29" s="602">
        <f t="shared" si="20"/>
        <v>1010679</v>
      </c>
      <c r="S29" s="599">
        <f t="shared" si="20"/>
        <v>2171293</v>
      </c>
      <c r="T29" s="603">
        <f t="shared" si="12"/>
        <v>0.25152496489983467</v>
      </c>
      <c r="U29" s="604">
        <f t="shared" si="13"/>
        <v>0.17329766180796419</v>
      </c>
      <c r="V29" s="605">
        <f t="shared" si="14"/>
        <v>0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289652</v>
      </c>
      <c r="D30" s="599">
        <f t="shared" si="21"/>
        <v>289652</v>
      </c>
      <c r="E30" s="600">
        <f t="shared" si="21"/>
        <v>289652</v>
      </c>
      <c r="F30" s="600">
        <f t="shared" si="21"/>
        <v>0</v>
      </c>
      <c r="G30" s="601">
        <f t="shared" si="21"/>
        <v>0</v>
      </c>
      <c r="H30" s="529">
        <f t="shared" si="21"/>
        <v>428424</v>
      </c>
      <c r="I30" s="599">
        <f t="shared" si="21"/>
        <v>428424</v>
      </c>
      <c r="J30" s="600">
        <f t="shared" si="21"/>
        <v>222899</v>
      </c>
      <c r="K30" s="600">
        <f t="shared" si="21"/>
        <v>205525</v>
      </c>
      <c r="L30" s="600">
        <f t="shared" si="21"/>
        <v>0</v>
      </c>
      <c r="M30" s="600">
        <f t="shared" si="21"/>
        <v>0</v>
      </c>
      <c r="N30" s="601">
        <f t="shared" si="21"/>
        <v>0</v>
      </c>
      <c r="O30" s="529">
        <f t="shared" si="21"/>
        <v>128945</v>
      </c>
      <c r="P30" s="599">
        <f t="shared" si="21"/>
        <v>128945</v>
      </c>
      <c r="Q30" s="601">
        <f t="shared" si="21"/>
        <v>0</v>
      </c>
      <c r="R30" s="602">
        <f t="shared" si="21"/>
        <v>1155417</v>
      </c>
      <c r="S30" s="599">
        <f t="shared" si="21"/>
        <v>2481429</v>
      </c>
      <c r="T30" s="603">
        <f t="shared" si="12"/>
        <v>0.25069044336373791</v>
      </c>
      <c r="U30" s="604">
        <f t="shared" si="13"/>
        <v>0.17265212907562538</v>
      </c>
      <c r="V30" s="605">
        <f t="shared" si="14"/>
        <v>0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324911</v>
      </c>
      <c r="D31" s="599">
        <f t="shared" si="22"/>
        <v>324911</v>
      </c>
      <c r="E31" s="600">
        <f t="shared" si="22"/>
        <v>324911</v>
      </c>
      <c r="F31" s="600">
        <f t="shared" si="22"/>
        <v>0</v>
      </c>
      <c r="G31" s="601">
        <f t="shared" si="22"/>
        <v>0</v>
      </c>
      <c r="H31" s="529">
        <f t="shared" si="22"/>
        <v>480274</v>
      </c>
      <c r="I31" s="599">
        <f t="shared" si="22"/>
        <v>480274</v>
      </c>
      <c r="J31" s="600">
        <f t="shared" si="22"/>
        <v>250064</v>
      </c>
      <c r="K31" s="600">
        <f t="shared" si="22"/>
        <v>230210</v>
      </c>
      <c r="L31" s="600">
        <f t="shared" si="22"/>
        <v>0</v>
      </c>
      <c r="M31" s="600">
        <f t="shared" si="22"/>
        <v>0</v>
      </c>
      <c r="N31" s="601">
        <f t="shared" si="22"/>
        <v>0</v>
      </c>
      <c r="O31" s="529">
        <f t="shared" si="22"/>
        <v>144666</v>
      </c>
      <c r="P31" s="599">
        <f t="shared" si="22"/>
        <v>144666</v>
      </c>
      <c r="Q31" s="601">
        <f t="shared" si="22"/>
        <v>0</v>
      </c>
      <c r="R31" s="602">
        <f t="shared" si="22"/>
        <v>1299921</v>
      </c>
      <c r="S31" s="599">
        <f t="shared" si="22"/>
        <v>2791148</v>
      </c>
      <c r="T31" s="603">
        <f t="shared" si="12"/>
        <v>0.24994672753190386</v>
      </c>
      <c r="U31" s="604">
        <f t="shared" si="13"/>
        <v>0.17207041690372563</v>
      </c>
      <c r="V31" s="605">
        <f t="shared" si="14"/>
        <v>0</v>
      </c>
    </row>
    <row r="32" spans="1:45" ht="20.149999999999999" customHeight="1" x14ac:dyDescent="0.2">
      <c r="B32" s="537" t="s">
        <v>63</v>
      </c>
      <c r="C32" s="529">
        <f t="shared" ref="C32:S32" si="23">SUM(C8:C17)</f>
        <v>359928</v>
      </c>
      <c r="D32" s="599">
        <f t="shared" si="23"/>
        <v>359928</v>
      </c>
      <c r="E32" s="600">
        <f t="shared" si="23"/>
        <v>359928</v>
      </c>
      <c r="F32" s="600">
        <f t="shared" si="23"/>
        <v>0</v>
      </c>
      <c r="G32" s="601">
        <f t="shared" si="23"/>
        <v>0</v>
      </c>
      <c r="H32" s="529">
        <f t="shared" si="23"/>
        <v>531747</v>
      </c>
      <c r="I32" s="599">
        <f t="shared" si="23"/>
        <v>531747</v>
      </c>
      <c r="J32" s="600">
        <f t="shared" si="23"/>
        <v>277187</v>
      </c>
      <c r="K32" s="600">
        <f t="shared" si="23"/>
        <v>254560</v>
      </c>
      <c r="L32" s="600">
        <f t="shared" si="23"/>
        <v>0</v>
      </c>
      <c r="M32" s="600">
        <f t="shared" si="23"/>
        <v>0</v>
      </c>
      <c r="N32" s="601">
        <f t="shared" si="23"/>
        <v>0</v>
      </c>
      <c r="O32" s="529">
        <f t="shared" si="23"/>
        <v>160325</v>
      </c>
      <c r="P32" s="599">
        <f t="shared" si="23"/>
        <v>160325</v>
      </c>
      <c r="Q32" s="601">
        <f t="shared" si="23"/>
        <v>0</v>
      </c>
      <c r="R32" s="602">
        <f t="shared" si="23"/>
        <v>1444137</v>
      </c>
      <c r="S32" s="599">
        <f t="shared" si="23"/>
        <v>3100405</v>
      </c>
      <c r="T32" s="603">
        <f t="shared" si="12"/>
        <v>0.24923397156917937</v>
      </c>
      <c r="U32" s="604">
        <f t="shared" si="13"/>
        <v>0.17150888351683086</v>
      </c>
      <c r="V32" s="605">
        <f t="shared" si="14"/>
        <v>0</v>
      </c>
    </row>
    <row r="33" spans="1:35" ht="20.149999999999999" customHeight="1" x14ac:dyDescent="0.2">
      <c r="B33" s="537" t="s">
        <v>64</v>
      </c>
      <c r="C33" s="529">
        <f t="shared" ref="C33:S33" si="24">SUM(C8:C18)</f>
        <v>394772</v>
      </c>
      <c r="D33" s="599">
        <f t="shared" si="24"/>
        <v>394772</v>
      </c>
      <c r="E33" s="600">
        <f t="shared" si="24"/>
        <v>394772</v>
      </c>
      <c r="F33" s="600">
        <f t="shared" si="24"/>
        <v>0</v>
      </c>
      <c r="G33" s="601">
        <f t="shared" si="24"/>
        <v>0</v>
      </c>
      <c r="H33" s="529">
        <f t="shared" si="24"/>
        <v>582922</v>
      </c>
      <c r="I33" s="599">
        <f t="shared" si="24"/>
        <v>582922</v>
      </c>
      <c r="J33" s="600">
        <f t="shared" si="24"/>
        <v>304217</v>
      </c>
      <c r="K33" s="600">
        <f t="shared" si="24"/>
        <v>278705</v>
      </c>
      <c r="L33" s="600">
        <f t="shared" si="24"/>
        <v>0</v>
      </c>
      <c r="M33" s="600">
        <f t="shared" si="24"/>
        <v>0</v>
      </c>
      <c r="N33" s="601">
        <f t="shared" si="24"/>
        <v>0</v>
      </c>
      <c r="O33" s="529">
        <f t="shared" si="24"/>
        <v>175883</v>
      </c>
      <c r="P33" s="599">
        <f t="shared" si="24"/>
        <v>175883</v>
      </c>
      <c r="Q33" s="601">
        <f t="shared" si="24"/>
        <v>0</v>
      </c>
      <c r="R33" s="602">
        <f t="shared" si="24"/>
        <v>1588345</v>
      </c>
      <c r="S33" s="599">
        <f t="shared" si="24"/>
        <v>3409456</v>
      </c>
      <c r="T33" s="603">
        <f t="shared" si="12"/>
        <v>0.24854298027191826</v>
      </c>
      <c r="U33" s="604">
        <f t="shared" si="13"/>
        <v>0.17097214335659414</v>
      </c>
      <c r="V33" s="605">
        <f t="shared" si="14"/>
        <v>0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429365</v>
      </c>
      <c r="D34" s="608">
        <f t="shared" si="25"/>
        <v>429365</v>
      </c>
      <c r="E34" s="609">
        <f t="shared" si="25"/>
        <v>429365</v>
      </c>
      <c r="F34" s="609">
        <f t="shared" si="25"/>
        <v>0</v>
      </c>
      <c r="G34" s="610">
        <f t="shared" si="25"/>
        <v>0</v>
      </c>
      <c r="H34" s="607">
        <f t="shared" si="25"/>
        <v>633685</v>
      </c>
      <c r="I34" s="608">
        <f t="shared" si="25"/>
        <v>633685</v>
      </c>
      <c r="J34" s="609">
        <f t="shared" si="25"/>
        <v>331070</v>
      </c>
      <c r="K34" s="609">
        <f t="shared" si="25"/>
        <v>302615</v>
      </c>
      <c r="L34" s="609">
        <f t="shared" si="25"/>
        <v>0</v>
      </c>
      <c r="M34" s="609">
        <f t="shared" si="25"/>
        <v>0</v>
      </c>
      <c r="N34" s="610">
        <f t="shared" si="25"/>
        <v>0</v>
      </c>
      <c r="O34" s="607">
        <f t="shared" si="25"/>
        <v>191322</v>
      </c>
      <c r="P34" s="608">
        <f t="shared" si="25"/>
        <v>191322</v>
      </c>
      <c r="Q34" s="610">
        <f t="shared" si="25"/>
        <v>0</v>
      </c>
      <c r="R34" s="611">
        <f t="shared" si="25"/>
        <v>1732902</v>
      </c>
      <c r="S34" s="608">
        <f t="shared" si="25"/>
        <v>3718208</v>
      </c>
      <c r="T34" s="612">
        <f t="shared" si="12"/>
        <v>0.24777223409056023</v>
      </c>
      <c r="U34" s="613">
        <f t="shared" si="13"/>
        <v>0.17042752852987245</v>
      </c>
      <c r="V34" s="614">
        <f t="shared" si="14"/>
        <v>0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430840</v>
      </c>
      <c r="D35" s="616">
        <f t="shared" si="26"/>
        <v>430840</v>
      </c>
      <c r="E35" s="616">
        <f t="shared" si="26"/>
        <v>430840</v>
      </c>
      <c r="F35" s="616">
        <f t="shared" si="26"/>
        <v>0</v>
      </c>
      <c r="G35" s="617">
        <f t="shared" si="26"/>
        <v>0</v>
      </c>
      <c r="H35" s="618">
        <f t="shared" si="26"/>
        <v>636700</v>
      </c>
      <c r="I35" s="616">
        <f t="shared" si="26"/>
        <v>636700</v>
      </c>
      <c r="J35" s="616">
        <f t="shared" si="26"/>
        <v>331845</v>
      </c>
      <c r="K35" s="616">
        <f t="shared" si="26"/>
        <v>304855</v>
      </c>
      <c r="L35" s="616">
        <f t="shared" si="26"/>
        <v>0</v>
      </c>
      <c r="M35" s="616">
        <f t="shared" si="26"/>
        <v>0</v>
      </c>
      <c r="N35" s="619">
        <f t="shared" si="26"/>
        <v>0</v>
      </c>
      <c r="O35" s="618">
        <f t="shared" si="26"/>
        <v>191989</v>
      </c>
      <c r="P35" s="616">
        <f t="shared" si="26"/>
        <v>191989</v>
      </c>
      <c r="Q35" s="619">
        <f t="shared" si="26"/>
        <v>0</v>
      </c>
      <c r="R35" s="618">
        <f t="shared" si="26"/>
        <v>1731319</v>
      </c>
      <c r="S35" s="616">
        <f t="shared" si="26"/>
        <v>3718794</v>
      </c>
      <c r="T35" s="620">
        <f t="shared" si="12"/>
        <v>0.24885073172534927</v>
      </c>
      <c r="U35" s="620">
        <f t="shared" si="13"/>
        <v>0.17121141961614436</v>
      </c>
      <c r="V35" s="621">
        <f t="shared" si="14"/>
        <v>0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35903</v>
      </c>
      <c r="D36" s="626">
        <f>E36+F36</f>
        <v>35903</v>
      </c>
      <c r="E36" s="626">
        <f>C36-F36-G36</f>
        <v>35903</v>
      </c>
      <c r="F36" s="626">
        <f>ROUND(AVERAGE(F7:F18),0)</f>
        <v>0</v>
      </c>
      <c r="G36" s="627">
        <f>ROUND(AVERAGE(G7:G18),0)</f>
        <v>0</v>
      </c>
      <c r="H36" s="625">
        <f>L36+I36</f>
        <v>53058</v>
      </c>
      <c r="I36" s="626">
        <f>ROUND(AVERAGE(I7:I18),0)</f>
        <v>53058</v>
      </c>
      <c r="J36" s="626">
        <f>J35/(COUNTIF(J7:J18,"&gt;0"))</f>
        <v>27653.75</v>
      </c>
      <c r="K36" s="626">
        <f>AVERAGE(K7:K18)</f>
        <v>25404.583333333332</v>
      </c>
      <c r="L36" s="626">
        <v>0</v>
      </c>
      <c r="M36" s="626">
        <f>ROUND(AVERAGE(M7:M18),0)</f>
        <v>0</v>
      </c>
      <c r="N36" s="628">
        <f>L36-M36</f>
        <v>0</v>
      </c>
      <c r="O36" s="625">
        <f>AVERAGE(O7:O18)</f>
        <v>15999.083333333334</v>
      </c>
      <c r="P36" s="626">
        <f>P35/(COUNTIF(P7:P18,"&gt;0"))</f>
        <v>15999.083333333334</v>
      </c>
      <c r="Q36" s="628">
        <f>AVERAGE(Q7:Q18)</f>
        <v>0</v>
      </c>
      <c r="R36" s="625">
        <f>AVERAGE(R7:R18)</f>
        <v>144276.58333333334</v>
      </c>
      <c r="S36" s="626">
        <f>AVERAGE(S7:S18)</f>
        <v>309899.5</v>
      </c>
      <c r="T36" s="629">
        <f t="shared" si="12"/>
        <v>0.24884842134811666</v>
      </c>
      <c r="U36" s="630">
        <f t="shared" si="13"/>
        <v>0.1712103439986189</v>
      </c>
      <c r="V36" s="631">
        <f t="shared" si="14"/>
        <v>0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433427</v>
      </c>
      <c r="D37" s="635">
        <f t="shared" si="27"/>
        <v>433427</v>
      </c>
      <c r="E37" s="636">
        <f t="shared" si="27"/>
        <v>433427</v>
      </c>
      <c r="F37" s="636">
        <f t="shared" si="27"/>
        <v>0</v>
      </c>
      <c r="G37" s="637">
        <f t="shared" si="27"/>
        <v>0</v>
      </c>
      <c r="H37" s="634">
        <f t="shared" si="27"/>
        <v>642220</v>
      </c>
      <c r="I37" s="635">
        <f t="shared" si="27"/>
        <v>642220</v>
      </c>
      <c r="J37" s="636">
        <f t="shared" si="27"/>
        <v>333221</v>
      </c>
      <c r="K37" s="636">
        <f t="shared" si="27"/>
        <v>308999</v>
      </c>
      <c r="L37" s="636">
        <f t="shared" si="27"/>
        <v>0</v>
      </c>
      <c r="M37" s="636">
        <f t="shared" si="27"/>
        <v>0</v>
      </c>
      <c r="N37" s="637">
        <f t="shared" si="27"/>
        <v>0</v>
      </c>
      <c r="O37" s="634">
        <f t="shared" si="27"/>
        <v>193189</v>
      </c>
      <c r="P37" s="638">
        <f t="shared" si="27"/>
        <v>193189</v>
      </c>
      <c r="Q37" s="637">
        <f t="shared" si="27"/>
        <v>0</v>
      </c>
      <c r="R37" s="634">
        <f t="shared" si="27"/>
        <v>1727894</v>
      </c>
      <c r="S37" s="635">
        <f t="shared" si="27"/>
        <v>3719756</v>
      </c>
      <c r="T37" s="639">
        <f t="shared" si="12"/>
        <v>0.25084119743456484</v>
      </c>
      <c r="U37" s="639">
        <f t="shared" si="13"/>
        <v>0.17265110937384065</v>
      </c>
      <c r="V37" s="640">
        <f t="shared" si="14"/>
        <v>0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36118.916666666664</v>
      </c>
      <c r="D38" s="643">
        <f t="shared" ref="D38:S38" si="28">D37/(COUNTIF(D8:D16,"&gt;0")+3)</f>
        <v>36118.916666666664</v>
      </c>
      <c r="E38" s="644">
        <f t="shared" si="28"/>
        <v>36118.916666666664</v>
      </c>
      <c r="F38" s="644">
        <f t="shared" si="28"/>
        <v>0</v>
      </c>
      <c r="G38" s="645">
        <f t="shared" si="28"/>
        <v>0</v>
      </c>
      <c r="H38" s="642">
        <f t="shared" si="28"/>
        <v>53518.333333333336</v>
      </c>
      <c r="I38" s="643">
        <f t="shared" si="28"/>
        <v>53518.333333333336</v>
      </c>
      <c r="J38" s="644">
        <f t="shared" si="28"/>
        <v>27768.416666666668</v>
      </c>
      <c r="K38" s="644">
        <f t="shared" si="28"/>
        <v>25749.916666666668</v>
      </c>
      <c r="L38" s="644">
        <f t="shared" si="28"/>
        <v>0</v>
      </c>
      <c r="M38" s="644">
        <f t="shared" si="28"/>
        <v>0</v>
      </c>
      <c r="N38" s="645">
        <f t="shared" si="28"/>
        <v>0</v>
      </c>
      <c r="O38" s="642">
        <f t="shared" si="28"/>
        <v>16099.083333333334</v>
      </c>
      <c r="P38" s="646">
        <f t="shared" si="28"/>
        <v>16099.083333333334</v>
      </c>
      <c r="Q38" s="645">
        <f t="shared" si="28"/>
        <v>0</v>
      </c>
      <c r="R38" s="642">
        <f t="shared" si="28"/>
        <v>143991.16666666666</v>
      </c>
      <c r="S38" s="643">
        <f t="shared" si="28"/>
        <v>309979.66666666669</v>
      </c>
      <c r="T38" s="647">
        <f t="shared" si="12"/>
        <v>0.25084119743456484</v>
      </c>
      <c r="U38" s="647">
        <f t="shared" si="13"/>
        <v>0.17265110937384065</v>
      </c>
      <c r="V38" s="648">
        <f t="shared" si="14"/>
        <v>0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S87"/>
  <sheetViews>
    <sheetView tabSelected="1" zoomScale="75" workbookViewId="0">
      <pane xSplit="2" ySplit="6" topLeftCell="C7" activePane="bottomRight" state="frozen"/>
      <selection activeCell="K28" sqref="K28"/>
      <selection pane="topRight" activeCell="K28" sqref="K28"/>
      <selection pane="bottomLeft" activeCell="K28" sqref="K28"/>
      <selection pane="bottomRight"/>
    </sheetView>
  </sheetViews>
  <sheetFormatPr defaultColWidth="10" defaultRowHeight="14" x14ac:dyDescent="0.2"/>
  <cols>
    <col min="1" max="1" width="4.58203125" style="477" customWidth="1"/>
    <col min="2" max="2" width="9.75" style="478" customWidth="1"/>
    <col min="3" max="3" width="9.33203125" style="478" customWidth="1"/>
    <col min="4" max="4" width="9" style="478" customWidth="1"/>
    <col min="5" max="5" width="8.83203125" style="478" customWidth="1"/>
    <col min="6" max="6" width="9" style="478" customWidth="1"/>
    <col min="7" max="7" width="8.75" style="478" customWidth="1"/>
    <col min="8" max="8" width="11.08203125" style="478" customWidth="1"/>
    <col min="9" max="10" width="10" style="478"/>
    <col min="11" max="11" width="9.75" style="478" customWidth="1"/>
    <col min="12" max="12" width="10" style="478"/>
    <col min="13" max="13" width="9.33203125" style="478" customWidth="1"/>
    <col min="14" max="14" width="9.25" style="478" customWidth="1"/>
    <col min="15" max="15" width="10.75" style="478" customWidth="1"/>
    <col min="16" max="16" width="9" style="478" customWidth="1"/>
    <col min="17" max="17" width="8.58203125" style="478" customWidth="1"/>
    <col min="18" max="18" width="11" style="478" customWidth="1"/>
    <col min="19" max="19" width="10.83203125" style="478" customWidth="1"/>
    <col min="20" max="20" width="10.58203125" style="478" customWidth="1"/>
    <col min="21" max="21" width="11.58203125" style="478" customWidth="1"/>
    <col min="22" max="22" width="10.58203125" style="478" customWidth="1"/>
    <col min="23" max="16384" width="10" style="478"/>
  </cols>
  <sheetData>
    <row r="1" spans="1:45" ht="20.149999999999999" customHeight="1" x14ac:dyDescent="0.2">
      <c r="B1" s="865" t="s">
        <v>2860</v>
      </c>
      <c r="AJ1" s="852"/>
      <c r="AK1" s="852"/>
      <c r="AL1" s="852"/>
      <c r="AM1" s="852"/>
      <c r="AN1" s="852"/>
      <c r="AO1" s="852"/>
      <c r="AP1" s="852"/>
      <c r="AQ1" s="852"/>
      <c r="AR1" s="852"/>
      <c r="AS1" s="852"/>
    </row>
    <row r="2" spans="1:45" ht="20.149999999999999" customHeight="1" x14ac:dyDescent="0.2">
      <c r="A2" s="867" t="s">
        <v>815</v>
      </c>
      <c r="C2" s="480">
        <f>SUM(令和４年度!C17:C19)</f>
        <v>104454</v>
      </c>
      <c r="D2" s="480">
        <f>SUM(令和４年度!D17:D19)</f>
        <v>104454</v>
      </c>
      <c r="E2" s="480">
        <f>SUM(令和４年度!E17:E19)</f>
        <v>104454</v>
      </c>
      <c r="F2" s="480">
        <f>SUM(令和４年度!F17:F19)</f>
        <v>0</v>
      </c>
      <c r="G2" s="480">
        <f>SUM(令和４年度!G17:G19)</f>
        <v>0</v>
      </c>
      <c r="H2" s="480">
        <f>SUM(令和４年度!H17:H19)</f>
        <v>153411</v>
      </c>
      <c r="I2" s="480">
        <f>SUM(令和４年度!I17:I19)</f>
        <v>153411</v>
      </c>
      <c r="J2" s="480">
        <f>SUM(令和４年度!J17:J19)</f>
        <v>81006</v>
      </c>
      <c r="K2" s="480">
        <f>SUM(令和４年度!K17:K19)</f>
        <v>72405</v>
      </c>
      <c r="L2" s="480">
        <f>SUM(令和４年度!L17:L19)</f>
        <v>0</v>
      </c>
      <c r="M2" s="480">
        <f>SUM(令和４年度!M17:M19)</f>
        <v>0</v>
      </c>
      <c r="N2" s="480">
        <f>SUM(令和４年度!N17:N19)</f>
        <v>0</v>
      </c>
      <c r="O2" s="480">
        <f>SUM(令和４年度!O17:O19)</f>
        <v>46656</v>
      </c>
      <c r="P2" s="480">
        <f>SUM(令和４年度!P17:P19)</f>
        <v>46656</v>
      </c>
      <c r="Q2" s="480">
        <f>SUM(令和４年度!Q17:Q19)</f>
        <v>0</v>
      </c>
      <c r="R2" s="480">
        <f>SUM(令和４年度!R17:R19)</f>
        <v>432981</v>
      </c>
      <c r="S2" s="480">
        <f>SUM(令和４年度!S17:S19)</f>
        <v>927060</v>
      </c>
      <c r="AJ2" s="852"/>
      <c r="AK2" s="852"/>
      <c r="AL2" s="852"/>
      <c r="AM2" s="852"/>
      <c r="AN2" s="852"/>
      <c r="AO2" s="852"/>
      <c r="AP2" s="852"/>
      <c r="AQ2" s="852"/>
      <c r="AR2" s="852"/>
      <c r="AS2" s="852"/>
    </row>
    <row r="3" spans="1:45" ht="20.149999999999999" customHeight="1" thickBot="1" x14ac:dyDescent="0.25">
      <c r="A3" s="867" t="s">
        <v>816</v>
      </c>
      <c r="B3" s="477"/>
      <c r="C3" s="477" t="s">
        <v>2861</v>
      </c>
      <c r="D3" s="477"/>
      <c r="E3" s="477" t="s">
        <v>1357</v>
      </c>
      <c r="F3" s="477"/>
      <c r="AJ3" s="852"/>
      <c r="AK3" s="853"/>
      <c r="AL3" s="853"/>
      <c r="AM3" s="853"/>
      <c r="AN3" s="853"/>
      <c r="AO3" s="853"/>
      <c r="AP3" s="853"/>
      <c r="AQ3" s="852"/>
      <c r="AR3" s="852"/>
      <c r="AS3" s="852"/>
    </row>
    <row r="4" spans="1:45" ht="20.149999999999999" customHeight="1" thickTop="1" x14ac:dyDescent="0.2">
      <c r="A4" s="867" t="s">
        <v>290</v>
      </c>
      <c r="B4" s="486" t="s">
        <v>3</v>
      </c>
      <c r="C4" s="487" t="s">
        <v>4</v>
      </c>
      <c r="D4" s="488"/>
      <c r="E4" s="488"/>
      <c r="F4" s="488"/>
      <c r="G4" s="489"/>
      <c r="H4" s="487" t="s">
        <v>5</v>
      </c>
      <c r="I4" s="488"/>
      <c r="J4" s="488"/>
      <c r="K4" s="488"/>
      <c r="L4" s="488"/>
      <c r="M4" s="488"/>
      <c r="N4" s="488"/>
      <c r="O4" s="487" t="s">
        <v>1370</v>
      </c>
      <c r="P4" s="488"/>
      <c r="Q4" s="489"/>
      <c r="R4" s="490" t="s">
        <v>6</v>
      </c>
      <c r="S4" s="491" t="s">
        <v>7</v>
      </c>
      <c r="T4" s="492" t="s">
        <v>8</v>
      </c>
      <c r="U4" s="492" t="s">
        <v>9</v>
      </c>
      <c r="V4" s="493" t="s">
        <v>10</v>
      </c>
      <c r="AJ4" s="853"/>
      <c r="AK4" s="854"/>
      <c r="AL4" s="852"/>
      <c r="AM4" s="852"/>
      <c r="AN4" s="852"/>
      <c r="AO4" s="855"/>
      <c r="AP4" s="855"/>
      <c r="AQ4" s="852"/>
      <c r="AR4" s="852"/>
      <c r="AS4" s="852"/>
    </row>
    <row r="5" spans="1:45" ht="20.149999999999999" customHeight="1" thickBot="1" x14ac:dyDescent="0.25">
      <c r="A5" s="867" t="s">
        <v>829</v>
      </c>
      <c r="B5" s="500"/>
      <c r="C5" s="501" t="s">
        <v>11</v>
      </c>
      <c r="D5" s="502" t="s">
        <v>12</v>
      </c>
      <c r="E5" s="503" t="s">
        <v>12</v>
      </c>
      <c r="F5" s="503" t="s">
        <v>14</v>
      </c>
      <c r="G5" s="504" t="s">
        <v>15</v>
      </c>
      <c r="H5" s="501" t="s">
        <v>16</v>
      </c>
      <c r="I5" s="502" t="s">
        <v>17</v>
      </c>
      <c r="J5" s="505" t="s">
        <v>2837</v>
      </c>
      <c r="K5" s="862" t="s">
        <v>2838</v>
      </c>
      <c r="L5" s="503" t="s">
        <v>20</v>
      </c>
      <c r="M5" s="503" t="s">
        <v>21</v>
      </c>
      <c r="N5" s="504" t="s">
        <v>22</v>
      </c>
      <c r="O5" s="501" t="s">
        <v>16</v>
      </c>
      <c r="P5" s="502" t="s">
        <v>17</v>
      </c>
      <c r="Q5" s="504" t="s">
        <v>20</v>
      </c>
      <c r="R5" s="506" t="s">
        <v>23</v>
      </c>
      <c r="S5" s="502" t="s">
        <v>24</v>
      </c>
      <c r="T5" s="503" t="s">
        <v>25</v>
      </c>
      <c r="U5" s="507" t="s">
        <v>96</v>
      </c>
      <c r="V5" s="508" t="s">
        <v>27</v>
      </c>
      <c r="AJ5" s="853"/>
      <c r="AK5" s="852"/>
      <c r="AL5" s="852"/>
      <c r="AM5" s="852"/>
      <c r="AN5" s="852"/>
      <c r="AO5" s="855"/>
      <c r="AP5" s="855"/>
      <c r="AQ5" s="855"/>
      <c r="AR5" s="855"/>
      <c r="AS5" s="852"/>
    </row>
    <row r="6" spans="1:45" ht="20.149999999999999" customHeight="1" thickTop="1" x14ac:dyDescent="0.2">
      <c r="A6" s="867" t="s">
        <v>847</v>
      </c>
      <c r="B6" s="516"/>
      <c r="C6" s="517" t="s">
        <v>1400</v>
      </c>
      <c r="D6" s="491" t="s">
        <v>29</v>
      </c>
      <c r="E6" s="492" t="s">
        <v>30</v>
      </c>
      <c r="F6" s="492" t="s">
        <v>31</v>
      </c>
      <c r="G6" s="493" t="s">
        <v>32</v>
      </c>
      <c r="H6" s="518" t="s">
        <v>1405</v>
      </c>
      <c r="I6" s="491" t="s">
        <v>29</v>
      </c>
      <c r="J6" s="492" t="s">
        <v>30</v>
      </c>
      <c r="K6" s="492" t="s">
        <v>31</v>
      </c>
      <c r="L6" s="492" t="s">
        <v>37</v>
      </c>
      <c r="M6" s="492" t="s">
        <v>32</v>
      </c>
      <c r="N6" s="493" t="s">
        <v>39</v>
      </c>
      <c r="O6" s="517" t="s">
        <v>29</v>
      </c>
      <c r="P6" s="491" t="s">
        <v>30</v>
      </c>
      <c r="Q6" s="519" t="s">
        <v>31</v>
      </c>
      <c r="R6" s="520"/>
      <c r="S6" s="521"/>
      <c r="T6" s="522"/>
      <c r="U6" s="522"/>
      <c r="V6" s="523"/>
      <c r="AJ6" s="853"/>
      <c r="AK6" s="852"/>
      <c r="AL6" s="852"/>
      <c r="AM6" s="852"/>
      <c r="AN6" s="852"/>
      <c r="AO6" s="855"/>
      <c r="AP6" s="855"/>
      <c r="AQ6" s="855"/>
      <c r="AR6" s="855"/>
      <c r="AS6" s="852"/>
    </row>
    <row r="7" spans="1:45" ht="20.149999999999999" customHeight="1" x14ac:dyDescent="0.2">
      <c r="A7" s="868"/>
      <c r="B7" s="758" t="s">
        <v>51</v>
      </c>
      <c r="C7" s="873">
        <v>34593</v>
      </c>
      <c r="D7" s="874">
        <v>34593</v>
      </c>
      <c r="E7" s="874">
        <v>34593</v>
      </c>
      <c r="F7" s="875">
        <v>0</v>
      </c>
      <c r="G7" s="876">
        <v>0</v>
      </c>
      <c r="H7" s="877">
        <v>50763</v>
      </c>
      <c r="I7" s="874">
        <v>50763</v>
      </c>
      <c r="J7" s="875">
        <v>26853</v>
      </c>
      <c r="K7" s="878">
        <v>23910</v>
      </c>
      <c r="L7" s="874">
        <v>0</v>
      </c>
      <c r="M7" s="875">
        <v>0</v>
      </c>
      <c r="N7" s="879">
        <v>0</v>
      </c>
      <c r="O7" s="873">
        <v>15439</v>
      </c>
      <c r="P7" s="874">
        <v>15439</v>
      </c>
      <c r="Q7" s="879">
        <v>0</v>
      </c>
      <c r="R7" s="880">
        <v>144557</v>
      </c>
      <c r="S7" s="881">
        <v>308752</v>
      </c>
      <c r="T7" s="882">
        <v>0.2393035273283203</v>
      </c>
      <c r="U7" s="883">
        <v>0.16441350987200082</v>
      </c>
      <c r="V7" s="884">
        <v>0</v>
      </c>
      <c r="W7" s="866" t="s">
        <v>2835</v>
      </c>
      <c r="AJ7" s="853"/>
      <c r="AK7" s="852"/>
      <c r="AL7" s="852"/>
      <c r="AM7" s="852"/>
      <c r="AN7" s="852"/>
      <c r="AO7" s="855"/>
      <c r="AP7" s="855"/>
      <c r="AQ7" s="855"/>
      <c r="AR7" s="855"/>
      <c r="AS7" s="852"/>
    </row>
    <row r="8" spans="1:45" ht="20.149999999999999" customHeight="1" x14ac:dyDescent="0.2">
      <c r="A8" s="867" t="s">
        <v>860</v>
      </c>
      <c r="B8" s="536" t="s">
        <v>40</v>
      </c>
      <c r="C8" s="739">
        <v>34928</v>
      </c>
      <c r="D8" s="526">
        <f t="shared" ref="D8:D19" si="0">E8+F8</f>
        <v>34928</v>
      </c>
      <c r="E8" s="526">
        <f t="shared" ref="E8:E18" si="1">C8-G8-F8</f>
        <v>34928</v>
      </c>
      <c r="F8" s="740">
        <v>0</v>
      </c>
      <c r="G8" s="741">
        <v>0</v>
      </c>
      <c r="H8" s="529">
        <f t="shared" ref="H8:H19" si="2">I8+L8</f>
        <v>51300</v>
      </c>
      <c r="I8" s="527">
        <v>51300</v>
      </c>
      <c r="J8" s="759">
        <f t="shared" ref="J8:J19" si="3">I8-K8</f>
        <v>27218</v>
      </c>
      <c r="K8" s="742">
        <v>24082</v>
      </c>
      <c r="L8" s="526">
        <f t="shared" ref="L8:L19" si="4">M8+N8</f>
        <v>0</v>
      </c>
      <c r="M8" s="740">
        <v>0</v>
      </c>
      <c r="N8" s="741">
        <v>0</v>
      </c>
      <c r="O8" s="739">
        <v>15737</v>
      </c>
      <c r="P8" s="526">
        <f t="shared" ref="P8:P19" si="5">O8-Q8</f>
        <v>15737</v>
      </c>
      <c r="Q8" s="743">
        <v>0</v>
      </c>
      <c r="R8" s="885">
        <v>144816</v>
      </c>
      <c r="S8" s="886">
        <v>308608</v>
      </c>
      <c r="T8" s="534">
        <f t="shared" ref="T8:T21" si="6">C8/R8</f>
        <v>0.24118881891503702</v>
      </c>
      <c r="U8" s="534">
        <f t="shared" ref="U8:U21" si="7">H8/S8</f>
        <v>0.16623029863127334</v>
      </c>
      <c r="V8" s="535">
        <f t="shared" ref="V8:V21" si="8">L8/H8</f>
        <v>0</v>
      </c>
      <c r="AJ8" s="853"/>
      <c r="AK8" s="852"/>
      <c r="AL8" s="852"/>
      <c r="AM8" s="852"/>
      <c r="AN8" s="852"/>
      <c r="AO8" s="855"/>
      <c r="AP8" s="855"/>
      <c r="AQ8" s="855"/>
      <c r="AR8" s="855"/>
      <c r="AS8" s="852"/>
    </row>
    <row r="9" spans="1:45" ht="20.149999999999999" customHeight="1" x14ac:dyDescent="0.2">
      <c r="A9" s="867" t="s">
        <v>862</v>
      </c>
      <c r="B9" s="536" t="s">
        <v>41</v>
      </c>
      <c r="C9" s="739"/>
      <c r="D9" s="526">
        <f t="shared" si="0"/>
        <v>0</v>
      </c>
      <c r="E9" s="526">
        <f t="shared" si="1"/>
        <v>0</v>
      </c>
      <c r="F9" s="740"/>
      <c r="G9" s="741"/>
      <c r="H9" s="529">
        <f t="shared" si="2"/>
        <v>0</v>
      </c>
      <c r="I9" s="527"/>
      <c r="J9" s="759">
        <f t="shared" si="3"/>
        <v>0</v>
      </c>
      <c r="K9" s="742"/>
      <c r="L9" s="526">
        <f t="shared" si="4"/>
        <v>0</v>
      </c>
      <c r="M9" s="740"/>
      <c r="N9" s="741"/>
      <c r="O9" s="739"/>
      <c r="P9" s="526">
        <f t="shared" si="5"/>
        <v>0</v>
      </c>
      <c r="Q9" s="743"/>
      <c r="R9" s="746"/>
      <c r="S9" s="747"/>
      <c r="T9" s="534" t="e">
        <f t="shared" si="6"/>
        <v>#DIV/0!</v>
      </c>
      <c r="U9" s="534" t="e">
        <f t="shared" si="7"/>
        <v>#DIV/0!</v>
      </c>
      <c r="V9" s="535" t="e">
        <f t="shared" si="8"/>
        <v>#DIV/0!</v>
      </c>
      <c r="AJ9" s="853"/>
      <c r="AK9" s="852"/>
      <c r="AL9" s="852"/>
      <c r="AM9" s="852"/>
      <c r="AN9" s="852"/>
      <c r="AO9" s="855"/>
      <c r="AP9" s="855"/>
      <c r="AQ9" s="855"/>
      <c r="AR9" s="855"/>
      <c r="AS9" s="852"/>
    </row>
    <row r="10" spans="1:45" ht="20.149999999999999" customHeight="1" x14ac:dyDescent="0.2">
      <c r="A10" s="867" t="s">
        <v>864</v>
      </c>
      <c r="B10" s="537" t="s">
        <v>42</v>
      </c>
      <c r="C10" s="739"/>
      <c r="D10" s="526">
        <f t="shared" si="0"/>
        <v>0</v>
      </c>
      <c r="E10" s="526">
        <f t="shared" si="1"/>
        <v>0</v>
      </c>
      <c r="F10" s="740"/>
      <c r="G10" s="741"/>
      <c r="H10" s="529">
        <f t="shared" si="2"/>
        <v>0</v>
      </c>
      <c r="I10" s="527"/>
      <c r="J10" s="759">
        <f t="shared" si="3"/>
        <v>0</v>
      </c>
      <c r="K10" s="742"/>
      <c r="L10" s="526">
        <f t="shared" si="4"/>
        <v>0</v>
      </c>
      <c r="M10" s="740"/>
      <c r="N10" s="741"/>
      <c r="O10" s="739"/>
      <c r="P10" s="526">
        <f t="shared" si="5"/>
        <v>0</v>
      </c>
      <c r="Q10" s="743"/>
      <c r="R10" s="748"/>
      <c r="S10" s="740"/>
      <c r="T10" s="534" t="e">
        <f t="shared" si="6"/>
        <v>#DIV/0!</v>
      </c>
      <c r="U10" s="534" t="e">
        <f t="shared" si="7"/>
        <v>#DIV/0!</v>
      </c>
      <c r="V10" s="535" t="e">
        <f t="shared" si="8"/>
        <v>#DIV/0!</v>
      </c>
      <c r="AJ10" s="853"/>
      <c r="AK10" s="852"/>
      <c r="AL10" s="852"/>
      <c r="AM10" s="852"/>
      <c r="AN10" s="852"/>
      <c r="AO10" s="855"/>
      <c r="AP10" s="855"/>
      <c r="AQ10" s="855"/>
      <c r="AR10" s="855"/>
      <c r="AS10" s="852"/>
    </row>
    <row r="11" spans="1:45" ht="20.149999999999999" customHeight="1" x14ac:dyDescent="0.2">
      <c r="A11" s="867" t="s">
        <v>866</v>
      </c>
      <c r="B11" s="537" t="s">
        <v>43</v>
      </c>
      <c r="C11" s="739"/>
      <c r="D11" s="526">
        <f>E11+F11</f>
        <v>0</v>
      </c>
      <c r="E11" s="526">
        <f>C11-G11-F11</f>
        <v>0</v>
      </c>
      <c r="F11" s="740"/>
      <c r="G11" s="741"/>
      <c r="H11" s="529">
        <f>I11+L11</f>
        <v>0</v>
      </c>
      <c r="I11" s="527"/>
      <c r="J11" s="759">
        <f t="shared" si="3"/>
        <v>0</v>
      </c>
      <c r="K11" s="742"/>
      <c r="L11" s="526">
        <f t="shared" si="4"/>
        <v>0</v>
      </c>
      <c r="M11" s="740"/>
      <c r="N11" s="741"/>
      <c r="O11" s="739"/>
      <c r="P11" s="526">
        <f t="shared" si="5"/>
        <v>0</v>
      </c>
      <c r="Q11" s="870"/>
      <c r="R11" s="748"/>
      <c r="S11" s="740"/>
      <c r="T11" s="534" t="e">
        <f t="shared" si="6"/>
        <v>#DIV/0!</v>
      </c>
      <c r="U11" s="534" t="e">
        <f t="shared" si="7"/>
        <v>#DIV/0!</v>
      </c>
      <c r="V11" s="535" t="e">
        <f t="shared" si="8"/>
        <v>#DIV/0!</v>
      </c>
      <c r="AJ11" s="853"/>
      <c r="AK11" s="852"/>
      <c r="AL11" s="852"/>
      <c r="AM11" s="852"/>
      <c r="AN11" s="852"/>
      <c r="AO11" s="855"/>
      <c r="AP11" s="855"/>
      <c r="AQ11" s="855"/>
      <c r="AR11" s="855"/>
      <c r="AS11" s="852"/>
    </row>
    <row r="12" spans="1:45" ht="20.149999999999999" customHeight="1" x14ac:dyDescent="0.2">
      <c r="A12" s="867" t="s">
        <v>868</v>
      </c>
      <c r="B12" s="537" t="s">
        <v>44</v>
      </c>
      <c r="C12" s="739"/>
      <c r="D12" s="526">
        <f t="shared" si="0"/>
        <v>0</v>
      </c>
      <c r="E12" s="526">
        <f t="shared" si="1"/>
        <v>0</v>
      </c>
      <c r="F12" s="740"/>
      <c r="G12" s="741"/>
      <c r="H12" s="529">
        <f t="shared" si="2"/>
        <v>0</v>
      </c>
      <c r="I12" s="527"/>
      <c r="J12" s="759">
        <f t="shared" si="3"/>
        <v>0</v>
      </c>
      <c r="K12" s="742"/>
      <c r="L12" s="526">
        <f t="shared" si="4"/>
        <v>0</v>
      </c>
      <c r="M12" s="740"/>
      <c r="N12" s="741"/>
      <c r="O12" s="739"/>
      <c r="P12" s="526">
        <f t="shared" si="5"/>
        <v>0</v>
      </c>
      <c r="Q12" s="743"/>
      <c r="R12" s="748"/>
      <c r="S12" s="740"/>
      <c r="T12" s="534" t="e">
        <f t="shared" si="6"/>
        <v>#DIV/0!</v>
      </c>
      <c r="U12" s="534" t="e">
        <f t="shared" si="7"/>
        <v>#DIV/0!</v>
      </c>
      <c r="V12" s="535" t="e">
        <f t="shared" si="8"/>
        <v>#DIV/0!</v>
      </c>
      <c r="AJ12" s="852"/>
      <c r="AK12" s="852"/>
      <c r="AL12" s="852"/>
      <c r="AM12" s="852"/>
      <c r="AN12" s="852"/>
      <c r="AO12" s="852"/>
      <c r="AP12" s="852"/>
      <c r="AQ12" s="852"/>
      <c r="AR12" s="852"/>
      <c r="AS12" s="852"/>
    </row>
    <row r="13" spans="1:45" ht="19.5" customHeight="1" x14ac:dyDescent="0.2">
      <c r="A13" s="869" t="s">
        <v>275</v>
      </c>
      <c r="B13" s="536" t="s">
        <v>45</v>
      </c>
      <c r="C13" s="739"/>
      <c r="D13" s="526">
        <f t="shared" si="0"/>
        <v>0</v>
      </c>
      <c r="E13" s="526">
        <f t="shared" si="1"/>
        <v>0</v>
      </c>
      <c r="F13" s="740"/>
      <c r="G13" s="741"/>
      <c r="H13" s="529">
        <f t="shared" si="2"/>
        <v>0</v>
      </c>
      <c r="I13" s="527"/>
      <c r="J13" s="759">
        <f t="shared" si="3"/>
        <v>0</v>
      </c>
      <c r="K13" s="742"/>
      <c r="L13" s="526">
        <f t="shared" si="4"/>
        <v>0</v>
      </c>
      <c r="M13" s="740"/>
      <c r="N13" s="741"/>
      <c r="O13" s="739"/>
      <c r="P13" s="526">
        <f t="shared" si="5"/>
        <v>0</v>
      </c>
      <c r="Q13" s="743"/>
      <c r="R13" s="748"/>
      <c r="S13" s="740"/>
      <c r="T13" s="534" t="e">
        <f t="shared" si="6"/>
        <v>#DIV/0!</v>
      </c>
      <c r="U13" s="534" t="e">
        <f t="shared" si="7"/>
        <v>#DIV/0!</v>
      </c>
      <c r="V13" s="535" t="e">
        <f t="shared" si="8"/>
        <v>#DIV/0!</v>
      </c>
      <c r="AJ13" s="853"/>
      <c r="AK13" s="855"/>
      <c r="AL13" s="855"/>
      <c r="AM13" s="855"/>
      <c r="AN13" s="855"/>
      <c r="AO13" s="855"/>
      <c r="AP13" s="855"/>
      <c r="AQ13" s="852"/>
      <c r="AR13" s="852"/>
      <c r="AS13" s="852"/>
    </row>
    <row r="14" spans="1:45" ht="19.5" customHeight="1" x14ac:dyDescent="0.2">
      <c r="A14" s="550" t="s">
        <v>275</v>
      </c>
      <c r="B14" s="536" t="s">
        <v>46</v>
      </c>
      <c r="C14" s="739"/>
      <c r="D14" s="526">
        <f t="shared" si="0"/>
        <v>0</v>
      </c>
      <c r="E14" s="526">
        <f t="shared" si="1"/>
        <v>0</v>
      </c>
      <c r="F14" s="740"/>
      <c r="G14" s="741"/>
      <c r="H14" s="529">
        <f t="shared" si="2"/>
        <v>0</v>
      </c>
      <c r="I14" s="527"/>
      <c r="J14" s="759">
        <f t="shared" si="3"/>
        <v>0</v>
      </c>
      <c r="K14" s="742"/>
      <c r="L14" s="526">
        <f t="shared" si="4"/>
        <v>0</v>
      </c>
      <c r="M14" s="740"/>
      <c r="N14" s="741"/>
      <c r="O14" s="739"/>
      <c r="P14" s="526">
        <f t="shared" si="5"/>
        <v>0</v>
      </c>
      <c r="Q14" s="743"/>
      <c r="R14" s="748"/>
      <c r="S14" s="740"/>
      <c r="T14" s="534" t="e">
        <f t="shared" si="6"/>
        <v>#DIV/0!</v>
      </c>
      <c r="U14" s="534" t="e">
        <f t="shared" si="7"/>
        <v>#DIV/0!</v>
      </c>
      <c r="V14" s="535" t="e">
        <f t="shared" si="8"/>
        <v>#DIV/0!</v>
      </c>
      <c r="AJ14" s="852"/>
      <c r="AK14" s="852"/>
      <c r="AL14" s="852"/>
      <c r="AM14" s="852"/>
      <c r="AN14" s="852"/>
      <c r="AO14" s="852"/>
      <c r="AP14" s="852"/>
      <c r="AQ14" s="852"/>
      <c r="AR14" s="852"/>
      <c r="AS14" s="852"/>
    </row>
    <row r="15" spans="1:45" ht="19.5" customHeight="1" x14ac:dyDescent="0.2">
      <c r="A15" s="550" t="s">
        <v>2813</v>
      </c>
      <c r="B15" s="537" t="s">
        <v>47</v>
      </c>
      <c r="C15" s="739"/>
      <c r="D15" s="526">
        <f t="shared" si="0"/>
        <v>0</v>
      </c>
      <c r="E15" s="526">
        <f t="shared" si="1"/>
        <v>0</v>
      </c>
      <c r="F15" s="740"/>
      <c r="G15" s="741"/>
      <c r="H15" s="529">
        <f t="shared" si="2"/>
        <v>0</v>
      </c>
      <c r="I15" s="527"/>
      <c r="J15" s="759">
        <f t="shared" si="3"/>
        <v>0</v>
      </c>
      <c r="K15" s="742"/>
      <c r="L15" s="526">
        <f t="shared" si="4"/>
        <v>0</v>
      </c>
      <c r="M15" s="740"/>
      <c r="N15" s="741"/>
      <c r="O15" s="739"/>
      <c r="P15" s="526">
        <f t="shared" si="5"/>
        <v>0</v>
      </c>
      <c r="Q15" s="743"/>
      <c r="R15" s="744"/>
      <c r="S15" s="745"/>
      <c r="T15" s="534" t="e">
        <f t="shared" si="6"/>
        <v>#DIV/0!</v>
      </c>
      <c r="U15" s="534" t="e">
        <f t="shared" si="7"/>
        <v>#DIV/0!</v>
      </c>
      <c r="V15" s="535" t="e">
        <f t="shared" si="8"/>
        <v>#DIV/0!</v>
      </c>
      <c r="AJ15" s="852"/>
      <c r="AK15" s="852"/>
      <c r="AL15" s="852"/>
      <c r="AM15" s="852"/>
      <c r="AN15" s="852"/>
      <c r="AO15" s="852"/>
      <c r="AP15" s="852"/>
      <c r="AQ15" s="852"/>
      <c r="AR15" s="852"/>
      <c r="AS15" s="852"/>
    </row>
    <row r="16" spans="1:45" ht="20.149999999999999" customHeight="1" x14ac:dyDescent="0.2">
      <c r="A16" s="477" t="s">
        <v>275</v>
      </c>
      <c r="B16" s="536" t="s">
        <v>48</v>
      </c>
      <c r="C16" s="739"/>
      <c r="D16" s="526">
        <f t="shared" si="0"/>
        <v>0</v>
      </c>
      <c r="E16" s="526">
        <f t="shared" si="1"/>
        <v>0</v>
      </c>
      <c r="F16" s="740"/>
      <c r="G16" s="741"/>
      <c r="H16" s="529">
        <f t="shared" si="2"/>
        <v>0</v>
      </c>
      <c r="I16" s="527"/>
      <c r="J16" s="759">
        <f t="shared" si="3"/>
        <v>0</v>
      </c>
      <c r="K16" s="742"/>
      <c r="L16" s="526">
        <f t="shared" si="4"/>
        <v>0</v>
      </c>
      <c r="M16" s="740"/>
      <c r="N16" s="741"/>
      <c r="O16" s="739"/>
      <c r="P16" s="526">
        <f t="shared" si="5"/>
        <v>0</v>
      </c>
      <c r="Q16" s="743"/>
      <c r="R16" s="744"/>
      <c r="S16" s="749"/>
      <c r="T16" s="554" t="e">
        <f t="shared" si="6"/>
        <v>#DIV/0!</v>
      </c>
      <c r="U16" s="534" t="e">
        <f t="shared" si="7"/>
        <v>#DIV/0!</v>
      </c>
      <c r="V16" s="535" t="e">
        <f t="shared" si="8"/>
        <v>#DIV/0!</v>
      </c>
      <c r="AJ16" s="852"/>
      <c r="AK16" s="852"/>
      <c r="AL16" s="852"/>
      <c r="AM16" s="852"/>
      <c r="AN16" s="852"/>
      <c r="AO16" s="852"/>
      <c r="AP16" s="852"/>
      <c r="AQ16" s="852"/>
      <c r="AR16" s="852"/>
      <c r="AS16" s="852"/>
    </row>
    <row r="17" spans="1:45" ht="20.149999999999999" customHeight="1" x14ac:dyDescent="0.2">
      <c r="B17" s="536" t="s">
        <v>49</v>
      </c>
      <c r="C17" s="739"/>
      <c r="D17" s="526">
        <f t="shared" si="0"/>
        <v>0</v>
      </c>
      <c r="E17" s="526">
        <f t="shared" si="1"/>
        <v>0</v>
      </c>
      <c r="F17" s="740"/>
      <c r="G17" s="754"/>
      <c r="H17" s="529">
        <f t="shared" si="2"/>
        <v>0</v>
      </c>
      <c r="I17" s="527"/>
      <c r="J17" s="759">
        <f t="shared" si="3"/>
        <v>0</v>
      </c>
      <c r="K17" s="742"/>
      <c r="L17" s="526">
        <f t="shared" si="4"/>
        <v>0</v>
      </c>
      <c r="M17" s="740"/>
      <c r="N17" s="741"/>
      <c r="O17" s="739"/>
      <c r="P17" s="526">
        <f t="shared" si="5"/>
        <v>0</v>
      </c>
      <c r="Q17" s="743"/>
      <c r="R17" s="750"/>
      <c r="S17" s="751"/>
      <c r="T17" s="533" t="e">
        <f t="shared" si="6"/>
        <v>#DIV/0!</v>
      </c>
      <c r="U17" s="534" t="e">
        <f t="shared" si="7"/>
        <v>#DIV/0!</v>
      </c>
      <c r="V17" s="535" t="e">
        <f t="shared" si="8"/>
        <v>#DIV/0!</v>
      </c>
      <c r="AJ17" s="852"/>
      <c r="AK17" s="853"/>
      <c r="AL17" s="853"/>
      <c r="AM17" s="853"/>
      <c r="AN17" s="853"/>
      <c r="AO17" s="853"/>
      <c r="AP17" s="853"/>
      <c r="AQ17" s="852"/>
      <c r="AR17" s="852"/>
      <c r="AS17" s="852"/>
    </row>
    <row r="18" spans="1:45" ht="20.149999999999999" customHeight="1" x14ac:dyDescent="0.2">
      <c r="B18" s="537" t="s">
        <v>50</v>
      </c>
      <c r="C18" s="739"/>
      <c r="D18" s="526">
        <f t="shared" si="0"/>
        <v>0</v>
      </c>
      <c r="E18" s="526">
        <f t="shared" si="1"/>
        <v>0</v>
      </c>
      <c r="F18" s="740"/>
      <c r="G18" s="754"/>
      <c r="H18" s="529">
        <f t="shared" si="2"/>
        <v>0</v>
      </c>
      <c r="I18" s="527"/>
      <c r="J18" s="759">
        <f t="shared" si="3"/>
        <v>0</v>
      </c>
      <c r="K18" s="742"/>
      <c r="L18" s="526">
        <f t="shared" si="4"/>
        <v>0</v>
      </c>
      <c r="M18" s="740"/>
      <c r="N18" s="741"/>
      <c r="O18" s="739"/>
      <c r="P18" s="526">
        <f t="shared" si="5"/>
        <v>0</v>
      </c>
      <c r="Q18" s="743"/>
      <c r="R18" s="765"/>
      <c r="S18" s="766"/>
      <c r="T18" s="533" t="e">
        <f t="shared" si="6"/>
        <v>#DIV/0!</v>
      </c>
      <c r="U18" s="534" t="e">
        <f t="shared" si="7"/>
        <v>#DIV/0!</v>
      </c>
      <c r="V18" s="535" t="e">
        <f t="shared" si="8"/>
        <v>#DIV/0!</v>
      </c>
      <c r="AJ18" s="853"/>
      <c r="AK18" s="852"/>
      <c r="AL18" s="852"/>
      <c r="AM18" s="852"/>
      <c r="AN18" s="852"/>
      <c r="AO18" s="855"/>
      <c r="AP18" s="855"/>
      <c r="AQ18" s="852"/>
      <c r="AR18" s="852"/>
      <c r="AS18" s="852"/>
    </row>
    <row r="19" spans="1:45" ht="20.149999999999999" customHeight="1" x14ac:dyDescent="0.2">
      <c r="B19" s="889" t="s">
        <v>51</v>
      </c>
      <c r="C19" s="887"/>
      <c r="D19" s="526">
        <f t="shared" si="0"/>
        <v>0</v>
      </c>
      <c r="E19" s="526">
        <f>C19-G19-F19</f>
        <v>0</v>
      </c>
      <c r="F19" s="740"/>
      <c r="G19" s="754"/>
      <c r="H19" s="529">
        <f t="shared" si="2"/>
        <v>0</v>
      </c>
      <c r="I19" s="527"/>
      <c r="J19" s="759">
        <f t="shared" si="3"/>
        <v>0</v>
      </c>
      <c r="K19" s="742"/>
      <c r="L19" s="526">
        <f t="shared" si="4"/>
        <v>0</v>
      </c>
      <c r="M19" s="740"/>
      <c r="N19" s="741"/>
      <c r="O19" s="739"/>
      <c r="P19" s="526">
        <f t="shared" si="5"/>
        <v>0</v>
      </c>
      <c r="Q19" s="743"/>
      <c r="R19" s="756"/>
      <c r="S19" s="757"/>
      <c r="T19" s="533" t="e">
        <f t="shared" si="6"/>
        <v>#DIV/0!</v>
      </c>
      <c r="U19" s="534" t="e">
        <f t="shared" si="7"/>
        <v>#DIV/0!</v>
      </c>
      <c r="V19" s="535" t="e">
        <f t="shared" si="8"/>
        <v>#DIV/0!</v>
      </c>
      <c r="AJ19" s="853"/>
      <c r="AK19" s="852"/>
      <c r="AL19" s="852"/>
      <c r="AM19" s="852"/>
      <c r="AN19" s="852"/>
      <c r="AO19" s="855"/>
      <c r="AP19" s="855"/>
      <c r="AQ19" s="855"/>
      <c r="AR19" s="855"/>
      <c r="AS19" s="852"/>
    </row>
    <row r="20" spans="1:45" s="566" customFormat="1" ht="20.149999999999999" customHeight="1" x14ac:dyDescent="0.2">
      <c r="A20" s="556"/>
      <c r="B20" s="890" t="s">
        <v>52</v>
      </c>
      <c r="C20" s="888">
        <f t="shared" ref="C20:S20" si="9">SUM(C8:C19)</f>
        <v>34928</v>
      </c>
      <c r="D20" s="559">
        <f t="shared" si="9"/>
        <v>34928</v>
      </c>
      <c r="E20" s="559">
        <f t="shared" si="9"/>
        <v>34928</v>
      </c>
      <c r="F20" s="559">
        <f t="shared" si="9"/>
        <v>0</v>
      </c>
      <c r="G20" s="575">
        <f t="shared" si="9"/>
        <v>0</v>
      </c>
      <c r="H20" s="558">
        <f t="shared" si="9"/>
        <v>51300</v>
      </c>
      <c r="I20" s="559">
        <f t="shared" si="9"/>
        <v>51300</v>
      </c>
      <c r="J20" s="559">
        <f t="shared" si="9"/>
        <v>27218</v>
      </c>
      <c r="K20" s="559">
        <f t="shared" si="9"/>
        <v>24082</v>
      </c>
      <c r="L20" s="559">
        <f>SUM(L8:L19)</f>
        <v>0</v>
      </c>
      <c r="M20" s="559">
        <f t="shared" si="9"/>
        <v>0</v>
      </c>
      <c r="N20" s="560">
        <f t="shared" si="9"/>
        <v>0</v>
      </c>
      <c r="O20" s="558">
        <f t="shared" si="9"/>
        <v>15737</v>
      </c>
      <c r="P20" s="559">
        <f t="shared" si="9"/>
        <v>15737</v>
      </c>
      <c r="Q20" s="560">
        <f t="shared" si="9"/>
        <v>0</v>
      </c>
      <c r="R20" s="561">
        <f t="shared" si="9"/>
        <v>144816</v>
      </c>
      <c r="S20" s="562">
        <f t="shared" si="9"/>
        <v>308608</v>
      </c>
      <c r="T20" s="563">
        <f t="shared" si="6"/>
        <v>0.24118881891503702</v>
      </c>
      <c r="U20" s="564">
        <f t="shared" si="7"/>
        <v>0.16623029863127334</v>
      </c>
      <c r="V20" s="565">
        <f t="shared" si="8"/>
        <v>0</v>
      </c>
      <c r="AJ20" s="856"/>
      <c r="AK20" s="857"/>
      <c r="AL20" s="857"/>
      <c r="AM20" s="857"/>
      <c r="AN20" s="857"/>
      <c r="AO20" s="858"/>
      <c r="AP20" s="858"/>
      <c r="AQ20" s="858"/>
      <c r="AR20" s="858"/>
      <c r="AS20" s="857"/>
    </row>
    <row r="21" spans="1:45" s="566" customFormat="1" ht="19.5" customHeight="1" x14ac:dyDescent="0.2">
      <c r="A21" s="556"/>
      <c r="B21" s="890" t="s">
        <v>53</v>
      </c>
      <c r="C21" s="560">
        <f>AVERAGE(C8:C19)</f>
        <v>34928</v>
      </c>
      <c r="D21" s="562">
        <f>D20/(COUNTIF(D8:D19,"&gt;0"))</f>
        <v>34928</v>
      </c>
      <c r="E21" s="560">
        <f>E20/(COUNTIF(E8:E19,"&gt;0"))</f>
        <v>34928</v>
      </c>
      <c r="F21" s="560">
        <f t="shared" ref="F21:S21" si="10">AVERAGE(F8:F19)</f>
        <v>0</v>
      </c>
      <c r="G21" s="575">
        <f t="shared" si="10"/>
        <v>0</v>
      </c>
      <c r="H21" s="574">
        <f>H20/(COUNTIF(H8:H19,"&gt;0"))</f>
        <v>51300</v>
      </c>
      <c r="I21" s="562">
        <f t="shared" si="10"/>
        <v>51300</v>
      </c>
      <c r="J21" s="562">
        <f>J20/(COUNTIF(J8:J19,"&gt;0"))</f>
        <v>27218</v>
      </c>
      <c r="K21" s="562">
        <f t="shared" si="10"/>
        <v>24082</v>
      </c>
      <c r="L21" s="560">
        <v>0</v>
      </c>
      <c r="M21" s="560">
        <f t="shared" si="10"/>
        <v>0</v>
      </c>
      <c r="N21" s="575">
        <f t="shared" si="10"/>
        <v>0</v>
      </c>
      <c r="O21" s="574">
        <f t="shared" si="10"/>
        <v>15737</v>
      </c>
      <c r="P21" s="562">
        <f>P20/(COUNTIF(P8:P19,"&gt;0"))</f>
        <v>15737</v>
      </c>
      <c r="Q21" s="562">
        <f t="shared" si="10"/>
        <v>0</v>
      </c>
      <c r="R21" s="574">
        <f t="shared" si="10"/>
        <v>144816</v>
      </c>
      <c r="S21" s="560">
        <f t="shared" si="10"/>
        <v>308608</v>
      </c>
      <c r="T21" s="563">
        <f t="shared" si="6"/>
        <v>0.24118881891503702</v>
      </c>
      <c r="U21" s="564">
        <f t="shared" si="7"/>
        <v>0.16623029863127334</v>
      </c>
      <c r="V21" s="565">
        <f t="shared" si="8"/>
        <v>0</v>
      </c>
      <c r="AJ21" s="856"/>
      <c r="AK21" s="857"/>
      <c r="AL21" s="857"/>
      <c r="AM21" s="857"/>
      <c r="AN21" s="857"/>
      <c r="AO21" s="858"/>
      <c r="AP21" s="858"/>
      <c r="AQ21" s="858"/>
      <c r="AR21" s="858"/>
      <c r="AS21" s="857"/>
    </row>
    <row r="22" spans="1:45" s="587" customFormat="1" ht="20.149999999999999" customHeight="1" x14ac:dyDescent="0.2">
      <c r="A22" s="576"/>
      <c r="B22" s="891"/>
      <c r="C22" s="581"/>
      <c r="D22" s="579"/>
      <c r="E22" s="580"/>
      <c r="F22" s="580"/>
      <c r="G22" s="755"/>
      <c r="H22" s="578"/>
      <c r="I22" s="582"/>
      <c r="J22" s="580"/>
      <c r="K22" s="580"/>
      <c r="L22" s="581"/>
      <c r="M22" s="580"/>
      <c r="N22" s="583"/>
      <c r="O22" s="578"/>
      <c r="P22" s="579"/>
      <c r="Q22" s="583"/>
      <c r="R22" s="584"/>
      <c r="S22" s="579"/>
      <c r="T22" s="585"/>
      <c r="U22" s="585"/>
      <c r="V22" s="586"/>
      <c r="AJ22" s="853"/>
      <c r="AK22" s="852"/>
      <c r="AL22" s="852"/>
      <c r="AM22" s="852"/>
      <c r="AN22" s="852"/>
      <c r="AO22" s="855"/>
      <c r="AP22" s="855"/>
      <c r="AQ22" s="855"/>
      <c r="AR22" s="855"/>
      <c r="AS22" s="852"/>
    </row>
    <row r="23" spans="1:45" ht="20.149999999999999" customHeight="1" x14ac:dyDescent="0.2">
      <c r="B23" s="536" t="s">
        <v>54</v>
      </c>
      <c r="C23" s="595">
        <f t="shared" ref="C23:S23" si="11">C8</f>
        <v>34928</v>
      </c>
      <c r="D23" s="526">
        <f t="shared" si="11"/>
        <v>34928</v>
      </c>
      <c r="E23" s="596">
        <f t="shared" si="11"/>
        <v>34928</v>
      </c>
      <c r="F23" s="596">
        <f t="shared" si="11"/>
        <v>0</v>
      </c>
      <c r="G23" s="597">
        <f t="shared" si="11"/>
        <v>0</v>
      </c>
      <c r="H23" s="595">
        <f t="shared" si="11"/>
        <v>51300</v>
      </c>
      <c r="I23" s="526">
        <f t="shared" si="11"/>
        <v>51300</v>
      </c>
      <c r="J23" s="596">
        <f t="shared" si="11"/>
        <v>27218</v>
      </c>
      <c r="K23" s="596">
        <f t="shared" si="11"/>
        <v>24082</v>
      </c>
      <c r="L23" s="596">
        <f t="shared" si="11"/>
        <v>0</v>
      </c>
      <c r="M23" s="596">
        <f t="shared" si="11"/>
        <v>0</v>
      </c>
      <c r="N23" s="597">
        <f t="shared" si="11"/>
        <v>0</v>
      </c>
      <c r="O23" s="595">
        <f t="shared" si="11"/>
        <v>15737</v>
      </c>
      <c r="P23" s="526">
        <f t="shared" si="11"/>
        <v>15737</v>
      </c>
      <c r="Q23" s="597">
        <f t="shared" si="11"/>
        <v>0</v>
      </c>
      <c r="R23" s="598">
        <f t="shared" si="11"/>
        <v>144816</v>
      </c>
      <c r="S23" s="526">
        <f t="shared" si="11"/>
        <v>308608</v>
      </c>
      <c r="T23" s="533">
        <f t="shared" ref="T23:T38" si="12">C23/R23</f>
        <v>0.24118881891503702</v>
      </c>
      <c r="U23" s="534">
        <f t="shared" ref="U23:U38" si="13">H23/S23</f>
        <v>0.16623029863127334</v>
      </c>
      <c r="V23" s="535">
        <f t="shared" ref="V23:V38" si="14">L23/H23</f>
        <v>0</v>
      </c>
      <c r="AJ23" s="853"/>
      <c r="AK23" s="852"/>
      <c r="AL23" s="852"/>
      <c r="AM23" s="852"/>
      <c r="AN23" s="852"/>
      <c r="AO23" s="855"/>
      <c r="AP23" s="855"/>
      <c r="AQ23" s="855"/>
      <c r="AR23" s="855"/>
      <c r="AS23" s="852"/>
    </row>
    <row r="24" spans="1:45" ht="20.149999999999999" customHeight="1" x14ac:dyDescent="0.2">
      <c r="B24" s="537" t="s">
        <v>55</v>
      </c>
      <c r="C24" s="529">
        <f t="shared" ref="C24:S24" si="15">SUM(C8:C9)</f>
        <v>34928</v>
      </c>
      <c r="D24" s="599">
        <f t="shared" si="15"/>
        <v>34928</v>
      </c>
      <c r="E24" s="600">
        <f t="shared" si="15"/>
        <v>34928</v>
      </c>
      <c r="F24" s="600">
        <f t="shared" si="15"/>
        <v>0</v>
      </c>
      <c r="G24" s="601">
        <f t="shared" si="15"/>
        <v>0</v>
      </c>
      <c r="H24" s="529">
        <f t="shared" si="15"/>
        <v>51300</v>
      </c>
      <c r="I24" s="599">
        <f t="shared" si="15"/>
        <v>51300</v>
      </c>
      <c r="J24" s="600">
        <f t="shared" si="15"/>
        <v>27218</v>
      </c>
      <c r="K24" s="600">
        <f t="shared" si="15"/>
        <v>24082</v>
      </c>
      <c r="L24" s="600">
        <f t="shared" si="15"/>
        <v>0</v>
      </c>
      <c r="M24" s="600">
        <f t="shared" si="15"/>
        <v>0</v>
      </c>
      <c r="N24" s="601">
        <f t="shared" si="15"/>
        <v>0</v>
      </c>
      <c r="O24" s="529">
        <f t="shared" si="15"/>
        <v>15737</v>
      </c>
      <c r="P24" s="599">
        <f t="shared" si="15"/>
        <v>15737</v>
      </c>
      <c r="Q24" s="601">
        <f t="shared" si="15"/>
        <v>0</v>
      </c>
      <c r="R24" s="602">
        <f t="shared" si="15"/>
        <v>144816</v>
      </c>
      <c r="S24" s="599">
        <f t="shared" si="15"/>
        <v>308608</v>
      </c>
      <c r="T24" s="603">
        <f t="shared" si="12"/>
        <v>0.24118881891503702</v>
      </c>
      <c r="U24" s="604">
        <f t="shared" si="13"/>
        <v>0.16623029863127334</v>
      </c>
      <c r="V24" s="605">
        <f t="shared" si="14"/>
        <v>0</v>
      </c>
      <c r="AJ24" s="853"/>
      <c r="AK24" s="852"/>
      <c r="AL24" s="852"/>
      <c r="AM24" s="852"/>
      <c r="AN24" s="852"/>
      <c r="AO24" s="855"/>
      <c r="AP24" s="855"/>
      <c r="AQ24" s="855"/>
      <c r="AR24" s="855"/>
      <c r="AS24" s="852"/>
    </row>
    <row r="25" spans="1:45" ht="20.149999999999999" customHeight="1" x14ac:dyDescent="0.2">
      <c r="B25" s="537" t="s">
        <v>56</v>
      </c>
      <c r="C25" s="529">
        <f t="shared" ref="C25:S25" si="16">SUM(C8:C10)</f>
        <v>34928</v>
      </c>
      <c r="D25" s="599">
        <f t="shared" si="16"/>
        <v>34928</v>
      </c>
      <c r="E25" s="600">
        <f t="shared" si="16"/>
        <v>34928</v>
      </c>
      <c r="F25" s="600">
        <f t="shared" si="16"/>
        <v>0</v>
      </c>
      <c r="G25" s="601">
        <f t="shared" si="16"/>
        <v>0</v>
      </c>
      <c r="H25" s="529">
        <f t="shared" si="16"/>
        <v>51300</v>
      </c>
      <c r="I25" s="599">
        <f t="shared" si="16"/>
        <v>51300</v>
      </c>
      <c r="J25" s="600">
        <f t="shared" si="16"/>
        <v>27218</v>
      </c>
      <c r="K25" s="600">
        <f t="shared" si="16"/>
        <v>24082</v>
      </c>
      <c r="L25" s="600">
        <f t="shared" si="16"/>
        <v>0</v>
      </c>
      <c r="M25" s="600">
        <f t="shared" si="16"/>
        <v>0</v>
      </c>
      <c r="N25" s="601">
        <f t="shared" si="16"/>
        <v>0</v>
      </c>
      <c r="O25" s="529">
        <f t="shared" si="16"/>
        <v>15737</v>
      </c>
      <c r="P25" s="599">
        <f t="shared" si="16"/>
        <v>15737</v>
      </c>
      <c r="Q25" s="601">
        <f t="shared" si="16"/>
        <v>0</v>
      </c>
      <c r="R25" s="602">
        <f t="shared" si="16"/>
        <v>144816</v>
      </c>
      <c r="S25" s="599">
        <f t="shared" si="16"/>
        <v>308608</v>
      </c>
      <c r="T25" s="603">
        <f t="shared" si="12"/>
        <v>0.24118881891503702</v>
      </c>
      <c r="U25" s="604">
        <f t="shared" si="13"/>
        <v>0.16623029863127334</v>
      </c>
      <c r="V25" s="605">
        <f t="shared" si="14"/>
        <v>0</v>
      </c>
      <c r="AJ25" s="852"/>
      <c r="AK25" s="852"/>
      <c r="AL25" s="852"/>
      <c r="AM25" s="852"/>
      <c r="AN25" s="852"/>
      <c r="AO25" s="852"/>
      <c r="AP25" s="852"/>
      <c r="AQ25" s="852"/>
      <c r="AR25" s="852"/>
      <c r="AS25" s="852"/>
    </row>
    <row r="26" spans="1:45" ht="20.149999999999999" customHeight="1" x14ac:dyDescent="0.2">
      <c r="B26" s="537" t="s">
        <v>57</v>
      </c>
      <c r="C26" s="529">
        <f t="shared" ref="C26:S26" si="17">SUM(C8:C11)</f>
        <v>34928</v>
      </c>
      <c r="D26" s="599">
        <f t="shared" si="17"/>
        <v>34928</v>
      </c>
      <c r="E26" s="600">
        <f t="shared" si="17"/>
        <v>34928</v>
      </c>
      <c r="F26" s="600">
        <f t="shared" si="17"/>
        <v>0</v>
      </c>
      <c r="G26" s="601">
        <f>SUM(G8:G11)</f>
        <v>0</v>
      </c>
      <c r="H26" s="529">
        <f t="shared" si="17"/>
        <v>51300</v>
      </c>
      <c r="I26" s="599">
        <f t="shared" si="17"/>
        <v>51300</v>
      </c>
      <c r="J26" s="600">
        <f t="shared" si="17"/>
        <v>27218</v>
      </c>
      <c r="K26" s="600">
        <f t="shared" si="17"/>
        <v>24082</v>
      </c>
      <c r="L26" s="600">
        <f t="shared" si="17"/>
        <v>0</v>
      </c>
      <c r="M26" s="600">
        <f t="shared" si="17"/>
        <v>0</v>
      </c>
      <c r="N26" s="601">
        <f t="shared" si="17"/>
        <v>0</v>
      </c>
      <c r="O26" s="529">
        <f t="shared" si="17"/>
        <v>15737</v>
      </c>
      <c r="P26" s="599">
        <f t="shared" si="17"/>
        <v>15737</v>
      </c>
      <c r="Q26" s="601">
        <f t="shared" si="17"/>
        <v>0</v>
      </c>
      <c r="R26" s="602">
        <f t="shared" si="17"/>
        <v>144816</v>
      </c>
      <c r="S26" s="599">
        <f t="shared" si="17"/>
        <v>308608</v>
      </c>
      <c r="T26" s="603">
        <f t="shared" si="12"/>
        <v>0.24118881891503702</v>
      </c>
      <c r="U26" s="604">
        <f t="shared" si="13"/>
        <v>0.16623029863127334</v>
      </c>
      <c r="V26" s="605">
        <f t="shared" si="14"/>
        <v>0</v>
      </c>
      <c r="AJ26" s="853"/>
      <c r="AK26" s="855"/>
      <c r="AL26" s="855"/>
      <c r="AM26" s="855"/>
      <c r="AN26" s="855"/>
      <c r="AO26" s="855"/>
      <c r="AP26" s="855"/>
      <c r="AQ26" s="852"/>
      <c r="AR26" s="852"/>
      <c r="AS26" s="852"/>
    </row>
    <row r="27" spans="1:45" ht="20.149999999999999" customHeight="1" x14ac:dyDescent="0.2">
      <c r="B27" s="537" t="s">
        <v>58</v>
      </c>
      <c r="C27" s="529">
        <f t="shared" ref="C27:S27" si="18">SUM(C8:C12)</f>
        <v>34928</v>
      </c>
      <c r="D27" s="599">
        <f t="shared" si="18"/>
        <v>34928</v>
      </c>
      <c r="E27" s="600">
        <f t="shared" si="18"/>
        <v>34928</v>
      </c>
      <c r="F27" s="600">
        <f t="shared" si="18"/>
        <v>0</v>
      </c>
      <c r="G27" s="601">
        <f t="shared" si="18"/>
        <v>0</v>
      </c>
      <c r="H27" s="529">
        <f t="shared" si="18"/>
        <v>51300</v>
      </c>
      <c r="I27" s="599">
        <f t="shared" si="18"/>
        <v>51300</v>
      </c>
      <c r="J27" s="600">
        <f t="shared" si="18"/>
        <v>27218</v>
      </c>
      <c r="K27" s="600">
        <f t="shared" si="18"/>
        <v>24082</v>
      </c>
      <c r="L27" s="600">
        <f t="shared" si="18"/>
        <v>0</v>
      </c>
      <c r="M27" s="600">
        <f t="shared" si="18"/>
        <v>0</v>
      </c>
      <c r="N27" s="601">
        <f t="shared" si="18"/>
        <v>0</v>
      </c>
      <c r="O27" s="529">
        <f t="shared" si="18"/>
        <v>15737</v>
      </c>
      <c r="P27" s="599">
        <f t="shared" si="18"/>
        <v>15737</v>
      </c>
      <c r="Q27" s="601">
        <f t="shared" si="18"/>
        <v>0</v>
      </c>
      <c r="R27" s="602">
        <f t="shared" si="18"/>
        <v>144816</v>
      </c>
      <c r="S27" s="599">
        <f t="shared" si="18"/>
        <v>308608</v>
      </c>
      <c r="T27" s="603">
        <f t="shared" si="12"/>
        <v>0.24118881891503702</v>
      </c>
      <c r="U27" s="604">
        <f t="shared" si="13"/>
        <v>0.16623029863127334</v>
      </c>
      <c r="V27" s="605">
        <f t="shared" si="14"/>
        <v>0</v>
      </c>
      <c r="AJ27" s="852"/>
      <c r="AK27" s="852"/>
      <c r="AL27" s="852"/>
      <c r="AM27" s="852"/>
      <c r="AN27" s="852"/>
      <c r="AO27" s="852"/>
      <c r="AP27" s="852"/>
      <c r="AQ27" s="852"/>
      <c r="AR27" s="852"/>
      <c r="AS27" s="852"/>
    </row>
    <row r="28" spans="1:45" ht="20.149999999999999" customHeight="1" x14ac:dyDescent="0.2">
      <c r="B28" s="537" t="s">
        <v>59</v>
      </c>
      <c r="C28" s="529">
        <f t="shared" ref="C28:S28" si="19">SUM(C8:C13)</f>
        <v>34928</v>
      </c>
      <c r="D28" s="599">
        <f t="shared" si="19"/>
        <v>34928</v>
      </c>
      <c r="E28" s="600">
        <f t="shared" si="19"/>
        <v>34928</v>
      </c>
      <c r="F28" s="600">
        <f t="shared" si="19"/>
        <v>0</v>
      </c>
      <c r="G28" s="601">
        <f t="shared" si="19"/>
        <v>0</v>
      </c>
      <c r="H28" s="529">
        <f t="shared" si="19"/>
        <v>51300</v>
      </c>
      <c r="I28" s="599">
        <f t="shared" si="19"/>
        <v>51300</v>
      </c>
      <c r="J28" s="600">
        <f t="shared" si="19"/>
        <v>27218</v>
      </c>
      <c r="K28" s="600">
        <f t="shared" si="19"/>
        <v>24082</v>
      </c>
      <c r="L28" s="600">
        <f t="shared" si="19"/>
        <v>0</v>
      </c>
      <c r="M28" s="600">
        <f t="shared" si="19"/>
        <v>0</v>
      </c>
      <c r="N28" s="601">
        <f t="shared" si="19"/>
        <v>0</v>
      </c>
      <c r="O28" s="529">
        <f t="shared" si="19"/>
        <v>15737</v>
      </c>
      <c r="P28" s="599">
        <f t="shared" si="19"/>
        <v>15737</v>
      </c>
      <c r="Q28" s="601">
        <f t="shared" si="19"/>
        <v>0</v>
      </c>
      <c r="R28" s="602">
        <f t="shared" si="19"/>
        <v>144816</v>
      </c>
      <c r="S28" s="599">
        <f t="shared" si="19"/>
        <v>308608</v>
      </c>
      <c r="T28" s="603">
        <f t="shared" si="12"/>
        <v>0.24118881891503702</v>
      </c>
      <c r="U28" s="604">
        <f t="shared" si="13"/>
        <v>0.16623029863127334</v>
      </c>
      <c r="V28" s="605">
        <f t="shared" si="14"/>
        <v>0</v>
      </c>
      <c r="AJ28" s="852"/>
      <c r="AK28" s="852"/>
      <c r="AL28" s="852"/>
      <c r="AM28" s="852"/>
      <c r="AN28" s="852"/>
      <c r="AO28" s="852"/>
      <c r="AP28" s="852"/>
      <c r="AQ28" s="852"/>
      <c r="AR28" s="852"/>
      <c r="AS28" s="852"/>
    </row>
    <row r="29" spans="1:45" ht="20.149999999999999" customHeight="1" x14ac:dyDescent="0.2">
      <c r="B29" s="537" t="s">
        <v>60</v>
      </c>
      <c r="C29" s="529">
        <f t="shared" ref="C29:S29" si="20">SUM(C8:C14)</f>
        <v>34928</v>
      </c>
      <c r="D29" s="599">
        <f t="shared" si="20"/>
        <v>34928</v>
      </c>
      <c r="E29" s="600">
        <f t="shared" si="20"/>
        <v>34928</v>
      </c>
      <c r="F29" s="600">
        <f t="shared" si="20"/>
        <v>0</v>
      </c>
      <c r="G29" s="601">
        <f t="shared" si="20"/>
        <v>0</v>
      </c>
      <c r="H29" s="529">
        <f t="shared" si="20"/>
        <v>51300</v>
      </c>
      <c r="I29" s="599">
        <f t="shared" si="20"/>
        <v>51300</v>
      </c>
      <c r="J29" s="600">
        <f t="shared" si="20"/>
        <v>27218</v>
      </c>
      <c r="K29" s="600">
        <f t="shared" si="20"/>
        <v>24082</v>
      </c>
      <c r="L29" s="600">
        <f t="shared" si="20"/>
        <v>0</v>
      </c>
      <c r="M29" s="600">
        <f t="shared" si="20"/>
        <v>0</v>
      </c>
      <c r="N29" s="601">
        <f t="shared" si="20"/>
        <v>0</v>
      </c>
      <c r="O29" s="529">
        <f t="shared" si="20"/>
        <v>15737</v>
      </c>
      <c r="P29" s="599">
        <f t="shared" si="20"/>
        <v>15737</v>
      </c>
      <c r="Q29" s="601">
        <f t="shared" si="20"/>
        <v>0</v>
      </c>
      <c r="R29" s="602">
        <f t="shared" si="20"/>
        <v>144816</v>
      </c>
      <c r="S29" s="599">
        <f t="shared" si="20"/>
        <v>308608</v>
      </c>
      <c r="T29" s="603">
        <f t="shared" si="12"/>
        <v>0.24118881891503702</v>
      </c>
      <c r="U29" s="604">
        <f t="shared" si="13"/>
        <v>0.16623029863127334</v>
      </c>
      <c r="V29" s="605">
        <f t="shared" si="14"/>
        <v>0</v>
      </c>
      <c r="AJ29" s="852"/>
      <c r="AK29" s="852"/>
      <c r="AL29" s="852"/>
      <c r="AM29" s="852"/>
      <c r="AN29" s="852"/>
      <c r="AO29" s="852"/>
      <c r="AP29" s="852"/>
      <c r="AQ29" s="852"/>
      <c r="AR29" s="852"/>
      <c r="AS29" s="852"/>
    </row>
    <row r="30" spans="1:45" ht="20.149999999999999" customHeight="1" x14ac:dyDescent="0.2">
      <c r="B30" s="537" t="s">
        <v>61</v>
      </c>
      <c r="C30" s="529">
        <f t="shared" ref="C30:S30" si="21">SUM(C8:C15)</f>
        <v>34928</v>
      </c>
      <c r="D30" s="599">
        <f t="shared" si="21"/>
        <v>34928</v>
      </c>
      <c r="E30" s="600">
        <f t="shared" si="21"/>
        <v>34928</v>
      </c>
      <c r="F30" s="600">
        <f t="shared" si="21"/>
        <v>0</v>
      </c>
      <c r="G30" s="601">
        <f t="shared" si="21"/>
        <v>0</v>
      </c>
      <c r="H30" s="529">
        <f t="shared" si="21"/>
        <v>51300</v>
      </c>
      <c r="I30" s="599">
        <f t="shared" si="21"/>
        <v>51300</v>
      </c>
      <c r="J30" s="600">
        <f t="shared" si="21"/>
        <v>27218</v>
      </c>
      <c r="K30" s="600">
        <f t="shared" si="21"/>
        <v>24082</v>
      </c>
      <c r="L30" s="600">
        <f t="shared" si="21"/>
        <v>0</v>
      </c>
      <c r="M30" s="600">
        <f t="shared" si="21"/>
        <v>0</v>
      </c>
      <c r="N30" s="601">
        <f t="shared" si="21"/>
        <v>0</v>
      </c>
      <c r="O30" s="529">
        <f t="shared" si="21"/>
        <v>15737</v>
      </c>
      <c r="P30" s="599">
        <f t="shared" si="21"/>
        <v>15737</v>
      </c>
      <c r="Q30" s="601">
        <f t="shared" si="21"/>
        <v>0</v>
      </c>
      <c r="R30" s="602">
        <f t="shared" si="21"/>
        <v>144816</v>
      </c>
      <c r="S30" s="599">
        <f t="shared" si="21"/>
        <v>308608</v>
      </c>
      <c r="T30" s="603">
        <f t="shared" si="12"/>
        <v>0.24118881891503702</v>
      </c>
      <c r="U30" s="604">
        <f t="shared" si="13"/>
        <v>0.16623029863127334</v>
      </c>
      <c r="V30" s="605">
        <f t="shared" si="14"/>
        <v>0</v>
      </c>
      <c r="AJ30" s="852"/>
      <c r="AK30" s="852"/>
      <c r="AL30" s="852"/>
      <c r="AM30" s="852"/>
      <c r="AN30" s="852"/>
      <c r="AO30" s="852"/>
      <c r="AP30" s="852"/>
      <c r="AQ30" s="852"/>
      <c r="AR30" s="852"/>
      <c r="AS30" s="852"/>
    </row>
    <row r="31" spans="1:45" ht="20.149999999999999" customHeight="1" x14ac:dyDescent="0.2">
      <c r="B31" s="537" t="s">
        <v>62</v>
      </c>
      <c r="C31" s="529">
        <f t="shared" ref="C31:S31" si="22">SUM(C8:C16)</f>
        <v>34928</v>
      </c>
      <c r="D31" s="599">
        <f t="shared" si="22"/>
        <v>34928</v>
      </c>
      <c r="E31" s="600">
        <f t="shared" si="22"/>
        <v>34928</v>
      </c>
      <c r="F31" s="600">
        <f t="shared" si="22"/>
        <v>0</v>
      </c>
      <c r="G31" s="601">
        <f t="shared" si="22"/>
        <v>0</v>
      </c>
      <c r="H31" s="529">
        <f t="shared" si="22"/>
        <v>51300</v>
      </c>
      <c r="I31" s="599">
        <f t="shared" si="22"/>
        <v>51300</v>
      </c>
      <c r="J31" s="600">
        <f t="shared" si="22"/>
        <v>27218</v>
      </c>
      <c r="K31" s="600">
        <f t="shared" si="22"/>
        <v>24082</v>
      </c>
      <c r="L31" s="600">
        <f t="shared" si="22"/>
        <v>0</v>
      </c>
      <c r="M31" s="600">
        <f t="shared" si="22"/>
        <v>0</v>
      </c>
      <c r="N31" s="601">
        <f t="shared" si="22"/>
        <v>0</v>
      </c>
      <c r="O31" s="529">
        <f t="shared" si="22"/>
        <v>15737</v>
      </c>
      <c r="P31" s="599">
        <f t="shared" si="22"/>
        <v>15737</v>
      </c>
      <c r="Q31" s="601">
        <f t="shared" si="22"/>
        <v>0</v>
      </c>
      <c r="R31" s="602">
        <f t="shared" si="22"/>
        <v>144816</v>
      </c>
      <c r="S31" s="599">
        <f t="shared" si="22"/>
        <v>308608</v>
      </c>
      <c r="T31" s="603">
        <f t="shared" si="12"/>
        <v>0.24118881891503702</v>
      </c>
      <c r="U31" s="604">
        <f t="shared" si="13"/>
        <v>0.16623029863127334</v>
      </c>
      <c r="V31" s="605">
        <f t="shared" si="14"/>
        <v>0</v>
      </c>
    </row>
    <row r="32" spans="1:45" ht="20.149999999999999" customHeight="1" x14ac:dyDescent="0.2">
      <c r="B32" s="537" t="s">
        <v>63</v>
      </c>
      <c r="C32" s="529">
        <f t="shared" ref="C32:S32" si="23">SUM(C8:C17)</f>
        <v>34928</v>
      </c>
      <c r="D32" s="599">
        <f t="shared" si="23"/>
        <v>34928</v>
      </c>
      <c r="E32" s="600">
        <f t="shared" si="23"/>
        <v>34928</v>
      </c>
      <c r="F32" s="600">
        <f t="shared" si="23"/>
        <v>0</v>
      </c>
      <c r="G32" s="601">
        <f t="shared" si="23"/>
        <v>0</v>
      </c>
      <c r="H32" s="529">
        <f t="shared" si="23"/>
        <v>51300</v>
      </c>
      <c r="I32" s="599">
        <f t="shared" si="23"/>
        <v>51300</v>
      </c>
      <c r="J32" s="600">
        <f t="shared" si="23"/>
        <v>27218</v>
      </c>
      <c r="K32" s="600">
        <f t="shared" si="23"/>
        <v>24082</v>
      </c>
      <c r="L32" s="600">
        <f t="shared" si="23"/>
        <v>0</v>
      </c>
      <c r="M32" s="600">
        <f t="shared" si="23"/>
        <v>0</v>
      </c>
      <c r="N32" s="601">
        <f t="shared" si="23"/>
        <v>0</v>
      </c>
      <c r="O32" s="529">
        <f t="shared" si="23"/>
        <v>15737</v>
      </c>
      <c r="P32" s="599">
        <f t="shared" si="23"/>
        <v>15737</v>
      </c>
      <c r="Q32" s="601">
        <f t="shared" si="23"/>
        <v>0</v>
      </c>
      <c r="R32" s="602">
        <f t="shared" si="23"/>
        <v>144816</v>
      </c>
      <c r="S32" s="599">
        <f t="shared" si="23"/>
        <v>308608</v>
      </c>
      <c r="T32" s="603">
        <f t="shared" si="12"/>
        <v>0.24118881891503702</v>
      </c>
      <c r="U32" s="604">
        <f t="shared" si="13"/>
        <v>0.16623029863127334</v>
      </c>
      <c r="V32" s="605">
        <f t="shared" si="14"/>
        <v>0</v>
      </c>
    </row>
    <row r="33" spans="1:35" ht="20.149999999999999" customHeight="1" x14ac:dyDescent="0.2">
      <c r="B33" s="537" t="s">
        <v>64</v>
      </c>
      <c r="C33" s="529">
        <f t="shared" ref="C33:S33" si="24">SUM(C8:C18)</f>
        <v>34928</v>
      </c>
      <c r="D33" s="599">
        <f t="shared" si="24"/>
        <v>34928</v>
      </c>
      <c r="E33" s="600">
        <f t="shared" si="24"/>
        <v>34928</v>
      </c>
      <c r="F33" s="600">
        <f t="shared" si="24"/>
        <v>0</v>
      </c>
      <c r="G33" s="601">
        <f t="shared" si="24"/>
        <v>0</v>
      </c>
      <c r="H33" s="529">
        <f t="shared" si="24"/>
        <v>51300</v>
      </c>
      <c r="I33" s="599">
        <f t="shared" si="24"/>
        <v>51300</v>
      </c>
      <c r="J33" s="600">
        <f t="shared" si="24"/>
        <v>27218</v>
      </c>
      <c r="K33" s="600">
        <f t="shared" si="24"/>
        <v>24082</v>
      </c>
      <c r="L33" s="600">
        <f t="shared" si="24"/>
        <v>0</v>
      </c>
      <c r="M33" s="600">
        <f t="shared" si="24"/>
        <v>0</v>
      </c>
      <c r="N33" s="601">
        <f t="shared" si="24"/>
        <v>0</v>
      </c>
      <c r="O33" s="529">
        <f t="shared" si="24"/>
        <v>15737</v>
      </c>
      <c r="P33" s="599">
        <f t="shared" si="24"/>
        <v>15737</v>
      </c>
      <c r="Q33" s="601">
        <f t="shared" si="24"/>
        <v>0</v>
      </c>
      <c r="R33" s="602">
        <f t="shared" si="24"/>
        <v>144816</v>
      </c>
      <c r="S33" s="599">
        <f t="shared" si="24"/>
        <v>308608</v>
      </c>
      <c r="T33" s="603">
        <f t="shared" si="12"/>
        <v>0.24118881891503702</v>
      </c>
      <c r="U33" s="604">
        <f t="shared" si="13"/>
        <v>0.16623029863127334</v>
      </c>
      <c r="V33" s="605">
        <f t="shared" si="14"/>
        <v>0</v>
      </c>
    </row>
    <row r="34" spans="1:35" ht="20.149999999999999" customHeight="1" thickBot="1" x14ac:dyDescent="0.25">
      <c r="B34" s="606" t="s">
        <v>65</v>
      </c>
      <c r="C34" s="607">
        <f t="shared" ref="C34:S34" si="25">SUM(C8:C19)</f>
        <v>34928</v>
      </c>
      <c r="D34" s="608">
        <f t="shared" si="25"/>
        <v>34928</v>
      </c>
      <c r="E34" s="609">
        <f t="shared" si="25"/>
        <v>34928</v>
      </c>
      <c r="F34" s="609">
        <f t="shared" si="25"/>
        <v>0</v>
      </c>
      <c r="G34" s="610">
        <f t="shared" si="25"/>
        <v>0</v>
      </c>
      <c r="H34" s="607">
        <f t="shared" si="25"/>
        <v>51300</v>
      </c>
      <c r="I34" s="608">
        <f t="shared" si="25"/>
        <v>51300</v>
      </c>
      <c r="J34" s="609">
        <f t="shared" si="25"/>
        <v>27218</v>
      </c>
      <c r="K34" s="609">
        <f t="shared" si="25"/>
        <v>24082</v>
      </c>
      <c r="L34" s="609">
        <f t="shared" si="25"/>
        <v>0</v>
      </c>
      <c r="M34" s="609">
        <f t="shared" si="25"/>
        <v>0</v>
      </c>
      <c r="N34" s="610">
        <f t="shared" si="25"/>
        <v>0</v>
      </c>
      <c r="O34" s="607">
        <f t="shared" si="25"/>
        <v>15737</v>
      </c>
      <c r="P34" s="608">
        <f t="shared" si="25"/>
        <v>15737</v>
      </c>
      <c r="Q34" s="610">
        <f t="shared" si="25"/>
        <v>0</v>
      </c>
      <c r="R34" s="611">
        <f t="shared" si="25"/>
        <v>144816</v>
      </c>
      <c r="S34" s="608">
        <f t="shared" si="25"/>
        <v>308608</v>
      </c>
      <c r="T34" s="612">
        <f t="shared" si="12"/>
        <v>0.24118881891503702</v>
      </c>
      <c r="U34" s="613">
        <f t="shared" si="13"/>
        <v>0.16623029863127334</v>
      </c>
      <c r="V34" s="614">
        <f t="shared" si="14"/>
        <v>0</v>
      </c>
    </row>
    <row r="35" spans="1:35" s="566" customFormat="1" ht="20.149999999999999" customHeight="1" thickTop="1" x14ac:dyDescent="0.2">
      <c r="A35" s="556"/>
      <c r="B35" s="615" t="s">
        <v>66</v>
      </c>
      <c r="C35" s="616">
        <f t="shared" ref="C35:S35" si="26">SUM(C7:C18)</f>
        <v>69521</v>
      </c>
      <c r="D35" s="616">
        <f t="shared" si="26"/>
        <v>69521</v>
      </c>
      <c r="E35" s="616">
        <f t="shared" si="26"/>
        <v>69521</v>
      </c>
      <c r="F35" s="616">
        <f t="shared" si="26"/>
        <v>0</v>
      </c>
      <c r="G35" s="617">
        <f t="shared" si="26"/>
        <v>0</v>
      </c>
      <c r="H35" s="618">
        <f t="shared" si="26"/>
        <v>102063</v>
      </c>
      <c r="I35" s="616">
        <f t="shared" si="26"/>
        <v>102063</v>
      </c>
      <c r="J35" s="616">
        <f t="shared" si="26"/>
        <v>54071</v>
      </c>
      <c r="K35" s="616">
        <f t="shared" si="26"/>
        <v>47992</v>
      </c>
      <c r="L35" s="616">
        <f t="shared" si="26"/>
        <v>0</v>
      </c>
      <c r="M35" s="616">
        <f t="shared" si="26"/>
        <v>0</v>
      </c>
      <c r="N35" s="619">
        <f t="shared" si="26"/>
        <v>0</v>
      </c>
      <c r="O35" s="618">
        <f t="shared" si="26"/>
        <v>31176</v>
      </c>
      <c r="P35" s="616">
        <f t="shared" si="26"/>
        <v>31176</v>
      </c>
      <c r="Q35" s="619">
        <f t="shared" si="26"/>
        <v>0</v>
      </c>
      <c r="R35" s="618">
        <f t="shared" si="26"/>
        <v>289373</v>
      </c>
      <c r="S35" s="616">
        <f t="shared" si="26"/>
        <v>617360</v>
      </c>
      <c r="T35" s="620">
        <f t="shared" si="12"/>
        <v>0.24024701682603422</v>
      </c>
      <c r="U35" s="620">
        <f t="shared" si="13"/>
        <v>0.16532169236750033</v>
      </c>
      <c r="V35" s="621">
        <f t="shared" si="14"/>
        <v>0</v>
      </c>
      <c r="AA35" s="622"/>
    </row>
    <row r="36" spans="1:35" s="632" customFormat="1" ht="20.149999999999999" customHeight="1" thickBot="1" x14ac:dyDescent="0.25">
      <c r="A36" s="623"/>
      <c r="B36" s="624" t="s">
        <v>53</v>
      </c>
      <c r="C36" s="625">
        <f>ROUND(AVERAGE(C7:C18),0)</f>
        <v>34761</v>
      </c>
      <c r="D36" s="626">
        <f>E36+F36</f>
        <v>34761</v>
      </c>
      <c r="E36" s="626">
        <f>C36-F36-G36</f>
        <v>34761</v>
      </c>
      <c r="F36" s="626">
        <f>ROUND(AVERAGE(F7:F18),0)</f>
        <v>0</v>
      </c>
      <c r="G36" s="627">
        <f>ROUND(AVERAGE(G7:G18),0)</f>
        <v>0</v>
      </c>
      <c r="H36" s="625">
        <f>L36+I36</f>
        <v>51032</v>
      </c>
      <c r="I36" s="626">
        <f>ROUND(AVERAGE(I7:I18),0)</f>
        <v>51032</v>
      </c>
      <c r="J36" s="626">
        <f>J35/(COUNTIF(J7:J18,"&gt;0"))</f>
        <v>27035.5</v>
      </c>
      <c r="K36" s="626">
        <f>AVERAGE(K7:K18)</f>
        <v>23996</v>
      </c>
      <c r="L36" s="626">
        <v>0</v>
      </c>
      <c r="M36" s="626">
        <f>ROUND(AVERAGE(M7:M18),0)</f>
        <v>0</v>
      </c>
      <c r="N36" s="628">
        <f>L36-M36</f>
        <v>0</v>
      </c>
      <c r="O36" s="625">
        <f>AVERAGE(O7:O18)</f>
        <v>15588</v>
      </c>
      <c r="P36" s="626">
        <f>P35/(COUNTIF(P7:P18,"&gt;0"))</f>
        <v>15588</v>
      </c>
      <c r="Q36" s="628">
        <f>AVERAGE(Q7:Q18)</f>
        <v>0</v>
      </c>
      <c r="R36" s="625">
        <f>AVERAGE(R7:R18)</f>
        <v>144686.5</v>
      </c>
      <c r="S36" s="626">
        <f>AVERAGE(S7:S18)</f>
        <v>308680</v>
      </c>
      <c r="T36" s="629">
        <f t="shared" si="12"/>
        <v>0.24025047257346055</v>
      </c>
      <c r="U36" s="630">
        <f t="shared" si="13"/>
        <v>0.16532331216794091</v>
      </c>
      <c r="V36" s="631">
        <f t="shared" si="14"/>
        <v>0</v>
      </c>
      <c r="X36" s="623"/>
      <c r="Y36" s="623"/>
      <c r="Z36" s="623"/>
      <c r="AA36" s="623"/>
    </row>
    <row r="37" spans="1:35" s="566" customFormat="1" ht="20.149999999999999" customHeight="1" thickTop="1" x14ac:dyDescent="0.2">
      <c r="A37" s="556"/>
      <c r="B37" s="633" t="s">
        <v>67</v>
      </c>
      <c r="C37" s="634">
        <f t="shared" ref="C37:S37" si="27">C2+C31</f>
        <v>139382</v>
      </c>
      <c r="D37" s="635">
        <f t="shared" si="27"/>
        <v>139382</v>
      </c>
      <c r="E37" s="636">
        <f t="shared" si="27"/>
        <v>139382</v>
      </c>
      <c r="F37" s="636">
        <f t="shared" si="27"/>
        <v>0</v>
      </c>
      <c r="G37" s="637">
        <f t="shared" si="27"/>
        <v>0</v>
      </c>
      <c r="H37" s="634">
        <f t="shared" si="27"/>
        <v>204711</v>
      </c>
      <c r="I37" s="635">
        <f t="shared" si="27"/>
        <v>204711</v>
      </c>
      <c r="J37" s="636">
        <f t="shared" si="27"/>
        <v>108224</v>
      </c>
      <c r="K37" s="636">
        <f t="shared" si="27"/>
        <v>96487</v>
      </c>
      <c r="L37" s="636">
        <f t="shared" si="27"/>
        <v>0</v>
      </c>
      <c r="M37" s="636">
        <f t="shared" si="27"/>
        <v>0</v>
      </c>
      <c r="N37" s="637">
        <f t="shared" si="27"/>
        <v>0</v>
      </c>
      <c r="O37" s="634">
        <f t="shared" si="27"/>
        <v>62393</v>
      </c>
      <c r="P37" s="638">
        <f t="shared" si="27"/>
        <v>62393</v>
      </c>
      <c r="Q37" s="637">
        <f t="shared" si="27"/>
        <v>0</v>
      </c>
      <c r="R37" s="634">
        <f t="shared" si="27"/>
        <v>577797</v>
      </c>
      <c r="S37" s="635">
        <f t="shared" si="27"/>
        <v>1235668</v>
      </c>
      <c r="T37" s="639">
        <f t="shared" si="12"/>
        <v>0.24123005138482892</v>
      </c>
      <c r="U37" s="639">
        <f t="shared" si="13"/>
        <v>0.16566828630344074</v>
      </c>
      <c r="V37" s="640">
        <f t="shared" si="14"/>
        <v>0</v>
      </c>
      <c r="AA37" s="622"/>
    </row>
    <row r="38" spans="1:35" s="566" customFormat="1" ht="20.149999999999999" customHeight="1" thickBot="1" x14ac:dyDescent="0.25">
      <c r="A38" s="556"/>
      <c r="B38" s="641" t="s">
        <v>53</v>
      </c>
      <c r="C38" s="642">
        <f>C37/(COUNTIF(C8:C16,"&gt;0")+3)</f>
        <v>34845.5</v>
      </c>
      <c r="D38" s="643">
        <f t="shared" ref="D38:S38" si="28">D37/(COUNTIF(D8:D16,"&gt;0")+3)</f>
        <v>34845.5</v>
      </c>
      <c r="E38" s="644">
        <f t="shared" si="28"/>
        <v>34845.5</v>
      </c>
      <c r="F38" s="644">
        <f t="shared" si="28"/>
        <v>0</v>
      </c>
      <c r="G38" s="645">
        <f t="shared" si="28"/>
        <v>0</v>
      </c>
      <c r="H38" s="642">
        <f t="shared" si="28"/>
        <v>51177.75</v>
      </c>
      <c r="I38" s="643">
        <f t="shared" si="28"/>
        <v>51177.75</v>
      </c>
      <c r="J38" s="644">
        <f t="shared" si="28"/>
        <v>27056</v>
      </c>
      <c r="K38" s="644">
        <f t="shared" si="28"/>
        <v>24121.75</v>
      </c>
      <c r="L38" s="644">
        <f t="shared" si="28"/>
        <v>0</v>
      </c>
      <c r="M38" s="644">
        <f t="shared" si="28"/>
        <v>0</v>
      </c>
      <c r="N38" s="645">
        <f t="shared" si="28"/>
        <v>0</v>
      </c>
      <c r="O38" s="642">
        <f t="shared" si="28"/>
        <v>15598.25</v>
      </c>
      <c r="P38" s="646">
        <f t="shared" si="28"/>
        <v>15598.25</v>
      </c>
      <c r="Q38" s="645">
        <f t="shared" si="28"/>
        <v>0</v>
      </c>
      <c r="R38" s="642">
        <f t="shared" si="28"/>
        <v>144449.25</v>
      </c>
      <c r="S38" s="643">
        <f t="shared" si="28"/>
        <v>308917</v>
      </c>
      <c r="T38" s="647">
        <f t="shared" si="12"/>
        <v>0.24123005138482892</v>
      </c>
      <c r="U38" s="647">
        <f t="shared" si="13"/>
        <v>0.16566828630344074</v>
      </c>
      <c r="V38" s="648">
        <f t="shared" si="14"/>
        <v>0</v>
      </c>
      <c r="X38" s="649"/>
      <c r="Y38" s="649"/>
    </row>
    <row r="39" spans="1:35" ht="20.149999999999999" customHeight="1" thickTop="1" x14ac:dyDescent="0.2">
      <c r="Y39" s="650"/>
      <c r="Z39" s="650"/>
      <c r="AA39" s="650"/>
      <c r="AB39" s="650"/>
      <c r="AC39" s="650"/>
      <c r="AD39" s="650"/>
      <c r="AE39" s="650"/>
      <c r="AF39" s="650"/>
      <c r="AG39" s="650"/>
      <c r="AH39" s="650"/>
      <c r="AI39" s="650"/>
    </row>
    <row r="40" spans="1:35" s="587" customFormat="1" ht="20.149999999999999" customHeight="1" x14ac:dyDescent="0.2">
      <c r="A40" s="576"/>
      <c r="Y40" s="767"/>
      <c r="Z40" s="767"/>
      <c r="AA40" s="767"/>
      <c r="AB40" s="767"/>
      <c r="AC40" s="767"/>
      <c r="AD40" s="767"/>
      <c r="AE40" s="767"/>
      <c r="AF40" s="767"/>
      <c r="AG40" s="767"/>
      <c r="AH40" s="767"/>
      <c r="AI40" s="767"/>
    </row>
    <row r="41" spans="1:35" s="587" customFormat="1" ht="20.149999999999999" customHeight="1" x14ac:dyDescent="0.2">
      <c r="A41" s="576"/>
    </row>
    <row r="42" spans="1:35" s="587" customFormat="1" ht="20.149999999999999" customHeight="1" x14ac:dyDescent="0.2">
      <c r="A42" s="576"/>
      <c r="K42" s="768"/>
      <c r="L42" s="768"/>
      <c r="M42" s="768"/>
      <c r="N42" s="768"/>
      <c r="O42" s="768"/>
      <c r="P42" s="768"/>
      <c r="Q42" s="768"/>
      <c r="R42" s="576"/>
      <c r="W42" s="767"/>
      <c r="X42" s="767"/>
      <c r="AD42" s="769"/>
    </row>
    <row r="43" spans="1:35" s="587" customFormat="1" ht="20.149999999999999" customHeight="1" x14ac:dyDescent="0.2">
      <c r="A43" s="576"/>
      <c r="F43" s="770"/>
      <c r="G43" s="770"/>
      <c r="Y43" s="767"/>
    </row>
    <row r="44" spans="1:35" s="587" customFormat="1" ht="20.149999999999999" customHeight="1" thickBot="1" x14ac:dyDescent="0.25">
      <c r="A44" s="576"/>
      <c r="D44" s="771"/>
      <c r="E44" s="771"/>
      <c r="F44" s="772"/>
      <c r="G44" s="772"/>
      <c r="W44" s="767"/>
      <c r="X44" s="773"/>
      <c r="Z44" s="774"/>
      <c r="AA44" s="767"/>
      <c r="AB44" s="767"/>
      <c r="AC44" s="767"/>
      <c r="AD44" s="767"/>
      <c r="AE44" s="767"/>
      <c r="AF44" s="767"/>
      <c r="AG44" s="767"/>
      <c r="AH44" s="769"/>
    </row>
    <row r="45" spans="1:35" s="587" customFormat="1" ht="20.149999999999999" customHeight="1" thickTop="1" x14ac:dyDescent="0.25">
      <c r="A45" s="576"/>
      <c r="F45" s="775"/>
      <c r="G45" s="775"/>
      <c r="H45" s="775"/>
      <c r="N45" s="576"/>
      <c r="O45" s="576"/>
      <c r="P45" s="576"/>
      <c r="Q45" s="576"/>
      <c r="R45" s="576"/>
      <c r="T45" s="768"/>
      <c r="U45" s="768"/>
      <c r="V45" s="768"/>
      <c r="W45" s="768"/>
      <c r="X45" s="776"/>
      <c r="Y45" s="777"/>
      <c r="Z45" s="778"/>
      <c r="AA45" s="778"/>
      <c r="AB45" s="778"/>
      <c r="AC45" s="778"/>
      <c r="AD45" s="779"/>
      <c r="AE45" s="779"/>
      <c r="AF45" s="779"/>
      <c r="AG45" s="780"/>
      <c r="AH45" s="780"/>
      <c r="AI45" s="781"/>
    </row>
    <row r="46" spans="1:35" s="587" customFormat="1" ht="20.149999999999999" customHeight="1" x14ac:dyDescent="0.2">
      <c r="A46" s="576"/>
      <c r="C46" s="771"/>
      <c r="D46" s="771"/>
      <c r="E46" s="771"/>
      <c r="F46" s="771"/>
      <c r="G46" s="771"/>
      <c r="K46" s="768"/>
      <c r="L46" s="768"/>
      <c r="M46" s="768"/>
      <c r="W46" s="782"/>
      <c r="X46" s="783"/>
      <c r="Y46" s="784"/>
      <c r="Z46" s="785"/>
      <c r="AA46" s="786"/>
      <c r="AB46" s="786"/>
      <c r="AC46" s="787"/>
      <c r="AD46" s="788"/>
      <c r="AE46" s="789"/>
      <c r="AF46" s="789"/>
      <c r="AG46" s="789"/>
      <c r="AH46" s="789"/>
      <c r="AI46" s="790"/>
    </row>
    <row r="47" spans="1:35" s="587" customFormat="1" ht="20.149999999999999" customHeight="1" x14ac:dyDescent="0.2">
      <c r="A47" s="576"/>
      <c r="D47" s="771"/>
      <c r="E47" s="771"/>
      <c r="F47" s="771"/>
      <c r="G47" s="771"/>
      <c r="W47" s="767"/>
      <c r="X47" s="791"/>
      <c r="Y47" s="792"/>
      <c r="Z47" s="785"/>
      <c r="AA47" s="785"/>
      <c r="AB47" s="785"/>
      <c r="AC47" s="793"/>
      <c r="AD47" s="794"/>
      <c r="AE47" s="785"/>
      <c r="AF47" s="785"/>
      <c r="AG47" s="795"/>
      <c r="AH47" s="795"/>
      <c r="AI47" s="796"/>
    </row>
    <row r="48" spans="1:35" s="587" customFormat="1" ht="20.149999999999999" customHeight="1" x14ac:dyDescent="0.2">
      <c r="A48" s="576"/>
      <c r="N48" s="576"/>
      <c r="O48" s="576"/>
      <c r="P48" s="576"/>
      <c r="Q48" s="576"/>
      <c r="R48" s="797"/>
      <c r="W48" s="767"/>
      <c r="X48" s="783"/>
      <c r="Y48" s="798"/>
      <c r="Z48" s="784"/>
      <c r="AA48" s="784"/>
      <c r="AB48" s="784"/>
      <c r="AC48" s="799"/>
      <c r="AD48" s="800"/>
      <c r="AE48" s="784"/>
      <c r="AF48" s="798"/>
      <c r="AG48" s="801"/>
      <c r="AH48" s="802"/>
      <c r="AI48" s="803"/>
    </row>
    <row r="49" spans="1:35" s="587" customFormat="1" ht="20.149999999999999" customHeight="1" x14ac:dyDescent="0.2">
      <c r="A49" s="576"/>
      <c r="G49" s="804"/>
      <c r="H49" s="804"/>
      <c r="W49" s="767"/>
      <c r="X49" s="791"/>
      <c r="Y49" s="792"/>
      <c r="Z49" s="785"/>
      <c r="AA49" s="785"/>
      <c r="AB49" s="785"/>
      <c r="AC49" s="805"/>
      <c r="AD49" s="794"/>
      <c r="AE49" s="785"/>
      <c r="AF49" s="792"/>
      <c r="AG49" s="806"/>
      <c r="AH49" s="795"/>
      <c r="AI49" s="807"/>
    </row>
    <row r="50" spans="1:35" s="587" customFormat="1" ht="20.149999999999999" customHeight="1" x14ac:dyDescent="0.2">
      <c r="A50" s="576"/>
      <c r="G50" s="808"/>
      <c r="H50" s="808"/>
      <c r="W50" s="767"/>
      <c r="X50" s="783"/>
      <c r="Y50" s="798"/>
      <c r="Z50" s="784"/>
      <c r="AA50" s="784"/>
      <c r="AB50" s="784"/>
      <c r="AC50" s="799"/>
      <c r="AD50" s="800"/>
      <c r="AE50" s="784"/>
      <c r="AF50" s="798"/>
      <c r="AG50" s="801"/>
      <c r="AH50" s="802"/>
      <c r="AI50" s="803"/>
    </row>
    <row r="51" spans="1:35" s="587" customFormat="1" ht="20.149999999999999" customHeight="1" x14ac:dyDescent="0.2">
      <c r="A51" s="809"/>
      <c r="W51" s="767"/>
      <c r="X51" s="791"/>
      <c r="Y51" s="792"/>
      <c r="Z51" s="785"/>
      <c r="AA51" s="785"/>
      <c r="AB51" s="785"/>
      <c r="AC51" s="793"/>
      <c r="AD51" s="794"/>
      <c r="AE51" s="785"/>
      <c r="AF51" s="785"/>
      <c r="AG51" s="795"/>
      <c r="AH51" s="795"/>
      <c r="AI51" s="796"/>
    </row>
    <row r="52" spans="1:35" s="587" customFormat="1" ht="20.149999999999999" customHeight="1" x14ac:dyDescent="0.2">
      <c r="A52" s="576"/>
      <c r="K52" s="768"/>
      <c r="L52" s="768"/>
      <c r="M52" s="768"/>
      <c r="N52" s="768"/>
      <c r="O52" s="768"/>
      <c r="P52" s="768"/>
      <c r="Q52" s="768"/>
      <c r="W52" s="767"/>
      <c r="X52" s="783"/>
      <c r="Y52" s="798"/>
      <c r="Z52" s="784"/>
      <c r="AA52" s="784"/>
      <c r="AB52" s="784"/>
      <c r="AC52" s="799"/>
      <c r="AD52" s="800"/>
      <c r="AE52" s="784"/>
      <c r="AF52" s="798"/>
      <c r="AG52" s="801"/>
      <c r="AH52" s="802"/>
      <c r="AI52" s="803"/>
    </row>
    <row r="53" spans="1:35" s="587" customFormat="1" ht="20.149999999999999" customHeight="1" x14ac:dyDescent="0.2">
      <c r="A53" s="576"/>
      <c r="W53" s="767"/>
      <c r="X53" s="791"/>
      <c r="Y53" s="792"/>
      <c r="Z53" s="785"/>
      <c r="AA53" s="785"/>
      <c r="AB53" s="785"/>
      <c r="AC53" s="805"/>
      <c r="AD53" s="794"/>
      <c r="AE53" s="785"/>
      <c r="AF53" s="792"/>
      <c r="AG53" s="806"/>
      <c r="AH53" s="795"/>
      <c r="AI53" s="807"/>
    </row>
    <row r="54" spans="1:35" s="587" customFormat="1" ht="20.149999999999999" customHeight="1" x14ac:dyDescent="0.2">
      <c r="A54" s="576"/>
      <c r="F54" s="770"/>
      <c r="G54" s="770"/>
      <c r="W54" s="767"/>
      <c r="X54" s="783"/>
      <c r="Y54" s="798"/>
      <c r="Z54" s="784"/>
      <c r="AA54" s="784"/>
      <c r="AB54" s="784"/>
      <c r="AC54" s="799"/>
      <c r="AD54" s="800"/>
      <c r="AE54" s="784"/>
      <c r="AF54" s="798"/>
      <c r="AG54" s="801"/>
      <c r="AH54" s="802"/>
      <c r="AI54" s="803"/>
    </row>
    <row r="55" spans="1:35" s="587" customFormat="1" ht="20.149999999999999" customHeight="1" x14ac:dyDescent="0.2">
      <c r="A55" s="576"/>
      <c r="D55" s="771"/>
      <c r="E55" s="771"/>
      <c r="F55" s="772"/>
      <c r="G55" s="772"/>
      <c r="H55" s="772"/>
      <c r="K55" s="768"/>
      <c r="L55" s="768"/>
      <c r="M55" s="768"/>
      <c r="W55" s="767"/>
      <c r="X55" s="791"/>
      <c r="Y55" s="792"/>
      <c r="Z55" s="785"/>
      <c r="AA55" s="785"/>
      <c r="AB55" s="785"/>
      <c r="AC55" s="793"/>
      <c r="AD55" s="794"/>
      <c r="AE55" s="785"/>
      <c r="AF55" s="785"/>
      <c r="AG55" s="795"/>
      <c r="AH55" s="795"/>
      <c r="AI55" s="796"/>
    </row>
    <row r="56" spans="1:35" s="587" customFormat="1" ht="20.149999999999999" customHeight="1" x14ac:dyDescent="0.25">
      <c r="A56" s="576"/>
      <c r="F56" s="775"/>
      <c r="G56" s="775"/>
      <c r="H56" s="775"/>
      <c r="W56" s="767"/>
      <c r="X56" s="783"/>
      <c r="Y56" s="798"/>
      <c r="Z56" s="784"/>
      <c r="AA56" s="784"/>
      <c r="AB56" s="784"/>
      <c r="AC56" s="799"/>
      <c r="AD56" s="800"/>
      <c r="AE56" s="784"/>
      <c r="AF56" s="798"/>
      <c r="AG56" s="801"/>
      <c r="AH56" s="802"/>
      <c r="AI56" s="803"/>
    </row>
    <row r="57" spans="1:35" s="587" customFormat="1" ht="20.149999999999999" customHeight="1" x14ac:dyDescent="0.2">
      <c r="A57" s="576"/>
      <c r="C57" s="771"/>
      <c r="D57" s="771"/>
      <c r="E57" s="771"/>
      <c r="F57" s="771"/>
      <c r="G57" s="771"/>
      <c r="W57" s="767"/>
      <c r="X57" s="791"/>
      <c r="Y57" s="792"/>
      <c r="Z57" s="785"/>
      <c r="AA57" s="785"/>
      <c r="AB57" s="785"/>
      <c r="AC57" s="793"/>
      <c r="AD57" s="794"/>
      <c r="AE57" s="785"/>
      <c r="AF57" s="785"/>
      <c r="AG57" s="795"/>
      <c r="AH57" s="795"/>
      <c r="AI57" s="796"/>
    </row>
    <row r="58" spans="1:35" s="587" customFormat="1" ht="20.149999999999999" customHeight="1" x14ac:dyDescent="0.2">
      <c r="A58" s="576"/>
      <c r="D58" s="771"/>
      <c r="E58" s="771"/>
      <c r="F58" s="771"/>
      <c r="G58" s="771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W58" s="767"/>
      <c r="X58" s="783"/>
      <c r="Y58" s="798"/>
      <c r="Z58" s="784"/>
      <c r="AA58" s="784"/>
      <c r="AB58" s="784"/>
      <c r="AC58" s="799"/>
      <c r="AD58" s="800"/>
      <c r="AE58" s="784"/>
      <c r="AF58" s="798"/>
      <c r="AG58" s="801"/>
      <c r="AH58" s="802"/>
      <c r="AI58" s="803"/>
    </row>
    <row r="59" spans="1:35" s="587" customFormat="1" ht="20.149999999999999" customHeight="1" x14ac:dyDescent="0.2">
      <c r="A59" s="576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W59" s="767"/>
      <c r="X59" s="791"/>
      <c r="Y59" s="792"/>
      <c r="Z59" s="785"/>
      <c r="AA59" s="785"/>
      <c r="AB59" s="785"/>
      <c r="AC59" s="793"/>
      <c r="AD59" s="794"/>
      <c r="AE59" s="785"/>
      <c r="AF59" s="785"/>
      <c r="AG59" s="795"/>
      <c r="AH59" s="795"/>
      <c r="AI59" s="796"/>
    </row>
    <row r="60" spans="1:35" s="587" customFormat="1" ht="20.149999999999999" customHeight="1" x14ac:dyDescent="0.2">
      <c r="A60" s="576"/>
      <c r="W60" s="767"/>
      <c r="X60" s="783"/>
      <c r="Y60" s="798"/>
      <c r="Z60" s="784"/>
      <c r="AA60" s="784"/>
      <c r="AB60" s="784"/>
      <c r="AC60" s="799"/>
      <c r="AD60" s="800"/>
      <c r="AE60" s="784"/>
      <c r="AF60" s="798"/>
      <c r="AG60" s="801"/>
      <c r="AH60" s="802"/>
      <c r="AI60" s="803"/>
    </row>
    <row r="61" spans="1:35" s="587" customFormat="1" ht="20.149999999999999" customHeight="1" x14ac:dyDescent="0.2">
      <c r="A61" s="576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W61" s="767"/>
      <c r="X61" s="791"/>
      <c r="Y61" s="792"/>
      <c r="Z61" s="785"/>
      <c r="AA61" s="785"/>
      <c r="AB61" s="785"/>
      <c r="AC61" s="793"/>
      <c r="AD61" s="794"/>
      <c r="AE61" s="785"/>
      <c r="AF61" s="785"/>
      <c r="AG61" s="795"/>
      <c r="AH61" s="795"/>
      <c r="AI61" s="796"/>
    </row>
    <row r="62" spans="1:35" s="587" customFormat="1" ht="20.149999999999999" customHeight="1" x14ac:dyDescent="0.2">
      <c r="A62" s="576"/>
      <c r="W62" s="767"/>
      <c r="X62" s="783"/>
      <c r="Y62" s="798"/>
      <c r="Z62" s="784"/>
      <c r="AA62" s="784"/>
      <c r="AB62" s="784"/>
      <c r="AC62" s="799"/>
      <c r="AD62" s="800"/>
      <c r="AE62" s="784"/>
      <c r="AF62" s="798"/>
      <c r="AG62" s="801"/>
      <c r="AH62" s="802"/>
      <c r="AI62" s="803"/>
    </row>
    <row r="63" spans="1:35" s="587" customFormat="1" ht="20.149999999999999" customHeight="1" x14ac:dyDescent="0.2">
      <c r="A63" s="576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W63" s="767"/>
      <c r="X63" s="791"/>
      <c r="Y63" s="792"/>
      <c r="Z63" s="785"/>
      <c r="AA63" s="785"/>
      <c r="AB63" s="785"/>
      <c r="AC63" s="805"/>
      <c r="AD63" s="794"/>
      <c r="AE63" s="785"/>
      <c r="AF63" s="792"/>
      <c r="AG63" s="806"/>
      <c r="AH63" s="795"/>
      <c r="AI63" s="807"/>
    </row>
    <row r="64" spans="1:35" s="587" customFormat="1" ht="20.149999999999999" customHeight="1" x14ac:dyDescent="0.2">
      <c r="A64" s="576"/>
      <c r="F64" s="770"/>
      <c r="G64" s="770"/>
      <c r="W64" s="767"/>
      <c r="X64" s="783"/>
      <c r="Y64" s="798"/>
      <c r="Z64" s="784"/>
      <c r="AA64" s="784"/>
      <c r="AB64" s="784"/>
      <c r="AC64" s="799"/>
      <c r="AD64" s="800"/>
      <c r="AE64" s="784"/>
      <c r="AF64" s="798"/>
      <c r="AG64" s="801"/>
      <c r="AH64" s="802"/>
      <c r="AI64" s="803"/>
    </row>
    <row r="65" spans="1:35" s="587" customFormat="1" ht="20.149999999999999" customHeight="1" x14ac:dyDescent="0.2">
      <c r="A65" s="810"/>
      <c r="D65" s="771"/>
      <c r="E65" s="771"/>
      <c r="F65" s="772"/>
      <c r="G65" s="772"/>
      <c r="H65" s="772"/>
      <c r="W65" s="767"/>
      <c r="X65" s="791"/>
      <c r="Y65" s="792"/>
      <c r="Z65" s="785"/>
      <c r="AA65" s="785"/>
      <c r="AB65" s="785"/>
      <c r="AC65" s="805"/>
      <c r="AD65" s="794"/>
      <c r="AE65" s="785"/>
      <c r="AF65" s="792"/>
      <c r="AG65" s="806"/>
      <c r="AH65" s="795"/>
      <c r="AI65" s="807"/>
    </row>
    <row r="66" spans="1:35" s="587" customFormat="1" ht="20.149999999999999" customHeight="1" x14ac:dyDescent="0.25">
      <c r="A66" s="576"/>
      <c r="F66" s="775"/>
      <c r="G66" s="775"/>
      <c r="H66" s="775"/>
      <c r="W66" s="767"/>
      <c r="X66" s="783"/>
      <c r="Y66" s="798"/>
      <c r="Z66" s="784"/>
      <c r="AA66" s="784"/>
      <c r="AB66" s="784"/>
      <c r="AC66" s="799"/>
      <c r="AD66" s="800"/>
      <c r="AE66" s="784"/>
      <c r="AF66" s="798"/>
      <c r="AG66" s="801"/>
      <c r="AH66" s="802"/>
      <c r="AI66" s="803"/>
    </row>
    <row r="67" spans="1:35" s="587" customFormat="1" ht="20.149999999999999" customHeight="1" x14ac:dyDescent="0.2">
      <c r="A67" s="576"/>
      <c r="C67" s="771"/>
      <c r="D67" s="771"/>
      <c r="E67" s="771"/>
      <c r="F67" s="771"/>
      <c r="G67" s="771"/>
      <c r="W67" s="767"/>
      <c r="X67" s="791"/>
      <c r="Y67" s="792"/>
      <c r="Z67" s="785"/>
      <c r="AA67" s="785"/>
      <c r="AB67" s="785"/>
      <c r="AC67" s="805"/>
      <c r="AD67" s="794"/>
      <c r="AE67" s="785"/>
      <c r="AF67" s="792"/>
      <c r="AG67" s="806"/>
      <c r="AH67" s="795"/>
      <c r="AI67" s="807"/>
    </row>
    <row r="68" spans="1:35" s="587" customFormat="1" ht="20.149999999999999" customHeight="1" x14ac:dyDescent="0.2">
      <c r="A68" s="576"/>
      <c r="D68" s="771"/>
      <c r="E68" s="771"/>
      <c r="F68" s="771"/>
      <c r="G68" s="771"/>
      <c r="W68" s="767"/>
      <c r="X68" s="783"/>
      <c r="Y68" s="798"/>
      <c r="Z68" s="784"/>
      <c r="AA68" s="784"/>
      <c r="AB68" s="784"/>
      <c r="AC68" s="799"/>
      <c r="AD68" s="800"/>
      <c r="AE68" s="784"/>
      <c r="AF68" s="798"/>
      <c r="AG68" s="801"/>
      <c r="AH68" s="802"/>
      <c r="AI68" s="803"/>
    </row>
    <row r="69" spans="1:35" s="587" customFormat="1" ht="20.149999999999999" customHeight="1" x14ac:dyDescent="0.2">
      <c r="A69" s="576"/>
      <c r="W69" s="767"/>
      <c r="X69" s="791"/>
      <c r="Y69" s="792"/>
      <c r="Z69" s="785"/>
      <c r="AA69" s="785"/>
      <c r="AB69" s="785"/>
      <c r="AC69" s="805"/>
      <c r="AD69" s="794"/>
      <c r="AE69" s="785"/>
      <c r="AF69" s="792"/>
      <c r="AG69" s="806"/>
      <c r="AH69" s="795"/>
      <c r="AI69" s="807"/>
    </row>
    <row r="70" spans="1:35" s="587" customFormat="1" ht="20.149999999999999" customHeight="1" x14ac:dyDescent="0.2">
      <c r="A70" s="576"/>
      <c r="W70" s="767"/>
      <c r="X70" s="783"/>
      <c r="Y70" s="798"/>
      <c r="Z70" s="784"/>
      <c r="AA70" s="784"/>
      <c r="AB70" s="784"/>
      <c r="AC70" s="799"/>
      <c r="AD70" s="800"/>
      <c r="AE70" s="784"/>
      <c r="AF70" s="798"/>
      <c r="AG70" s="801"/>
      <c r="AH70" s="802"/>
      <c r="AI70" s="803"/>
    </row>
    <row r="71" spans="1:35" s="587" customFormat="1" ht="20.149999999999999" customHeight="1" x14ac:dyDescent="0.2">
      <c r="A71" s="576"/>
      <c r="W71" s="767"/>
      <c r="X71" s="791"/>
      <c r="Y71" s="792"/>
      <c r="Z71" s="785"/>
      <c r="AA71" s="785"/>
      <c r="AB71" s="785"/>
      <c r="AC71" s="805"/>
      <c r="AD71" s="794"/>
      <c r="AE71" s="785"/>
      <c r="AF71" s="792"/>
      <c r="AG71" s="806"/>
      <c r="AH71" s="795"/>
      <c r="AI71" s="807"/>
    </row>
    <row r="72" spans="1:35" s="587" customFormat="1" ht="20.149999999999999" customHeight="1" x14ac:dyDescent="0.2">
      <c r="A72" s="576"/>
      <c r="W72" s="767"/>
      <c r="X72" s="783"/>
      <c r="Y72" s="798"/>
      <c r="Z72" s="784"/>
      <c r="AA72" s="784"/>
      <c r="AB72" s="784"/>
      <c r="AC72" s="799"/>
      <c r="AD72" s="800"/>
      <c r="AE72" s="798"/>
      <c r="AF72" s="784"/>
      <c r="AG72" s="801"/>
      <c r="AH72" s="802"/>
      <c r="AI72" s="803"/>
    </row>
    <row r="73" spans="1:35" s="587" customFormat="1" ht="20.149999999999999" customHeight="1" x14ac:dyDescent="0.2">
      <c r="A73" s="576"/>
      <c r="W73" s="767"/>
      <c r="X73" s="791"/>
      <c r="Y73" s="792"/>
      <c r="Z73" s="785"/>
      <c r="AA73" s="785"/>
      <c r="AB73" s="785"/>
      <c r="AC73" s="805"/>
      <c r="AD73" s="794"/>
      <c r="AE73" s="785"/>
      <c r="AF73" s="792"/>
      <c r="AG73" s="806"/>
      <c r="AH73" s="795"/>
      <c r="AI73" s="807"/>
    </row>
    <row r="74" spans="1:35" s="587" customFormat="1" ht="20.149999999999999" customHeight="1" thickBot="1" x14ac:dyDescent="0.25">
      <c r="A74" s="576"/>
      <c r="W74" s="767"/>
      <c r="X74" s="811"/>
      <c r="Y74" s="812"/>
      <c r="Z74" s="813"/>
      <c r="AA74" s="813"/>
      <c r="AB74" s="813"/>
      <c r="AC74" s="814"/>
      <c r="AD74" s="815"/>
      <c r="AE74" s="812"/>
      <c r="AF74" s="813"/>
      <c r="AG74" s="816"/>
      <c r="AH74" s="817"/>
      <c r="AI74" s="818"/>
    </row>
    <row r="75" spans="1:35" s="587" customFormat="1" ht="20.149999999999999" customHeight="1" thickTop="1" x14ac:dyDescent="0.2">
      <c r="A75" s="576"/>
      <c r="W75" s="819"/>
      <c r="X75" s="776"/>
      <c r="Y75" s="820"/>
      <c r="Z75" s="821"/>
      <c r="AA75" s="821"/>
      <c r="AB75" s="821"/>
      <c r="AC75" s="822"/>
      <c r="AD75" s="823"/>
      <c r="AE75" s="821"/>
      <c r="AF75" s="820"/>
      <c r="AG75" s="824"/>
      <c r="AH75" s="825"/>
      <c r="AI75" s="826"/>
    </row>
    <row r="76" spans="1:35" s="587" customFormat="1" ht="20.149999999999999" customHeight="1" x14ac:dyDescent="0.2">
      <c r="A76" s="576"/>
      <c r="W76" s="827"/>
      <c r="X76" s="783"/>
      <c r="Y76" s="828"/>
      <c r="Z76" s="829"/>
      <c r="AA76" s="829"/>
      <c r="AB76" s="829"/>
      <c r="AC76" s="830"/>
      <c r="AD76" s="831"/>
      <c r="AE76" s="828"/>
      <c r="AF76" s="829"/>
      <c r="AG76" s="832"/>
      <c r="AH76" s="833"/>
      <c r="AI76" s="834"/>
    </row>
    <row r="77" spans="1:35" s="587" customFormat="1" ht="20.149999999999999" customHeight="1" x14ac:dyDescent="0.2">
      <c r="A77" s="576"/>
      <c r="W77" s="835"/>
      <c r="X77" s="791"/>
      <c r="Y77" s="836"/>
      <c r="Z77" s="837"/>
      <c r="AA77" s="837"/>
      <c r="AB77" s="837"/>
      <c r="AC77" s="838"/>
      <c r="AD77" s="839"/>
      <c r="AE77" s="837"/>
      <c r="AF77" s="836"/>
      <c r="AG77" s="840"/>
      <c r="AH77" s="841"/>
      <c r="AI77" s="842"/>
    </row>
    <row r="78" spans="1:35" s="587" customFormat="1" ht="20.149999999999999" customHeight="1" thickBot="1" x14ac:dyDescent="0.25">
      <c r="A78" s="576"/>
      <c r="W78" s="843"/>
      <c r="X78" s="811"/>
      <c r="Y78" s="844"/>
      <c r="Z78" s="845"/>
      <c r="AA78" s="845"/>
      <c r="AB78" s="845"/>
      <c r="AC78" s="846"/>
      <c r="AD78" s="847"/>
      <c r="AE78" s="844"/>
      <c r="AF78" s="845"/>
      <c r="AG78" s="848"/>
      <c r="AH78" s="849"/>
      <c r="AI78" s="850"/>
    </row>
    <row r="79" spans="1:35" s="587" customFormat="1" ht="20.149999999999999" customHeight="1" thickTop="1" x14ac:dyDescent="0.2">
      <c r="A79" s="576"/>
    </row>
    <row r="80" spans="1:35" s="587" customFormat="1" ht="20.149999999999999" customHeight="1" x14ac:dyDescent="0.2">
      <c r="A80" s="576"/>
      <c r="C80" s="851"/>
      <c r="D80" s="851"/>
      <c r="E80" s="851"/>
      <c r="F80" s="851"/>
      <c r="G80" s="851"/>
    </row>
    <row r="81" spans="1:8" s="587" customFormat="1" ht="20.149999999999999" customHeight="1" x14ac:dyDescent="0.2">
      <c r="A81" s="576"/>
      <c r="C81" s="851"/>
      <c r="D81" s="851"/>
      <c r="E81" s="851"/>
      <c r="F81" s="851"/>
      <c r="G81" s="851"/>
    </row>
    <row r="82" spans="1:8" s="587" customFormat="1" ht="20.149999999999999" customHeight="1" x14ac:dyDescent="0.2">
      <c r="A82" s="576"/>
      <c r="D82" s="851"/>
      <c r="E82" s="851"/>
      <c r="F82" s="851"/>
      <c r="G82" s="851"/>
      <c r="H82" s="851"/>
    </row>
    <row r="83" spans="1:8" s="587" customFormat="1" ht="20.149999999999999" customHeight="1" x14ac:dyDescent="0.2">
      <c r="A83" s="576"/>
    </row>
    <row r="84" spans="1:8" s="587" customFormat="1" ht="20.149999999999999" customHeight="1" x14ac:dyDescent="0.2">
      <c r="A84" s="576"/>
    </row>
    <row r="85" spans="1:8" s="587" customFormat="1" ht="20.149999999999999" customHeight="1" x14ac:dyDescent="0.2">
      <c r="A85" s="576"/>
    </row>
    <row r="86" spans="1:8" s="587" customFormat="1" ht="20.149999999999999" customHeight="1" x14ac:dyDescent="0.2">
      <c r="A86" s="576"/>
    </row>
    <row r="87" spans="1:8" s="587" customFormat="1" x14ac:dyDescent="0.2">
      <c r="A87" s="576"/>
    </row>
  </sheetData>
  <sheetProtection formatCells="0"/>
  <phoneticPr fontId="22"/>
  <printOptions horizontalCentered="1" verticalCentered="1"/>
  <pageMargins left="0.19685039370078741" right="0.19685039370078741" top="0.43307086614173229" bottom="0.27559055118110237" header="0.98425196850393704" footer="0.23622047244094491"/>
  <pageSetup paperSize="9" scale="65" orientation="landscape" r:id="rId1"/>
  <headerFooter alignWithMargins="0">
    <oddHeader>&amp;L</oddHeader>
    <oddFooter>&amp;R&amp;Z&amp;F&amp;F&amp;A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F22" sqref="F22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205">
        <f>SUM(平成6年度!C17:C19)</f>
        <v>107951</v>
      </c>
      <c r="D2" s="205">
        <f>SUM(平成6年度!D17:D19)</f>
        <v>93074</v>
      </c>
      <c r="E2" s="205">
        <f>SUM(平成6年度!E17:E19)</f>
        <v>88676</v>
      </c>
      <c r="F2" s="205">
        <f>SUM(平成6年度!F17:F19)</f>
        <v>4398</v>
      </c>
      <c r="G2" s="205">
        <f>SUM(平成6年度!G17:G19)</f>
        <v>14877</v>
      </c>
      <c r="H2" s="205">
        <f>SUM(平成6年度!H17:H19)</f>
        <v>221993</v>
      </c>
      <c r="I2" s="205">
        <f>SUM(平成6年度!I17:I19)</f>
        <v>191518</v>
      </c>
      <c r="J2" s="205">
        <f>SUM(平成6年度!J17:J19)</f>
        <v>146832</v>
      </c>
      <c r="K2" s="205">
        <f>SUM(平成6年度!K17:K19)</f>
        <v>44686</v>
      </c>
      <c r="L2" s="205">
        <f>SUM(平成6年度!L17:L19)</f>
        <v>30475</v>
      </c>
      <c r="M2" s="205">
        <f>SUM(平成6年度!M17:M19)</f>
        <v>22018</v>
      </c>
      <c r="N2" s="205" t="e">
        <f>SUM(+平成6年度!N17:N19)</f>
        <v>#VALUE!</v>
      </c>
      <c r="O2" s="205">
        <f>SUM(平成6年度!O17:O19)</f>
        <v>295279</v>
      </c>
      <c r="P2" s="205">
        <f>SUM(平成6年度!P17:P19)</f>
        <v>863234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208</v>
      </c>
      <c r="D3" s="3"/>
      <c r="E3" s="3" t="s">
        <v>209</v>
      </c>
      <c r="F3" s="3" t="s">
        <v>210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211</v>
      </c>
      <c r="C4" s="10" t="s">
        <v>212</v>
      </c>
      <c r="D4" s="11"/>
      <c r="E4" s="11"/>
      <c r="F4" s="11"/>
      <c r="G4" s="12"/>
      <c r="H4" s="10" t="s">
        <v>213</v>
      </c>
      <c r="I4" s="11"/>
      <c r="J4" s="11"/>
      <c r="K4" s="11"/>
      <c r="L4" s="11"/>
      <c r="M4" s="11"/>
      <c r="N4" s="11"/>
      <c r="O4" s="10" t="s">
        <v>214</v>
      </c>
      <c r="P4" s="11" t="s">
        <v>215</v>
      </c>
      <c r="Q4" s="12" t="s">
        <v>216</v>
      </c>
      <c r="R4" s="13" t="s">
        <v>217</v>
      </c>
      <c r="S4" s="14" t="s">
        <v>218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219</v>
      </c>
      <c r="D5" s="25" t="s">
        <v>220</v>
      </c>
      <c r="E5" s="26" t="s">
        <v>221</v>
      </c>
      <c r="F5" s="26" t="s">
        <v>222</v>
      </c>
      <c r="G5" s="27" t="s">
        <v>223</v>
      </c>
      <c r="H5" s="24" t="s">
        <v>224</v>
      </c>
      <c r="I5" s="25" t="s">
        <v>225</v>
      </c>
      <c r="J5" s="26" t="s">
        <v>226</v>
      </c>
      <c r="K5" s="26" t="s">
        <v>227</v>
      </c>
      <c r="L5" s="26" t="s">
        <v>228</v>
      </c>
      <c r="M5" s="26" t="s">
        <v>229</v>
      </c>
      <c r="N5" s="27" t="s">
        <v>230</v>
      </c>
      <c r="O5" s="24" t="s">
        <v>231</v>
      </c>
      <c r="P5" s="25" t="s">
        <v>232</v>
      </c>
      <c r="Q5" s="27" t="s">
        <v>233</v>
      </c>
      <c r="R5" s="24" t="s">
        <v>234</v>
      </c>
      <c r="S5" s="25" t="s">
        <v>235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236</v>
      </c>
      <c r="D6" s="14" t="s">
        <v>237</v>
      </c>
      <c r="E6" s="15" t="s">
        <v>238</v>
      </c>
      <c r="F6" s="15" t="s">
        <v>239</v>
      </c>
      <c r="G6" s="16" t="s">
        <v>240</v>
      </c>
      <c r="H6" s="38" t="s">
        <v>241</v>
      </c>
      <c r="I6" s="14" t="s">
        <v>242</v>
      </c>
      <c r="J6" s="15" t="s">
        <v>243</v>
      </c>
      <c r="K6" s="15" t="s">
        <v>244</v>
      </c>
      <c r="L6" s="15" t="s">
        <v>245</v>
      </c>
      <c r="M6" s="15" t="s">
        <v>246</v>
      </c>
      <c r="N6" s="16" t="s">
        <v>247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248</v>
      </c>
      <c r="C8" s="44">
        <f>平成7年度!D8+平成7年度!G8</f>
        <v>36183</v>
      </c>
      <c r="D8" s="45">
        <f>平成7年度!E8+平成7年度!F8</f>
        <v>31203</v>
      </c>
      <c r="E8" s="45">
        <v>29722</v>
      </c>
      <c r="F8" s="46">
        <v>1481</v>
      </c>
      <c r="G8" s="47">
        <v>4980</v>
      </c>
      <c r="H8" s="48">
        <f>平成7年度!I8+平成7年度!L8</f>
        <v>74145</v>
      </c>
      <c r="I8" s="45">
        <f>平成7年度!J8+平成7年度!K8</f>
        <v>63913</v>
      </c>
      <c r="J8" s="46">
        <v>48777</v>
      </c>
      <c r="K8" s="49">
        <v>15136</v>
      </c>
      <c r="L8" s="45">
        <f>平成7年度!M8+平成7年度!N8</f>
        <v>10232</v>
      </c>
      <c r="M8" s="46">
        <v>7374</v>
      </c>
      <c r="N8" s="47">
        <v>2858</v>
      </c>
      <c r="O8" s="44">
        <v>98969</v>
      </c>
      <c r="P8" s="45">
        <v>288072</v>
      </c>
      <c r="Q8" s="47">
        <f>平成7年度!C8/平成7年度!O8</f>
        <v>0.36559932908284415</v>
      </c>
      <c r="R8" s="44">
        <f>平成7年度!H8/平成7年度!P8</f>
        <v>0.25738357077397317</v>
      </c>
      <c r="S8" s="46">
        <f>平成7年度!L8/平成7年度!H8</f>
        <v>0.13799986512913884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249</v>
      </c>
      <c r="C9" s="44">
        <f>平成7年度!D9+平成7年度!G9</f>
        <v>36285</v>
      </c>
      <c r="D9" s="45">
        <f>平成7年度!E9+平成7年度!F9</f>
        <v>31305</v>
      </c>
      <c r="E9" s="45">
        <v>29824</v>
      </c>
      <c r="F9" s="46">
        <v>1481</v>
      </c>
      <c r="G9" s="47">
        <v>4980</v>
      </c>
      <c r="H9" s="48">
        <f>平成7年度!I9+平成7年度!L9</f>
        <v>74188</v>
      </c>
      <c r="I9" s="45">
        <f>平成7年度!J9+平成7年度!K9</f>
        <v>63946</v>
      </c>
      <c r="J9" s="46">
        <v>48726</v>
      </c>
      <c r="K9" s="49">
        <v>15220</v>
      </c>
      <c r="L9" s="45">
        <f>平成7年度!M9+平成7年度!N9</f>
        <v>10242</v>
      </c>
      <c r="M9" s="46">
        <v>7377</v>
      </c>
      <c r="N9" s="47">
        <v>2865</v>
      </c>
      <c r="O9" s="44">
        <v>99124</v>
      </c>
      <c r="P9" s="45">
        <v>288210</v>
      </c>
      <c r="Q9" s="47">
        <f>平成7年度!C9/平成7年度!O9</f>
        <v>0.3660566563092692</v>
      </c>
      <c r="R9" s="44">
        <f>平成7年度!H9/平成7年度!P9</f>
        <v>0.25740952777488635</v>
      </c>
      <c r="S9" s="46">
        <f>平成7年度!L9/平成7年度!H9</f>
        <v>0.13805467191459536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250</v>
      </c>
      <c r="C10" s="54">
        <f>平成7年度!D10+平成7年度!G10</f>
        <v>36372</v>
      </c>
      <c r="D10" s="55">
        <f>平成7年度!E10+平成7年度!F10</f>
        <v>31312</v>
      </c>
      <c r="E10" s="55">
        <v>29827</v>
      </c>
      <c r="F10" s="56">
        <v>1485</v>
      </c>
      <c r="G10" s="57">
        <v>5060</v>
      </c>
      <c r="H10" s="58">
        <f>平成7年度!I10+平成7年度!L10</f>
        <v>74246</v>
      </c>
      <c r="I10" s="55">
        <f>平成7年度!J10+平成7年度!K10</f>
        <v>63886</v>
      </c>
      <c r="J10" s="56">
        <v>48589</v>
      </c>
      <c r="K10" s="59">
        <v>15297</v>
      </c>
      <c r="L10" s="55">
        <f>平成7年度!M10+平成7年度!N10</f>
        <v>10360</v>
      </c>
      <c r="M10" s="56">
        <v>7485</v>
      </c>
      <c r="N10" s="57">
        <v>2875</v>
      </c>
      <c r="O10" s="54">
        <v>99246</v>
      </c>
      <c r="P10" s="55">
        <v>288404</v>
      </c>
      <c r="Q10" s="57">
        <f>平成7年度!C10/平成7年度!O10</f>
        <v>0.36648328396106644</v>
      </c>
      <c r="R10" s="54">
        <f>平成7年度!H10/平成7年度!P10</f>
        <v>0.25743748353004814</v>
      </c>
      <c r="S10" s="56">
        <f>平成7年度!L10/平成7年度!H10</f>
        <v>0.13953613662688899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251</v>
      </c>
      <c r="C11" s="54">
        <f>平成7年度!D11+平成7年度!G11</f>
        <v>36464</v>
      </c>
      <c r="D11" s="55">
        <f>平成7年度!E11+平成7年度!F11</f>
        <v>31401</v>
      </c>
      <c r="E11" s="55">
        <v>29906</v>
      </c>
      <c r="F11" s="56">
        <v>1495</v>
      </c>
      <c r="G11" s="57">
        <v>5063</v>
      </c>
      <c r="H11" s="58">
        <f>平成7年度!I11+平成7年度!L11</f>
        <v>74354</v>
      </c>
      <c r="I11" s="55">
        <f>平成7年度!J11+平成7年度!K11</f>
        <v>63973</v>
      </c>
      <c r="J11" s="56">
        <v>48611</v>
      </c>
      <c r="K11" s="59">
        <v>15362</v>
      </c>
      <c r="L11" s="55">
        <f>平成7年度!M11+平成7年度!N11</f>
        <v>10381</v>
      </c>
      <c r="M11" s="56">
        <v>7504</v>
      </c>
      <c r="N11" s="57">
        <v>2877</v>
      </c>
      <c r="O11" s="54">
        <v>99321</v>
      </c>
      <c r="P11" s="55">
        <v>288396</v>
      </c>
      <c r="Q11" s="57">
        <f>平成7年度!C11/平成7年度!O11</f>
        <v>0.36713283192879653</v>
      </c>
      <c r="R11" s="54">
        <f>平成7年度!H11/平成7年度!P11</f>
        <v>0.25781910983508788</v>
      </c>
      <c r="S11" s="56">
        <f>平成7年度!L11/平成7年度!H11</f>
        <v>0.13961589154584825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252</v>
      </c>
      <c r="C12" s="54">
        <f>平成7年度!D12+平成7年度!G12</f>
        <v>36521</v>
      </c>
      <c r="D12" s="55">
        <f>平成7年度!E12+平成7年度!F12</f>
        <v>31453</v>
      </c>
      <c r="E12" s="55">
        <v>29954</v>
      </c>
      <c r="F12" s="56">
        <v>1499</v>
      </c>
      <c r="G12" s="57">
        <v>5068</v>
      </c>
      <c r="H12" s="58">
        <f>平成7年度!I12+平成7年度!L12</f>
        <v>74408</v>
      </c>
      <c r="I12" s="55">
        <f>平成7年度!J12+平成7年度!K12</f>
        <v>64014</v>
      </c>
      <c r="J12" s="56">
        <v>48594</v>
      </c>
      <c r="K12" s="59">
        <v>15420</v>
      </c>
      <c r="L12" s="55">
        <f>平成7年度!M12+平成7年度!N12</f>
        <v>10394</v>
      </c>
      <c r="M12" s="56">
        <v>7508</v>
      </c>
      <c r="N12" s="57">
        <v>2886</v>
      </c>
      <c r="O12" s="54">
        <v>99389</v>
      </c>
      <c r="P12" s="55">
        <v>288488</v>
      </c>
      <c r="Q12" s="57">
        <f>平成7年度!C12/平成7年度!O12</f>
        <v>0.36745515097244164</v>
      </c>
      <c r="R12" s="54">
        <f>平成7年度!H12/平成7年度!P12</f>
        <v>0.25792407309836113</v>
      </c>
      <c r="S12" s="56">
        <f>平成7年度!L12/平成7年度!H12</f>
        <v>0.13968928072250295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253</v>
      </c>
      <c r="C13" s="44">
        <f>平成7年度!D13+平成7年度!G13</f>
        <v>36632</v>
      </c>
      <c r="D13" s="45">
        <f>平成7年度!E13+平成7年度!F13</f>
        <v>31628</v>
      </c>
      <c r="E13" s="45">
        <v>30131</v>
      </c>
      <c r="F13" s="46">
        <v>1497</v>
      </c>
      <c r="G13" s="47">
        <v>5004</v>
      </c>
      <c r="H13" s="58">
        <f>平成7年度!I13+平成7年度!L13</f>
        <v>74564</v>
      </c>
      <c r="I13" s="45">
        <f>平成7年度!J13+平成7年度!K13</f>
        <v>64289</v>
      </c>
      <c r="J13" s="46">
        <v>48767</v>
      </c>
      <c r="K13" s="49">
        <v>15522</v>
      </c>
      <c r="L13" s="45">
        <f>平成7年度!M13+平成7年度!N13</f>
        <v>10275</v>
      </c>
      <c r="M13" s="46">
        <v>7429</v>
      </c>
      <c r="N13" s="47">
        <v>2846</v>
      </c>
      <c r="O13" s="44">
        <v>99524</v>
      </c>
      <c r="P13" s="45">
        <v>288654</v>
      </c>
      <c r="Q13" s="47">
        <f>平成7年度!C13/平成7年度!O13</f>
        <v>0.36807202282866447</v>
      </c>
      <c r="R13" s="44">
        <f>平成7年度!H13/平成7年度!P13</f>
        <v>0.25831618477485158</v>
      </c>
      <c r="S13" s="46">
        <f>平成7年度!L13/平成7年度!H13</f>
        <v>0.13780108363285232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254</v>
      </c>
      <c r="C14" s="44">
        <f>平成7年度!D14+平成7年度!G14</f>
        <v>36760</v>
      </c>
      <c r="D14" s="45">
        <f>平成7年度!E14+平成7年度!F14</f>
        <v>31709</v>
      </c>
      <c r="E14" s="45">
        <f>36760-1508-5051</f>
        <v>30201</v>
      </c>
      <c r="F14" s="46">
        <v>1508</v>
      </c>
      <c r="G14" s="47">
        <v>5051</v>
      </c>
      <c r="H14" s="48">
        <f>平成7年度!I14+平成7年度!L14</f>
        <v>74776</v>
      </c>
      <c r="I14" s="45">
        <f>平成7年度!J14+平成7年度!K14</f>
        <v>64404</v>
      </c>
      <c r="J14" s="46">
        <v>48758</v>
      </c>
      <c r="K14" s="49">
        <v>15646</v>
      </c>
      <c r="L14" s="45">
        <f>平成7年度!M14+平成7年度!N14</f>
        <v>10372</v>
      </c>
      <c r="M14" s="46">
        <v>7494</v>
      </c>
      <c r="N14" s="47">
        <v>2878</v>
      </c>
      <c r="O14" s="44">
        <v>99734</v>
      </c>
      <c r="P14" s="45">
        <v>288930</v>
      </c>
      <c r="Q14" s="47">
        <f>平成7年度!C14/平成7年度!O14</f>
        <v>0.36858042392764756</v>
      </c>
      <c r="R14" s="44">
        <f>平成7年度!H14/平成7年度!P14</f>
        <v>0.2588031703180701</v>
      </c>
      <c r="S14" s="46">
        <f>平成7年度!L14/平成7年度!H14</f>
        <v>0.13870760671873328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255</v>
      </c>
      <c r="C15" s="54">
        <f>平成7年度!D15+平成7年度!G15</f>
        <v>36855</v>
      </c>
      <c r="D15" s="55">
        <f>平成7年度!E15+平成7年度!F15</f>
        <v>31783</v>
      </c>
      <c r="E15" s="55">
        <v>30281</v>
      </c>
      <c r="F15" s="56">
        <v>1502</v>
      </c>
      <c r="G15" s="57">
        <v>5072</v>
      </c>
      <c r="H15" s="58">
        <f>平成7年度!I15+平成7年度!L15</f>
        <v>74866</v>
      </c>
      <c r="I15" s="55">
        <f>平成7年度!J15+平成7年度!K15</f>
        <v>64478</v>
      </c>
      <c r="J15" s="56">
        <v>48709</v>
      </c>
      <c r="K15" s="59">
        <v>15769</v>
      </c>
      <c r="L15" s="55">
        <f>平成7年度!M15+平成7年度!N15</f>
        <v>10388</v>
      </c>
      <c r="M15" s="56">
        <v>7514</v>
      </c>
      <c r="N15" s="57">
        <v>2874</v>
      </c>
      <c r="O15" s="54">
        <v>99868</v>
      </c>
      <c r="P15" s="55">
        <v>289049</v>
      </c>
      <c r="Q15" s="57">
        <f>平成7年度!C15/平成7年度!O15</f>
        <v>0.36903712901029356</v>
      </c>
      <c r="R15" s="54">
        <f>平成7年度!H15/平成7年度!P15</f>
        <v>0.25900798826496546</v>
      </c>
      <c r="S15" s="56">
        <f>平成7年度!L15/平成7年度!H15</f>
        <v>0.13875457484038148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256</v>
      </c>
      <c r="C16" s="44">
        <f>平成7年度!D16+平成7年度!G16</f>
        <v>36866</v>
      </c>
      <c r="D16" s="45">
        <f>平成7年度!E16+平成7年度!F16</f>
        <v>31784</v>
      </c>
      <c r="E16" s="45">
        <v>30281</v>
      </c>
      <c r="F16" s="46">
        <v>1503</v>
      </c>
      <c r="G16" s="47">
        <v>5082</v>
      </c>
      <c r="H16" s="48">
        <f>平成7年度!I16+平成7年度!L16</f>
        <v>74936</v>
      </c>
      <c r="I16" s="45">
        <f>平成7年度!J16+平成7年度!K16</f>
        <v>64525</v>
      </c>
      <c r="J16" s="46">
        <v>48671</v>
      </c>
      <c r="K16" s="49">
        <v>15854</v>
      </c>
      <c r="L16" s="45">
        <f>平成7年度!M16+平成7年度!N16</f>
        <v>10411</v>
      </c>
      <c r="M16" s="46">
        <v>7529</v>
      </c>
      <c r="N16" s="47">
        <v>2882</v>
      </c>
      <c r="O16" s="44">
        <v>99845</v>
      </c>
      <c r="P16" s="45">
        <v>289021</v>
      </c>
      <c r="Q16" s="47">
        <f>平成7年度!C16/平成7年度!O16</f>
        <v>0.36923231008062496</v>
      </c>
      <c r="R16" s="44">
        <f>平成7年度!H16/平成7年度!P16</f>
        <v>0.25927527757498592</v>
      </c>
      <c r="S16" s="46">
        <f>平成7年度!L16/平成7年度!H16</f>
        <v>0.13893188854489164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257</v>
      </c>
      <c r="C17" s="44">
        <f>平成7年度!D17+平成7年度!G17</f>
        <v>36975</v>
      </c>
      <c r="D17" s="45">
        <f>平成7年度!E17+平成7年度!F17</f>
        <v>31879</v>
      </c>
      <c r="E17" s="45">
        <v>30377</v>
      </c>
      <c r="F17" s="46">
        <v>1502</v>
      </c>
      <c r="G17" s="47">
        <v>5096</v>
      </c>
      <c r="H17" s="58">
        <f>平成7年度!I17+平成7年度!L17</f>
        <v>75171</v>
      </c>
      <c r="I17" s="45">
        <f>平成7年度!J17+平成7年度!K17</f>
        <v>64732</v>
      </c>
      <c r="J17" s="46">
        <v>48802</v>
      </c>
      <c r="K17" s="49">
        <v>15930</v>
      </c>
      <c r="L17" s="45">
        <f>平成7年度!M17+平成7年度!N17</f>
        <v>10439</v>
      </c>
      <c r="M17" s="46">
        <v>7549</v>
      </c>
      <c r="N17" s="47">
        <v>2890</v>
      </c>
      <c r="O17" s="44">
        <v>99944</v>
      </c>
      <c r="P17" s="45">
        <v>289143</v>
      </c>
      <c r="Q17" s="47">
        <f>平成7年度!C17/平成7年度!O17</f>
        <v>0.36995717601857042</v>
      </c>
      <c r="R17" s="44">
        <f>平成7年度!H17/平成7年度!P17</f>
        <v>0.25997862649277348</v>
      </c>
      <c r="S17" s="46">
        <f>平成7年度!L17/平成7年度!H17</f>
        <v>0.13887004296869804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258</v>
      </c>
      <c r="C18" s="54">
        <f>平成7年度!D18+平成7年度!G18</f>
        <v>36998</v>
      </c>
      <c r="D18" s="55">
        <f>平成7年度!E18+平成7年度!F18</f>
        <v>31948</v>
      </c>
      <c r="E18" s="55">
        <v>30445</v>
      </c>
      <c r="F18" s="56">
        <v>1503</v>
      </c>
      <c r="G18" s="57">
        <v>5050</v>
      </c>
      <c r="H18" s="58">
        <f>平成7年度!I18+平成7年度!L18</f>
        <v>75200</v>
      </c>
      <c r="I18" s="55">
        <f>平成7年度!J18+平成7年度!K18</f>
        <v>64844</v>
      </c>
      <c r="J18" s="56">
        <v>48796</v>
      </c>
      <c r="K18" s="59">
        <v>16048</v>
      </c>
      <c r="L18" s="55">
        <f>平成7年度!M18+平成7年度!N18</f>
        <v>10356</v>
      </c>
      <c r="M18" s="56">
        <v>7491</v>
      </c>
      <c r="N18" s="57">
        <v>2865</v>
      </c>
      <c r="O18" s="54">
        <v>100002</v>
      </c>
      <c r="P18" s="55">
        <v>289267</v>
      </c>
      <c r="Q18" s="57">
        <f>平成7年度!C18/平成7年度!O18</f>
        <v>0.36997260054798903</v>
      </c>
      <c r="R18" s="54">
        <f>平成7年度!H18/平成7年度!P18</f>
        <v>0.25996743493035845</v>
      </c>
      <c r="S18" s="56">
        <f>平成7年度!L18/平成7年度!H18</f>
        <v>0.1377127659574468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259</v>
      </c>
      <c r="C19" s="54">
        <f>平成7年度!D19+平成7年度!G19</f>
        <v>37108</v>
      </c>
      <c r="D19" s="55">
        <f>平成7年度!E19+平成7年度!F19</f>
        <v>32125</v>
      </c>
      <c r="E19" s="55">
        <v>30623</v>
      </c>
      <c r="F19" s="56">
        <v>1502</v>
      </c>
      <c r="G19" s="57">
        <v>4983</v>
      </c>
      <c r="H19" s="58">
        <f>平成7年度!I19+平成7年度!L19</f>
        <v>75303</v>
      </c>
      <c r="I19" s="55">
        <f>平成7年度!J19+平成7年度!K19</f>
        <v>65084</v>
      </c>
      <c r="J19" s="56">
        <v>48926</v>
      </c>
      <c r="K19" s="59">
        <v>16158</v>
      </c>
      <c r="L19" s="55">
        <f>平成7年度!M19+平成7年度!N19</f>
        <v>10219</v>
      </c>
      <c r="M19" s="56">
        <v>7404</v>
      </c>
      <c r="N19" s="57">
        <v>2815</v>
      </c>
      <c r="O19" s="54">
        <v>99950</v>
      </c>
      <c r="P19" s="55">
        <v>288713</v>
      </c>
      <c r="Q19" s="57">
        <f>平成7年度!C19/平成7年度!O19</f>
        <v>0.37126563281640823</v>
      </c>
      <c r="R19" s="54">
        <f>平成7年度!H19/平成7年度!P19</f>
        <v>0.26082303186901873</v>
      </c>
      <c r="S19" s="56">
        <f>平成7年度!L19/平成7年度!H19</f>
        <v>0.13570508479077859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260</v>
      </c>
      <c r="C20" s="48">
        <f>SUM(平成7年度!C8:C19)</f>
        <v>440019</v>
      </c>
      <c r="D20" s="45">
        <f>SUM(平成7年度!D8:D19)</f>
        <v>379530</v>
      </c>
      <c r="E20" s="79">
        <f>SUM(平成7年度!E8:E19)</f>
        <v>361572</v>
      </c>
      <c r="F20" s="79">
        <f>SUM(平成7年度!F8:F19)</f>
        <v>17958</v>
      </c>
      <c r="G20" s="80">
        <f>SUM(平成7年度!G8:G19)</f>
        <v>60489</v>
      </c>
      <c r="H20" s="48">
        <f>SUM(平成7年度!H8:H19)</f>
        <v>896157</v>
      </c>
      <c r="I20" s="45">
        <f>SUM(平成7年度!I8:I19)</f>
        <v>772088</v>
      </c>
      <c r="J20" s="79">
        <f>SUM(平成7年度!J8:J19)</f>
        <v>584726</v>
      </c>
      <c r="K20" s="79">
        <f>SUM(平成7年度!K8:K19)</f>
        <v>187362</v>
      </c>
      <c r="L20" s="79">
        <f>SUM(平成7年度!L8:L19)</f>
        <v>124069</v>
      </c>
      <c r="M20" s="79">
        <f>SUM(平成7年度!M8:M19)</f>
        <v>89658</v>
      </c>
      <c r="N20" s="80">
        <f>SUM(平成7年度!N8:N19)</f>
        <v>34411</v>
      </c>
      <c r="O20" s="48">
        <f>SUM(平成7年度!O8:O19)</f>
        <v>1194916</v>
      </c>
      <c r="P20" s="45">
        <f>SUM(平成7年度!P8:P19)</f>
        <v>3464347</v>
      </c>
      <c r="Q20" s="80">
        <f>平成7年度!C20/平成7年度!O20</f>
        <v>0.36824262123864776</v>
      </c>
      <c r="R20" s="48">
        <f>平成7年度!H20/平成7年度!P20</f>
        <v>0.25867991861092438</v>
      </c>
      <c r="S20" s="45">
        <f>平成7年度!L20/平成7年度!H20</f>
        <v>0.1384456071871335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261</v>
      </c>
      <c r="C21" s="48">
        <f>平成7年度!C20/12</f>
        <v>36668.25</v>
      </c>
      <c r="D21" s="45">
        <f>平成7年度!D20/12</f>
        <v>31627.5</v>
      </c>
      <c r="E21" s="79">
        <f>平成7年度!E20/12</f>
        <v>30131</v>
      </c>
      <c r="F21" s="79">
        <f>平成7年度!F20/12</f>
        <v>1496.5</v>
      </c>
      <c r="G21" s="80">
        <f>平成7年度!G20/12</f>
        <v>5040.75</v>
      </c>
      <c r="H21" s="48">
        <f>平成7年度!H20/12</f>
        <v>74679.75</v>
      </c>
      <c r="I21" s="45">
        <f>平成7年度!I20/12</f>
        <v>64340.666666666664</v>
      </c>
      <c r="J21" s="79">
        <f>平成7年度!J20/12</f>
        <v>48727.166666666664</v>
      </c>
      <c r="K21" s="79">
        <f>平成7年度!K20/12</f>
        <v>15613.5</v>
      </c>
      <c r="L21" s="79">
        <f>平成7年度!L20/12</f>
        <v>10339.083333333334</v>
      </c>
      <c r="M21" s="79">
        <f>平成7年度!M20/12</f>
        <v>7471.5</v>
      </c>
      <c r="N21" s="80">
        <f>平成7年度!N20/12</f>
        <v>2867.5833333333335</v>
      </c>
      <c r="O21" s="48">
        <f>平成7年度!O20/12</f>
        <v>99576.333333333328</v>
      </c>
      <c r="P21" s="45">
        <f>平成7年度!P20/12</f>
        <v>288695.58333333331</v>
      </c>
      <c r="Q21" s="80">
        <f>平成7年度!C21/平成7年度!O21</f>
        <v>0.36824262123864776</v>
      </c>
      <c r="R21" s="48">
        <f>平成7年度!H21/平成7年度!P21</f>
        <v>0.25867991861092438</v>
      </c>
      <c r="S21" s="45">
        <f>平成7年度!L21/平成7年度!H21</f>
        <v>0.1384456071871335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262</v>
      </c>
      <c r="C23" s="48">
        <f>平成7年度!C8</f>
        <v>36183</v>
      </c>
      <c r="D23" s="45">
        <f>平成7年度!D8</f>
        <v>31203</v>
      </c>
      <c r="E23" s="79">
        <f>平成7年度!E8</f>
        <v>29722</v>
      </c>
      <c r="F23" s="79">
        <f>平成7年度!F8</f>
        <v>1481</v>
      </c>
      <c r="G23" s="80">
        <f>平成7年度!G8</f>
        <v>4980</v>
      </c>
      <c r="H23" s="48">
        <f>平成7年度!H8</f>
        <v>74145</v>
      </c>
      <c r="I23" s="45">
        <f>平成7年度!I8</f>
        <v>63913</v>
      </c>
      <c r="J23" s="79">
        <f>平成7年度!J8</f>
        <v>48777</v>
      </c>
      <c r="K23" s="79">
        <f>平成7年度!K8</f>
        <v>15136</v>
      </c>
      <c r="L23" s="79">
        <f>平成7年度!L8</f>
        <v>10232</v>
      </c>
      <c r="M23" s="79">
        <f>平成7年度!M8</f>
        <v>7374</v>
      </c>
      <c r="N23" s="80">
        <f>平成7年度!N8</f>
        <v>2858</v>
      </c>
      <c r="O23" s="48">
        <f>平成7年度!O8</f>
        <v>98969</v>
      </c>
      <c r="P23" s="45">
        <f>平成7年度!P8</f>
        <v>288072</v>
      </c>
      <c r="Q23" s="80">
        <f>平成7年度!C23/平成7年度!O23</f>
        <v>0.36559932908284415</v>
      </c>
      <c r="R23" s="48">
        <f>平成7年度!H23/平成7年度!P23</f>
        <v>0.25738357077397317</v>
      </c>
      <c r="S23" s="45">
        <f>平成7年度!L23/平成7年度!H23</f>
        <v>0.13799986512913884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263</v>
      </c>
      <c r="C24" s="58">
        <f>SUM(平成7年度!C8:C9)</f>
        <v>72468</v>
      </c>
      <c r="D24" s="55">
        <f>SUM(平成7年度!D8:D9)</f>
        <v>62508</v>
      </c>
      <c r="E24" s="89">
        <f>SUM(平成7年度!E8:E9)</f>
        <v>59546</v>
      </c>
      <c r="F24" s="89">
        <f>SUM(平成7年度!F8:F9)</f>
        <v>2962</v>
      </c>
      <c r="G24" s="90">
        <f>SUM(平成7年度!G8:G9)</f>
        <v>9960</v>
      </c>
      <c r="H24" s="58">
        <f>SUM(平成7年度!H8:H9)</f>
        <v>148333</v>
      </c>
      <c r="I24" s="55">
        <f>SUM(平成7年度!I8:I9)</f>
        <v>127859</v>
      </c>
      <c r="J24" s="89">
        <f>SUM(平成7年度!J8:J9)</f>
        <v>97503</v>
      </c>
      <c r="K24" s="89">
        <f>SUM(平成7年度!K8:K9)</f>
        <v>30356</v>
      </c>
      <c r="L24" s="89">
        <f>SUM(平成7年度!L8:L9)</f>
        <v>20474</v>
      </c>
      <c r="M24" s="89">
        <f>SUM(平成7年度!M8:M9)</f>
        <v>14751</v>
      </c>
      <c r="N24" s="90">
        <f>SUM(平成7年度!N8:N9)</f>
        <v>5723</v>
      </c>
      <c r="O24" s="58">
        <f>SUM(平成7年度!O8:O9)</f>
        <v>198093</v>
      </c>
      <c r="P24" s="55">
        <f>SUM(平成7年度!P8:P9)</f>
        <v>576282</v>
      </c>
      <c r="Q24" s="90">
        <f>平成7年度!C24/平成7年度!O24</f>
        <v>0.365828171616362</v>
      </c>
      <c r="R24" s="58">
        <f>平成7年度!H24/平成7年度!P24</f>
        <v>0.2573965523823406</v>
      </c>
      <c r="S24" s="55">
        <f>平成7年度!L24/平成7年度!H24</f>
        <v>0.1380272764657898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264</v>
      </c>
      <c r="C25" s="58">
        <f>SUM(平成7年度!C8:C10)</f>
        <v>108840</v>
      </c>
      <c r="D25" s="55">
        <f>SUM(平成7年度!D8:D10)</f>
        <v>93820</v>
      </c>
      <c r="E25" s="89">
        <f>SUM(平成7年度!E8:E10)</f>
        <v>89373</v>
      </c>
      <c r="F25" s="89">
        <f>SUM(平成7年度!F8:F10)</f>
        <v>4447</v>
      </c>
      <c r="G25" s="90">
        <f>SUM(平成7年度!G8:G10)</f>
        <v>15020</v>
      </c>
      <c r="H25" s="58">
        <f>SUM(平成7年度!H8:H10)</f>
        <v>222579</v>
      </c>
      <c r="I25" s="55">
        <f>SUM(平成7年度!I8:I10)</f>
        <v>191745</v>
      </c>
      <c r="J25" s="89">
        <f>SUM(平成7年度!J8:J10)</f>
        <v>146092</v>
      </c>
      <c r="K25" s="89">
        <f>SUM(平成7年度!K8:K10)</f>
        <v>45653</v>
      </c>
      <c r="L25" s="89">
        <f>SUM(平成7年度!L8:L10)</f>
        <v>30834</v>
      </c>
      <c r="M25" s="89">
        <f>SUM(平成7年度!M8:M10)</f>
        <v>22236</v>
      </c>
      <c r="N25" s="90">
        <f>SUM(平成7年度!N8:N10)</f>
        <v>8598</v>
      </c>
      <c r="O25" s="58">
        <f>SUM(平成7年度!O8:O10)</f>
        <v>297339</v>
      </c>
      <c r="P25" s="55">
        <f>SUM(平成7年度!P8:P10)</f>
        <v>864686</v>
      </c>
      <c r="Q25" s="90">
        <f>平成7年度!C25/平成7年度!O25</f>
        <v>0.36604683543026645</v>
      </c>
      <c r="R25" s="58">
        <f>平成7年度!H25/平成7年度!P25</f>
        <v>0.25741020439789702</v>
      </c>
      <c r="S25" s="55">
        <f>平成7年度!L25/平成7年度!H25</f>
        <v>0.13853058913913713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265</v>
      </c>
      <c r="C26" s="58">
        <f>SUM(平成7年度!C8:C11)</f>
        <v>145304</v>
      </c>
      <c r="D26" s="55">
        <f>SUM(平成7年度!D8:D11)</f>
        <v>125221</v>
      </c>
      <c r="E26" s="89">
        <f>SUM(平成7年度!E8:E11)</f>
        <v>119279</v>
      </c>
      <c r="F26" s="89">
        <f>SUM(平成7年度!F8:F11)</f>
        <v>5942</v>
      </c>
      <c r="G26" s="90">
        <f>SUM(平成7年度!G8:G11)</f>
        <v>20083</v>
      </c>
      <c r="H26" s="58">
        <f>SUM(平成7年度!H8:H11)</f>
        <v>296933</v>
      </c>
      <c r="I26" s="55">
        <f>SUM(平成7年度!I8:I11)</f>
        <v>255718</v>
      </c>
      <c r="J26" s="89">
        <f>SUM(平成7年度!J8:J11)</f>
        <v>194703</v>
      </c>
      <c r="K26" s="89">
        <f>SUM(平成7年度!K8:K11)</f>
        <v>61015</v>
      </c>
      <c r="L26" s="89">
        <f>SUM(平成7年度!L8:L11)</f>
        <v>41215</v>
      </c>
      <c r="M26" s="89">
        <f>SUM(平成7年度!M8:M11)</f>
        <v>29740</v>
      </c>
      <c r="N26" s="90">
        <f>SUM(平成7年度!N8:N11)</f>
        <v>11475</v>
      </c>
      <c r="O26" s="58">
        <f>SUM(平成7年度!O8:O11)</f>
        <v>396660</v>
      </c>
      <c r="P26" s="55">
        <f>SUM(平成7年度!P8:P11)</f>
        <v>1153082</v>
      </c>
      <c r="Q26" s="90">
        <f>平成7年度!C26/平成7年度!O26</f>
        <v>0.36631876165985983</v>
      </c>
      <c r="R26" s="58">
        <f>平成7年度!H26/平成7年度!P26</f>
        <v>0.25751247526195015</v>
      </c>
      <c r="S26" s="55">
        <f>平成7年度!L26/平成7年度!H26</f>
        <v>0.1388023560870634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266</v>
      </c>
      <c r="C27" s="58">
        <f>SUM(平成7年度!C8:C12)</f>
        <v>181825</v>
      </c>
      <c r="D27" s="55">
        <f>SUM(平成7年度!D8:D12)</f>
        <v>156674</v>
      </c>
      <c r="E27" s="89">
        <f>SUM(平成7年度!E8:E12)</f>
        <v>149233</v>
      </c>
      <c r="F27" s="89">
        <f>SUM(平成7年度!F8:F12)</f>
        <v>7441</v>
      </c>
      <c r="G27" s="90">
        <f>SUM(平成7年度!G8:G12)</f>
        <v>25151</v>
      </c>
      <c r="H27" s="58">
        <f>SUM(平成7年度!H8:H12)</f>
        <v>371341</v>
      </c>
      <c r="I27" s="55">
        <f>SUM(平成7年度!I8:I12)</f>
        <v>319732</v>
      </c>
      <c r="J27" s="89">
        <f>SUM(平成7年度!J8:J12)</f>
        <v>243297</v>
      </c>
      <c r="K27" s="89">
        <f>SUM(平成7年度!K8:K12)</f>
        <v>76435</v>
      </c>
      <c r="L27" s="89">
        <f>SUM(平成7年度!L8:L12)</f>
        <v>51609</v>
      </c>
      <c r="M27" s="89">
        <f>SUM(平成7年度!M8:M12)</f>
        <v>37248</v>
      </c>
      <c r="N27" s="90">
        <f>SUM(平成7年度!N8:N12)</f>
        <v>14361</v>
      </c>
      <c r="O27" s="58">
        <f>SUM(平成7年度!O8:O12)</f>
        <v>496049</v>
      </c>
      <c r="P27" s="55">
        <f>SUM(平成7年度!P8:P12)</f>
        <v>1441570</v>
      </c>
      <c r="Q27" s="90">
        <f>平成7年度!C27/平成7年度!O27</f>
        <v>0.36654645004828151</v>
      </c>
      <c r="R27" s="58">
        <f>平成7年度!H27/平成7年度!P27</f>
        <v>0.2575948445098053</v>
      </c>
      <c r="S27" s="55">
        <f>平成7年度!L27/平成7年度!H27</f>
        <v>0.13898007491766329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267</v>
      </c>
      <c r="C28" s="58">
        <f>SUM(平成7年度!C8:C13)</f>
        <v>218457</v>
      </c>
      <c r="D28" s="55">
        <f>SUM(平成7年度!D8:D13)</f>
        <v>188302</v>
      </c>
      <c r="E28" s="89">
        <f>SUM(平成7年度!E8:E13)</f>
        <v>179364</v>
      </c>
      <c r="F28" s="89">
        <f>SUM(平成7年度!F8:F13)</f>
        <v>8938</v>
      </c>
      <c r="G28" s="90">
        <f>SUM(平成7年度!G8:G13)</f>
        <v>30155</v>
      </c>
      <c r="H28" s="58">
        <f>SUM(平成7年度!H8:H13)</f>
        <v>445905</v>
      </c>
      <c r="I28" s="55">
        <f>SUM(平成7年度!I8:I13)</f>
        <v>384021</v>
      </c>
      <c r="J28" s="89">
        <f>SUM(平成7年度!J8:J13)</f>
        <v>292064</v>
      </c>
      <c r="K28" s="89">
        <f>SUM(平成7年度!K8:K13)</f>
        <v>91957</v>
      </c>
      <c r="L28" s="89">
        <f>SUM(平成7年度!L8:L13)</f>
        <v>61884</v>
      </c>
      <c r="M28" s="89">
        <f>SUM(平成7年度!M8:M13)</f>
        <v>44677</v>
      </c>
      <c r="N28" s="90">
        <f>SUM(平成7年度!N8:N13)</f>
        <v>17207</v>
      </c>
      <c r="O28" s="58">
        <f>SUM(平成7年度!O8:O13)</f>
        <v>595573</v>
      </c>
      <c r="P28" s="55">
        <f>SUM(平成7年度!P8:P13)</f>
        <v>1730224</v>
      </c>
      <c r="Q28" s="90">
        <f>平成7年度!C28/平成7年度!O28</f>
        <v>0.36680138286994207</v>
      </c>
      <c r="R28" s="58">
        <f>平成7年度!H28/平成7年度!P28</f>
        <v>0.25771518601059745</v>
      </c>
      <c r="S28" s="55">
        <f>平成7年度!L28/平成7年度!H28</f>
        <v>0.13878292461398728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268</v>
      </c>
      <c r="C29" s="58">
        <f>SUM(平成7年度!C8:C14)</f>
        <v>255217</v>
      </c>
      <c r="D29" s="55">
        <f>SUM(平成7年度!D8:D14)</f>
        <v>220011</v>
      </c>
      <c r="E29" s="89">
        <f>SUM(平成7年度!E8:E14)</f>
        <v>209565</v>
      </c>
      <c r="F29" s="89">
        <f>SUM(平成7年度!F8:F14)</f>
        <v>10446</v>
      </c>
      <c r="G29" s="90">
        <f>SUM(平成7年度!G8:G14)</f>
        <v>35206</v>
      </c>
      <c r="H29" s="58">
        <f>SUM(平成7年度!H8:H14)</f>
        <v>520681</v>
      </c>
      <c r="I29" s="55">
        <f>SUM(平成7年度!I8:I14)</f>
        <v>448425</v>
      </c>
      <c r="J29" s="89">
        <f>SUM(平成7年度!J8:J14)</f>
        <v>340822</v>
      </c>
      <c r="K29" s="89">
        <f>SUM(平成7年度!K8:K14)</f>
        <v>107603</v>
      </c>
      <c r="L29" s="89">
        <f>SUM(平成7年度!L8:L14)</f>
        <v>72256</v>
      </c>
      <c r="M29" s="89">
        <f>SUM(平成7年度!M8:M14)</f>
        <v>52171</v>
      </c>
      <c r="N29" s="90">
        <f>SUM(平成7年度!N8:N14)</f>
        <v>20085</v>
      </c>
      <c r="O29" s="58">
        <f>SUM(平成7年度!O8:O14)</f>
        <v>695307</v>
      </c>
      <c r="P29" s="55">
        <f>SUM(平成7年度!P8:P14)</f>
        <v>2019154</v>
      </c>
      <c r="Q29" s="90">
        <f>平成7年度!C29/平成7年度!O29</f>
        <v>0.3670565663800307</v>
      </c>
      <c r="R29" s="58">
        <f>平成7年度!H29/平成7年度!P29</f>
        <v>0.25787087067157827</v>
      </c>
      <c r="S29" s="55">
        <f>平成7年度!L29/平成7年度!H29</f>
        <v>0.13877210806616719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269</v>
      </c>
      <c r="C30" s="58">
        <f>SUM(平成7年度!C8:C15)</f>
        <v>292072</v>
      </c>
      <c r="D30" s="55">
        <f>SUM(平成7年度!D8:D15)</f>
        <v>251794</v>
      </c>
      <c r="E30" s="89">
        <f>SUM(平成7年度!E8:E15)</f>
        <v>239846</v>
      </c>
      <c r="F30" s="89">
        <f>SUM(平成7年度!F8:F15)</f>
        <v>11948</v>
      </c>
      <c r="G30" s="90">
        <f>SUM(平成7年度!G8:G15)</f>
        <v>40278</v>
      </c>
      <c r="H30" s="58">
        <f>SUM(平成7年度!H8:H15)</f>
        <v>595547</v>
      </c>
      <c r="I30" s="55">
        <f>SUM(平成7年度!I8:I15)</f>
        <v>512903</v>
      </c>
      <c r="J30" s="89">
        <f>SUM(平成7年度!J8:J15)</f>
        <v>389531</v>
      </c>
      <c r="K30" s="89">
        <f>SUM(平成7年度!K8:K15)</f>
        <v>123372</v>
      </c>
      <c r="L30" s="89">
        <f>SUM(平成7年度!L8:L15)</f>
        <v>82644</v>
      </c>
      <c r="M30" s="89">
        <f>SUM(平成7年度!M8:M15)</f>
        <v>59685</v>
      </c>
      <c r="N30" s="90">
        <f>SUM(平成7年度!N8:N15)</f>
        <v>22959</v>
      </c>
      <c r="O30" s="58">
        <f>SUM(平成7年度!O8:O15)</f>
        <v>795175</v>
      </c>
      <c r="P30" s="55">
        <f>SUM(平成7年度!P8:P15)</f>
        <v>2308203</v>
      </c>
      <c r="Q30" s="90">
        <f>平成7年度!C30/平成7年度!O30</f>
        <v>0.36730531015185336</v>
      </c>
      <c r="R30" s="58">
        <f>平成7年度!H30/平成7年度!P30</f>
        <v>0.25801326833038513</v>
      </c>
      <c r="S30" s="55">
        <f>平成7年度!L30/平成7年度!H30</f>
        <v>0.13876990397063541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270</v>
      </c>
      <c r="C31" s="58">
        <f>SUM(平成7年度!C8:C16)</f>
        <v>328938</v>
      </c>
      <c r="D31" s="55">
        <f>SUM(平成7年度!D8:D16)</f>
        <v>283578</v>
      </c>
      <c r="E31" s="89">
        <f>SUM(平成7年度!E8:E16)</f>
        <v>270127</v>
      </c>
      <c r="F31" s="89">
        <f>SUM(平成7年度!F8:F16)</f>
        <v>13451</v>
      </c>
      <c r="G31" s="90">
        <f>SUM(平成7年度!G8:G16)</f>
        <v>45360</v>
      </c>
      <c r="H31" s="58">
        <f>SUM(平成7年度!H8:H16)</f>
        <v>670483</v>
      </c>
      <c r="I31" s="55">
        <f>SUM(平成7年度!I8:I16)</f>
        <v>577428</v>
      </c>
      <c r="J31" s="89">
        <f>SUM(平成7年度!J8:J16)</f>
        <v>438202</v>
      </c>
      <c r="K31" s="89">
        <f>SUM(平成7年度!K8:K16)</f>
        <v>139226</v>
      </c>
      <c r="L31" s="89">
        <f>SUM(平成7年度!L8:L16)</f>
        <v>93055</v>
      </c>
      <c r="M31" s="89">
        <f>SUM(平成7年度!M8:M16)</f>
        <v>67214</v>
      </c>
      <c r="N31" s="90">
        <f>SUM(平成7年度!N8:N16)</f>
        <v>25841</v>
      </c>
      <c r="O31" s="58">
        <f>SUM(平成7年度!O8:O16)</f>
        <v>895020</v>
      </c>
      <c r="P31" s="55">
        <f>SUM(平成7年度!P8:P16)</f>
        <v>2597224</v>
      </c>
      <c r="Q31" s="90">
        <f>平成7年度!C31/平成7年度!O31</f>
        <v>0.36752027887644967</v>
      </c>
      <c r="R31" s="58">
        <f>平成7年度!H31/平成7年度!P31</f>
        <v>0.25815370564880041</v>
      </c>
      <c r="S31" s="55">
        <f>平成7年度!L31/平成7年度!H31</f>
        <v>0.13878800804792962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271</v>
      </c>
      <c r="C32" s="58">
        <f>SUM(平成7年度!C8:C17)</f>
        <v>365913</v>
      </c>
      <c r="D32" s="55">
        <f>SUM(平成7年度!D8:D17)</f>
        <v>315457</v>
      </c>
      <c r="E32" s="89">
        <f>SUM(平成7年度!E8:E17)</f>
        <v>300504</v>
      </c>
      <c r="F32" s="89">
        <f>SUM(平成7年度!F8:F17)</f>
        <v>14953</v>
      </c>
      <c r="G32" s="90">
        <f>SUM(平成7年度!G8:G17)</f>
        <v>50456</v>
      </c>
      <c r="H32" s="58">
        <f>SUM(平成7年度!H8:H17)</f>
        <v>745654</v>
      </c>
      <c r="I32" s="55">
        <f>SUM(平成7年度!I8:I17)</f>
        <v>642160</v>
      </c>
      <c r="J32" s="89">
        <f>SUM(平成7年度!J8:J17)</f>
        <v>487004</v>
      </c>
      <c r="K32" s="89">
        <f>SUM(平成7年度!K8:K17)</f>
        <v>155156</v>
      </c>
      <c r="L32" s="89">
        <f>SUM(平成7年度!L8:L17)</f>
        <v>103494</v>
      </c>
      <c r="M32" s="89">
        <f>SUM(平成7年度!M8:M17)</f>
        <v>74763</v>
      </c>
      <c r="N32" s="90">
        <f>SUM(平成7年度!N8:N17)</f>
        <v>28731</v>
      </c>
      <c r="O32" s="58">
        <f>SUM(平成7年度!O8:O17)</f>
        <v>994964</v>
      </c>
      <c r="P32" s="55">
        <f>SUM(平成7年度!P8:P17)</f>
        <v>2886367</v>
      </c>
      <c r="Q32" s="90">
        <f>平成7年度!C32/平成7年度!O32</f>
        <v>0.36776506486666855</v>
      </c>
      <c r="R32" s="58">
        <f>平成7年度!H32/平成7年度!P32</f>
        <v>0.25833651784405792</v>
      </c>
      <c r="S32" s="55">
        <f>平成7年度!L32/平成7年度!H32</f>
        <v>0.1387962781665491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272</v>
      </c>
      <c r="C33" s="58">
        <f>SUM(平成7年度!C8:C18)</f>
        <v>402911</v>
      </c>
      <c r="D33" s="55">
        <f>SUM(平成7年度!D8:D18)</f>
        <v>347405</v>
      </c>
      <c r="E33" s="89">
        <f>SUM(平成7年度!E8:E18)</f>
        <v>330949</v>
      </c>
      <c r="F33" s="89">
        <f>SUM(平成7年度!F8:F18)</f>
        <v>16456</v>
      </c>
      <c r="G33" s="90">
        <f>SUM(平成7年度!G8:G18)</f>
        <v>55506</v>
      </c>
      <c r="H33" s="58">
        <f>SUM(平成7年度!H8:H18)</f>
        <v>820854</v>
      </c>
      <c r="I33" s="55">
        <f>SUM(平成7年度!I8:I18)</f>
        <v>707004</v>
      </c>
      <c r="J33" s="89">
        <f>SUM(平成7年度!J8:J18)</f>
        <v>535800</v>
      </c>
      <c r="K33" s="89">
        <f>SUM(平成7年度!K8:K18)</f>
        <v>171204</v>
      </c>
      <c r="L33" s="89">
        <f>SUM(平成7年度!L8:L18)</f>
        <v>113850</v>
      </c>
      <c r="M33" s="89">
        <f>SUM(平成7年度!M8:M18)</f>
        <v>82254</v>
      </c>
      <c r="N33" s="90">
        <f>SUM(平成7年度!N8:N18)</f>
        <v>31596</v>
      </c>
      <c r="O33" s="58">
        <f>SUM(平成7年度!O8:O18)</f>
        <v>1094966</v>
      </c>
      <c r="P33" s="55">
        <f>SUM(平成7年度!P8:P18)</f>
        <v>3175634</v>
      </c>
      <c r="Q33" s="90">
        <f>平成7年度!C33/平成7年度!O33</f>
        <v>0.36796667659087129</v>
      </c>
      <c r="R33" s="58">
        <f>平成7年度!H33/平成7年度!P33</f>
        <v>0.25848507731054648</v>
      </c>
      <c r="S33" s="55">
        <f>平成7年度!L33/平成7年度!H33</f>
        <v>0.13869701554722277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273</v>
      </c>
      <c r="C34" s="58">
        <f>SUM(平成7年度!C8:C19)</f>
        <v>440019</v>
      </c>
      <c r="D34" s="55">
        <f>SUM(平成7年度!D8:D19)</f>
        <v>379530</v>
      </c>
      <c r="E34" s="89">
        <f>SUM(平成7年度!E8:E19)</f>
        <v>361572</v>
      </c>
      <c r="F34" s="89">
        <f>SUM(平成7年度!F8:F19)</f>
        <v>17958</v>
      </c>
      <c r="G34" s="90">
        <f>SUM(平成7年度!G8:G19)</f>
        <v>60489</v>
      </c>
      <c r="H34" s="58">
        <f>SUM(平成7年度!H8:H19)</f>
        <v>896157</v>
      </c>
      <c r="I34" s="55">
        <f>SUM(平成7年度!I8:I19)</f>
        <v>772088</v>
      </c>
      <c r="J34" s="89">
        <f>SUM(平成7年度!J8:J19)</f>
        <v>584726</v>
      </c>
      <c r="K34" s="89">
        <f>SUM(平成7年度!K8:K19)</f>
        <v>187362</v>
      </c>
      <c r="L34" s="89">
        <f>SUM(平成7年度!L8:L19)</f>
        <v>124069</v>
      </c>
      <c r="M34" s="89">
        <f>SUM(平成7年度!M8:M19)</f>
        <v>89658</v>
      </c>
      <c r="N34" s="90">
        <f>SUM(平成7年度!N8:N19)</f>
        <v>34411</v>
      </c>
      <c r="O34" s="58">
        <f>SUM(平成7年度!O8:O19)</f>
        <v>1194916</v>
      </c>
      <c r="P34" s="55">
        <f>SUM(平成7年度!P8:P19)</f>
        <v>3464347</v>
      </c>
      <c r="Q34" s="90">
        <f>平成7年度!C34/平成7年度!O34</f>
        <v>0.36824262123864776</v>
      </c>
      <c r="R34" s="58">
        <f>平成7年度!H34/平成7年度!P34</f>
        <v>0.25867991861092438</v>
      </c>
      <c r="S34" s="55">
        <f>平成7年度!L34/平成7年度!H34</f>
        <v>0.1384456071871335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274</v>
      </c>
      <c r="C35" s="92">
        <f>平成6年度!C19+SUM(平成7年度!C8:C18)</f>
        <v>438940</v>
      </c>
      <c r="D35" s="93">
        <f>平成6年度!D19+SUM(平成7年度!D8:D18)</f>
        <v>378537</v>
      </c>
      <c r="E35" s="94">
        <f>平成6年度!E19+SUM(平成7年度!E8:E18)</f>
        <v>360614</v>
      </c>
      <c r="F35" s="94">
        <f>平成6年度!F19+SUM(平成7年度!F8:F18)</f>
        <v>17923</v>
      </c>
      <c r="G35" s="95">
        <f>平成6年度!G19+SUM(平成7年度!G8:G18)</f>
        <v>60403</v>
      </c>
      <c r="H35" s="92">
        <f>平成6年度!H19+SUM(平成7年度!H8:H18)</f>
        <v>894812</v>
      </c>
      <c r="I35" s="93">
        <f>平成6年度!I19+SUM(平成7年度!I8:I18)</f>
        <v>770914</v>
      </c>
      <c r="J35" s="94">
        <f>平成6年度!J19+SUM(平成7年度!J8:J18)</f>
        <v>584714</v>
      </c>
      <c r="K35" s="94">
        <f>平成6年度!K19+SUM(平成7年度!K8:K18)</f>
        <v>186200</v>
      </c>
      <c r="L35" s="94">
        <f>平成6年度!L19+SUM(平成7年度!L8:L18)</f>
        <v>123898</v>
      </c>
      <c r="M35" s="94">
        <f>平成6年度!M19+SUM(平成7年度!M8:M18)</f>
        <v>89512</v>
      </c>
      <c r="N35" s="95">
        <f>平成6年度!N19+SUM(平成7年度!N8:N18)</f>
        <v>34386</v>
      </c>
      <c r="O35" s="92">
        <f>平成6年度!O19+SUM(平成7年度!O8:O18)</f>
        <v>1193457</v>
      </c>
      <c r="P35" s="93">
        <f>平成6年度!P19+SUM(平成7年度!P8:P18)</f>
        <v>3463214</v>
      </c>
      <c r="Q35" s="95">
        <f>平成7年度!C35/平成7年度!O35</f>
        <v>0.36778870122677232</v>
      </c>
      <c r="R35" s="92">
        <f>平成7年度!H35/平成7年度!P35</f>
        <v>0.25837617889047571</v>
      </c>
      <c r="S35" s="93">
        <f>平成7年度!L35/平成7年度!H35</f>
        <v>0.13846260443534508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平成7年度!K35/12</f>
        <v>15516.666666666666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275</v>
      </c>
      <c r="V36" s="100" t="s">
        <v>276</v>
      </c>
      <c r="W36" s="1" t="s">
        <v>277</v>
      </c>
      <c r="X36" s="3" t="s">
        <v>278</v>
      </c>
      <c r="Y36" s="3"/>
      <c r="Z36" s="3"/>
      <c r="AA36" s="3"/>
      <c r="AB36" s="1"/>
      <c r="AC36" s="1"/>
      <c r="AD36" s="1" t="s">
        <v>279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280</v>
      </c>
      <c r="C37" s="102">
        <f>平成7年度!C2+平成7年度!C31</f>
        <v>436889</v>
      </c>
      <c r="D37" s="103">
        <f>平成7年度!D2+平成7年度!D31</f>
        <v>376652</v>
      </c>
      <c r="E37" s="104">
        <f>平成7年度!E2+平成7年度!E31</f>
        <v>358803</v>
      </c>
      <c r="F37" s="104">
        <f>平成7年度!F2+平成7年度!F31</f>
        <v>17849</v>
      </c>
      <c r="G37" s="105">
        <f>平成7年度!G2+平成7年度!G31</f>
        <v>60237</v>
      </c>
      <c r="H37" s="102">
        <f>平成7年度!H2+平成7年度!H31</f>
        <v>892476</v>
      </c>
      <c r="I37" s="103">
        <f>平成7年度!I2+平成7年度!I31</f>
        <v>768946</v>
      </c>
      <c r="J37" s="104">
        <f>平成7年度!J2+平成7年度!J31</f>
        <v>585034</v>
      </c>
      <c r="K37" s="104">
        <f>平成7年度!K2+平成7年度!K31</f>
        <v>183912</v>
      </c>
      <c r="L37" s="104">
        <f>平成7年度!L2+平成7年度!L31</f>
        <v>123530</v>
      </c>
      <c r="M37" s="104">
        <f>平成7年度!M2+平成7年度!M31</f>
        <v>89232</v>
      </c>
      <c r="N37" s="106" t="e">
        <f>平成7年度!N2+平成7年度!N31</f>
        <v>#VALUE!</v>
      </c>
      <c r="O37" s="106">
        <f>平成7年度!O2+平成7年度!O31</f>
        <v>1190299</v>
      </c>
      <c r="P37" s="106">
        <f>平成7年度!P2+平成7年度!P31</f>
        <v>3460458</v>
      </c>
      <c r="Q37" s="106">
        <f>平成7年度!C37/平成7年度!O37</f>
        <v>0.36704139044055317</v>
      </c>
      <c r="R37" s="106">
        <f>平成7年度!H37/平成7年度!P37</f>
        <v>0.25790690134080518</v>
      </c>
      <c r="S37" s="103">
        <f>平成7年度!L37/平成7年度!H37</f>
        <v>0.13841268560723202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 t="s">
        <v>281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282</v>
      </c>
      <c r="C38" s="110">
        <f>IF(平成7年度!C15=0,平成7年度!C37/10,IF(平成7年度!C16=0,平成7年度!C37/11,IF(平成7年度!C16&gt;0,平成7年度!C37/12,"")))</f>
        <v>36407.416666666664</v>
      </c>
      <c r="D38" s="111">
        <f>IF(平成7年度!D15=0,平成7年度!D37/10,IF(平成7年度!D16=0,平成7年度!D37/11,IF(平成7年度!D16&gt;0,平成7年度!D37/12,"")))</f>
        <v>31387.666666666668</v>
      </c>
      <c r="E38" s="112">
        <f>IF(平成7年度!E15=0,平成7年度!E37/10,IF(平成7年度!E16=0,平成7年度!E37/11,IF(平成7年度!E16&gt;0,平成7年度!E37/12,"")))</f>
        <v>29900.25</v>
      </c>
      <c r="F38" s="112">
        <f>IF(平成7年度!F15=0,平成7年度!F37/10,IF(平成7年度!F16=0,平成7年度!F37/11,IF(平成7年度!F16&gt;0,平成7年度!F37/12,"")))</f>
        <v>1487.4166666666667</v>
      </c>
      <c r="G38" s="113">
        <f>IF(平成7年度!G15=0,平成7年度!G37/10,IF(平成7年度!G16=0,平成7年度!G37/11,IF(平成7年度!G16&gt;0,平成7年度!G37/12,"")))</f>
        <v>5019.75</v>
      </c>
      <c r="H38" s="110">
        <f>IF(平成7年度!H15=0,平成7年度!H37/10,IF(平成7年度!H16=0,平成7年度!H37/11,IF(平成7年度!H16&gt;0,平成7年度!H37/12,"")))</f>
        <v>74373</v>
      </c>
      <c r="I38" s="111">
        <f>IF(平成7年度!I15=0,平成7年度!I37/10,IF(平成7年度!I16=0,平成7年度!I37/11,IF(平成7年度!I16&gt;0,平成7年度!I37/12,"")))</f>
        <v>64078.833333333336</v>
      </c>
      <c r="J38" s="112">
        <f>IF(平成7年度!J15=0,平成7年度!J37/10,IF(平成7年度!J16=0,平成7年度!J37/11,IF(平成7年度!J16&gt;0,平成7年度!J37/12,"")))</f>
        <v>48752.833333333336</v>
      </c>
      <c r="K38" s="112">
        <f>IF(平成7年度!K15=0,平成7年度!K37/10,IF(平成7年度!K16=0,平成7年度!K37/11,IF(平成7年度!K16&gt;0,平成7年度!K37/12,"")))</f>
        <v>15326</v>
      </c>
      <c r="L38" s="112">
        <f>IF(平成7年度!L15=0,平成7年度!L37/10,IF(平成7年度!L16=0,平成7年度!L37/11,IF(平成7年度!L16&gt;0,平成7年度!L37/12,"")))</f>
        <v>10294.166666666666</v>
      </c>
      <c r="M38" s="112">
        <f>IF(平成7年度!M15=0,平成7年度!M37/10,IF(平成7年度!M16=0,平成7年度!M37/11,IF(平成7年度!M16&gt;0,平成7年度!M37/12,"")))</f>
        <v>7436</v>
      </c>
      <c r="N38" s="114" t="e">
        <f>IF(平成7年度!N15=0,平成7年度!N37/10,IF(平成7年度!N16=0,平成7年度!N37/11,IF(平成7年度!N16&gt;0,平成7年度!N37/12,"")))</f>
        <v>#VALUE!</v>
      </c>
      <c r="O38" s="114">
        <f>IF(平成7年度!O15=0,平成7年度!O37/10,IF(平成7年度!O16=0,平成7年度!O37/11,IF(平成7年度!O16&gt;0,平成7年度!O37/12,"")))</f>
        <v>99191.583333333328</v>
      </c>
      <c r="P38" s="114">
        <f>IF(平成7年度!P15=0,平成7年度!P37/10,IF(平成7年度!P16=0,平成7年度!P37/11,IF(平成7年度!P16&gt;0,平成7年度!P37/12,"")))</f>
        <v>288371.5</v>
      </c>
      <c r="Q38" s="114">
        <f>平成7年度!C38/平成7年度!O38</f>
        <v>0.36704139044055317</v>
      </c>
      <c r="R38" s="114">
        <f>平成7年度!H38/平成7年度!P38</f>
        <v>0.25790690134080518</v>
      </c>
      <c r="S38" s="111">
        <f>平成7年度!L38/平成7年度!H38</f>
        <v>0.13841268560723199</v>
      </c>
      <c r="T38" s="115"/>
      <c r="U38" s="115" t="s">
        <v>283</v>
      </c>
      <c r="V38" s="116" t="s">
        <v>284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 t="s">
        <v>285</v>
      </c>
      <c r="W39" s="1" t="s">
        <v>286</v>
      </c>
      <c r="X39" s="1" t="s">
        <v>287</v>
      </c>
      <c r="Y39" s="117" t="s">
        <v>288</v>
      </c>
      <c r="Z39" s="117" t="s">
        <v>289</v>
      </c>
      <c r="AA39" s="117" t="s">
        <v>290</v>
      </c>
      <c r="AB39" s="117" t="s">
        <v>291</v>
      </c>
      <c r="AC39" s="117" t="s">
        <v>292</v>
      </c>
      <c r="AD39" s="117" t="s">
        <v>293</v>
      </c>
      <c r="AE39" s="117" t="s">
        <v>294</v>
      </c>
      <c r="AF39" s="117" t="s">
        <v>295</v>
      </c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 t="s">
        <v>296</v>
      </c>
      <c r="W40" s="1" t="s">
        <v>297</v>
      </c>
      <c r="X40" s="1" t="s">
        <v>298</v>
      </c>
      <c r="Y40" s="117" t="s">
        <v>299</v>
      </c>
      <c r="Z40" s="117" t="s">
        <v>300</v>
      </c>
      <c r="AA40" s="117" t="s">
        <v>301</v>
      </c>
      <c r="AB40" s="117" t="s">
        <v>302</v>
      </c>
      <c r="AC40" s="117" t="s">
        <v>303</v>
      </c>
      <c r="AD40" s="117" t="s">
        <v>304</v>
      </c>
      <c r="AE40" s="117" t="s">
        <v>305</v>
      </c>
      <c r="AF40" s="117" t="s">
        <v>306</v>
      </c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7595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 t="s">
        <v>307</v>
      </c>
      <c r="T42" s="1" t="s">
        <v>308</v>
      </c>
      <c r="U42" s="1" t="s">
        <v>309</v>
      </c>
      <c r="V42" s="1">
        <v>37416</v>
      </c>
      <c r="W42" s="117">
        <v>75663</v>
      </c>
      <c r="X42" s="117">
        <f>平成7年度!W42-平成7年度!Y42-平成7年度!Z42</f>
        <v>48807</v>
      </c>
      <c r="Y42" s="1">
        <v>16328</v>
      </c>
      <c r="Z42" s="1">
        <f>平成7年度!AA41+平成7年度!AA42</f>
        <v>10528</v>
      </c>
      <c r="AA42" s="1">
        <v>2933</v>
      </c>
      <c r="AB42" s="1">
        <v>100509</v>
      </c>
      <c r="AC42" s="1">
        <v>289235</v>
      </c>
      <c r="AD42" s="119">
        <f>平成7年度!V42/+平成7年度!AB42</f>
        <v>0.37226517028325823</v>
      </c>
      <c r="AE42" s="1">
        <f>平成7年度!W42/+平成7年度!AC42</f>
        <v>0.26159697132089821</v>
      </c>
      <c r="AF42" s="1">
        <f>平成7年度!Z42/+平成7年度!W42</f>
        <v>0.13914330650383938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/>
      <c r="C43" s="1"/>
      <c r="D43" s="1"/>
      <c r="E43" s="1"/>
      <c r="F43" s="120"/>
      <c r="G43" s="1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 t="s">
        <v>310</v>
      </c>
      <c r="W43" s="1"/>
      <c r="X43" s="1"/>
      <c r="Y43" s="117"/>
      <c r="Z43" s="1"/>
      <c r="AA43" s="1">
        <v>7585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/>
      <c r="C44" s="121"/>
      <c r="D44" s="122"/>
      <c r="E44" s="122"/>
      <c r="F44" s="123"/>
      <c r="G44" s="1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311</v>
      </c>
      <c r="V44" s="1">
        <v>37502</v>
      </c>
      <c r="W44" s="117">
        <v>75656</v>
      </c>
      <c r="X44" s="124">
        <f>平成7年度!W44-平成7年度!Y44-平成7年度!Z44</f>
        <v>48724</v>
      </c>
      <c r="Y44" s="1">
        <v>16408</v>
      </c>
      <c r="Z44" s="125">
        <f>平成7年度!AA43+平成7年度!AA44</f>
        <v>10524</v>
      </c>
      <c r="AA44" s="117">
        <v>2939</v>
      </c>
      <c r="AB44" s="117">
        <v>100792</v>
      </c>
      <c r="AC44" s="117">
        <v>289496</v>
      </c>
      <c r="AD44" s="117">
        <f>平成7年度!V44/+平成7年度!AB44</f>
        <v>0.37207318041114373</v>
      </c>
      <c r="AE44" s="117">
        <f>平成7年度!W44/+平成7年度!AC44</f>
        <v>0.26133694420648301</v>
      </c>
      <c r="AF44" s="117">
        <f>平成7年度!Z44/+平成7年度!W44</f>
        <v>0.13910330971766946</v>
      </c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/>
      <c r="C45" s="1"/>
      <c r="D45" s="1"/>
      <c r="E45" s="1"/>
      <c r="F45" s="126"/>
      <c r="G45" s="126"/>
      <c r="H45" s="126"/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/>
      <c r="W45" s="118" t="s">
        <v>312</v>
      </c>
      <c r="X45" s="127" t="s">
        <v>313</v>
      </c>
      <c r="Y45" s="128"/>
      <c r="Z45" s="129"/>
      <c r="AA45" s="129">
        <v>7670</v>
      </c>
      <c r="AB45" s="129"/>
      <c r="AC45" s="129"/>
      <c r="AD45" s="130" t="s">
        <v>314</v>
      </c>
      <c r="AE45" s="130" t="s">
        <v>315</v>
      </c>
      <c r="AF45" s="130" t="s">
        <v>316</v>
      </c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/>
      <c r="C46" s="122"/>
      <c r="D46" s="122"/>
      <c r="E46" s="122"/>
      <c r="F46" s="122"/>
      <c r="G46" s="122"/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 t="s">
        <v>317</v>
      </c>
      <c r="V46" s="1">
        <v>37592</v>
      </c>
      <c r="W46" s="133">
        <v>75752</v>
      </c>
      <c r="X46" s="134">
        <f>平成7年度!W46-平成7年度!Y46-平成7年度!Z46</f>
        <v>48660</v>
      </c>
      <c r="Y46" s="135">
        <v>16487</v>
      </c>
      <c r="Z46" s="136">
        <f>平成7年度!AA45+平成7年度!AA46</f>
        <v>10605</v>
      </c>
      <c r="AA46" s="137">
        <v>2935</v>
      </c>
      <c r="AB46" s="137">
        <v>100982</v>
      </c>
      <c r="AC46" s="138">
        <v>289745</v>
      </c>
      <c r="AD46" s="139">
        <f>平成7年度!V46/+平成7年度!AB46</f>
        <v>0.37226436394604978</v>
      </c>
      <c r="AE46" s="140">
        <f>平成7年度!W46/+平成7年度!AC46</f>
        <v>0.26144368323870992</v>
      </c>
      <c r="AF46" s="140">
        <f>平成7年度!Z46/+平成7年度!W46</f>
        <v>0.13999630372795438</v>
      </c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/>
      <c r="C47" s="121"/>
      <c r="D47" s="122"/>
      <c r="E47" s="122"/>
      <c r="F47" s="122"/>
      <c r="G47" s="1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 t="s">
        <v>318</v>
      </c>
      <c r="Y47" s="143"/>
      <c r="Z47" s="144"/>
      <c r="AA47" s="144">
        <v>7718</v>
      </c>
      <c r="AB47" s="144"/>
      <c r="AC47" s="145"/>
      <c r="AD47" s="146" t="s">
        <v>319</v>
      </c>
      <c r="AE47" s="144" t="s">
        <v>320</v>
      </c>
      <c r="AF47" s="144" t="s">
        <v>321</v>
      </c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/>
      <c r="U48" s="1" t="s">
        <v>322</v>
      </c>
      <c r="V48" s="1">
        <v>37734</v>
      </c>
      <c r="W48" s="117">
        <v>75915</v>
      </c>
      <c r="X48" s="134">
        <f>平成7年度!W48-平成7年度!Y48-平成7年度!Z48</f>
        <v>48676</v>
      </c>
      <c r="Y48" s="150">
        <v>16563</v>
      </c>
      <c r="Z48" s="151">
        <f>平成7年度!AA47+平成7年度!AA48</f>
        <v>10676</v>
      </c>
      <c r="AA48" s="151">
        <v>2958</v>
      </c>
      <c r="AB48" s="151">
        <v>101151</v>
      </c>
      <c r="AC48" s="152">
        <v>289947</v>
      </c>
      <c r="AD48" s="153">
        <f>平成7年度!V48/+平成7年度!AB48</f>
        <v>0.37304623780288876</v>
      </c>
      <c r="AE48" s="151">
        <f>平成7年度!W48/+平成7年度!AC48</f>
        <v>0.2618237126095459</v>
      </c>
      <c r="AF48" s="150">
        <f>平成7年度!Z48/+平成7年度!W48</f>
        <v>0.14063096884673648</v>
      </c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 t="s">
        <v>323</v>
      </c>
      <c r="Y49" s="143"/>
      <c r="Z49" s="144"/>
      <c r="AA49" s="144"/>
      <c r="AB49" s="144"/>
      <c r="AC49" s="157"/>
      <c r="AD49" s="146" t="s">
        <v>324</v>
      </c>
      <c r="AE49" s="144" t="s">
        <v>325</v>
      </c>
      <c r="AF49" s="143" t="s">
        <v>326</v>
      </c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327</v>
      </c>
      <c r="V50" s="1" t="s">
        <v>328</v>
      </c>
      <c r="W50" s="117" t="s">
        <v>329</v>
      </c>
      <c r="X50" s="134" t="e">
        <f>平成7年度!W50-平成7年度!Y50-平成7年度!Z50</f>
        <v>#VALUE!</v>
      </c>
      <c r="Y50" s="150"/>
      <c r="Z50" s="151">
        <f>平成7年度!AA49+平成7年度!AA50</f>
        <v>0</v>
      </c>
      <c r="AA50" s="151"/>
      <c r="AB50" s="151"/>
      <c r="AC50" s="152"/>
      <c r="AD50" s="153" t="e">
        <f>平成7年度!V50/+平成7年度!AB50</f>
        <v>#VALUE!</v>
      </c>
      <c r="AE50" s="151" t="e">
        <f>平成7年度!W50/+平成7年度!AC50</f>
        <v>#VALUE!</v>
      </c>
      <c r="AF50" s="150" t="e">
        <f>平成7年度!Z50/+平成7年度!W50</f>
        <v>#VALUE!</v>
      </c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42" t="s">
        <v>330</v>
      </c>
      <c r="Y51" s="143"/>
      <c r="Z51" s="144"/>
      <c r="AA51" s="144"/>
      <c r="AB51" s="144"/>
      <c r="AC51" s="145"/>
      <c r="AD51" s="146" t="s">
        <v>331</v>
      </c>
      <c r="AE51" s="144" t="s">
        <v>332</v>
      </c>
      <c r="AF51" s="144" t="s">
        <v>333</v>
      </c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 t="s">
        <v>334</v>
      </c>
      <c r="V52" s="1" t="s">
        <v>335</v>
      </c>
      <c r="W52" s="117" t="s">
        <v>336</v>
      </c>
      <c r="X52" s="134" t="e">
        <f>平成7年度!W52-平成7年度!Y52-平成7年度!Z52</f>
        <v>#VALUE!</v>
      </c>
      <c r="Y52" s="150"/>
      <c r="Z52" s="151">
        <f>平成7年度!AA51+平成7年度!AA52</f>
        <v>0</v>
      </c>
      <c r="AA52" s="151"/>
      <c r="AB52" s="151"/>
      <c r="AC52" s="152"/>
      <c r="AD52" s="153" t="e">
        <f>平成7年度!V52/+平成7年度!AB52</f>
        <v>#VALUE!</v>
      </c>
      <c r="AE52" s="151" t="e">
        <f>平成7年度!W52/+平成7年度!AC52</f>
        <v>#VALUE!</v>
      </c>
      <c r="AF52" s="150" t="e">
        <f>平成7年度!Z52/+平成7年度!W52</f>
        <v>#VALUE!</v>
      </c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 t="s">
        <v>337</v>
      </c>
      <c r="Y53" s="143"/>
      <c r="Z53" s="144"/>
      <c r="AA53" s="144"/>
      <c r="AB53" s="144"/>
      <c r="AC53" s="157"/>
      <c r="AD53" s="146" t="s">
        <v>338</v>
      </c>
      <c r="AE53" s="144" t="s">
        <v>339</v>
      </c>
      <c r="AF53" s="143" t="s">
        <v>340</v>
      </c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341</v>
      </c>
      <c r="V54" s="1" t="s">
        <v>342</v>
      </c>
      <c r="W54" s="117" t="s">
        <v>343</v>
      </c>
      <c r="X54" s="134" t="e">
        <f>平成7年度!W54-平成7年度!Y54-平成7年度!Z54</f>
        <v>#VALUE!</v>
      </c>
      <c r="Y54" s="150"/>
      <c r="Z54" s="151">
        <f>平成7年度!AA53+平成7年度!AA54</f>
        <v>0</v>
      </c>
      <c r="AA54" s="151"/>
      <c r="AB54" s="151"/>
      <c r="AC54" s="152"/>
      <c r="AD54" s="153" t="e">
        <f>平成7年度!V54/+平成7年度!AB54</f>
        <v>#VALUE!</v>
      </c>
      <c r="AE54" s="151" t="e">
        <f>平成7年度!W54/+平成7年度!AC54</f>
        <v>#VALUE!</v>
      </c>
      <c r="AF54" s="150" t="e">
        <f>平成7年度!Z54/+平成7年度!W54</f>
        <v>#VALUE!</v>
      </c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 t="s">
        <v>344</v>
      </c>
      <c r="Y55" s="143"/>
      <c r="Z55" s="144"/>
      <c r="AA55" s="144"/>
      <c r="AB55" s="144"/>
      <c r="AC55" s="145"/>
      <c r="AD55" s="146" t="s">
        <v>345</v>
      </c>
      <c r="AE55" s="144" t="s">
        <v>346</v>
      </c>
      <c r="AF55" s="144" t="s">
        <v>347</v>
      </c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348</v>
      </c>
      <c r="V56" s="1" t="s">
        <v>349</v>
      </c>
      <c r="W56" s="117" t="s">
        <v>350</v>
      </c>
      <c r="X56" s="134" t="e">
        <f>平成7年度!W56-平成7年度!Y56-平成7年度!Z56</f>
        <v>#VALUE!</v>
      </c>
      <c r="Y56" s="150"/>
      <c r="Z56" s="151">
        <f>平成7年度!AA55+平成7年度!AA56</f>
        <v>0</v>
      </c>
      <c r="AA56" s="151"/>
      <c r="AB56" s="151"/>
      <c r="AC56" s="152"/>
      <c r="AD56" s="153" t="e">
        <f>平成7年度!V56/+平成7年度!AB56</f>
        <v>#VALUE!</v>
      </c>
      <c r="AE56" s="151" t="e">
        <f>平成7年度!W56/+平成7年度!AC56</f>
        <v>#VALUE!</v>
      </c>
      <c r="AF56" s="150" t="e">
        <f>平成7年度!Z56/+平成7年度!W56</f>
        <v>#VALUE!</v>
      </c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 t="s">
        <v>351</v>
      </c>
      <c r="Y57" s="143"/>
      <c r="Z57" s="144"/>
      <c r="AA57" s="144"/>
      <c r="AB57" s="144"/>
      <c r="AC57" s="145"/>
      <c r="AD57" s="146" t="s">
        <v>352</v>
      </c>
      <c r="AE57" s="144" t="s">
        <v>353</v>
      </c>
      <c r="AF57" s="144" t="s">
        <v>354</v>
      </c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 t="s">
        <v>355</v>
      </c>
      <c r="V58" s="1" t="s">
        <v>356</v>
      </c>
      <c r="W58" s="117" t="s">
        <v>357</v>
      </c>
      <c r="X58" s="134" t="e">
        <f>平成7年度!W58-平成7年度!Y58-平成7年度!Z58</f>
        <v>#VALUE!</v>
      </c>
      <c r="Y58" s="150"/>
      <c r="Z58" s="151">
        <f>平成7年度!AA57+平成7年度!AA58</f>
        <v>0</v>
      </c>
      <c r="AA58" s="151"/>
      <c r="AB58" s="151"/>
      <c r="AC58" s="152"/>
      <c r="AD58" s="153" t="e">
        <f>平成7年度!V58/+平成7年度!AB58</f>
        <v>#VALUE!</v>
      </c>
      <c r="AE58" s="151" t="e">
        <f>平成7年度!W58/+平成7年度!AC58</f>
        <v>#VALUE!</v>
      </c>
      <c r="AF58" s="150" t="e">
        <f>平成7年度!Z58/+平成7年度!W58</f>
        <v>#VALUE!</v>
      </c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1"/>
      <c r="U59" s="1"/>
      <c r="V59" s="1"/>
      <c r="W59" s="117"/>
      <c r="X59" s="142" t="s">
        <v>358</v>
      </c>
      <c r="Y59" s="143"/>
      <c r="Z59" s="144"/>
      <c r="AA59" s="144"/>
      <c r="AB59" s="144"/>
      <c r="AC59" s="145"/>
      <c r="AD59" s="146" t="s">
        <v>359</v>
      </c>
      <c r="AE59" s="144" t="s">
        <v>360</v>
      </c>
      <c r="AF59" s="144" t="s">
        <v>361</v>
      </c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362</v>
      </c>
      <c r="V60" s="1" t="s">
        <v>363</v>
      </c>
      <c r="W60" s="117" t="s">
        <v>364</v>
      </c>
      <c r="X60" s="134" t="e">
        <f>平成7年度!W60-平成7年度!Y60-平成7年度!Z60</f>
        <v>#VALUE!</v>
      </c>
      <c r="Y60" s="150"/>
      <c r="Z60" s="151">
        <f>平成7年度!AA59+平成7年度!AA60</f>
        <v>0</v>
      </c>
      <c r="AA60" s="151"/>
      <c r="AB60" s="151"/>
      <c r="AC60" s="152"/>
      <c r="AD60" s="153" t="e">
        <f>平成7年度!V60/+平成7年度!AB60</f>
        <v>#VALUE!</v>
      </c>
      <c r="AE60" s="151" t="e">
        <f>平成7年度!W60/+平成7年度!AC60</f>
        <v>#VALUE!</v>
      </c>
      <c r="AF60" s="150" t="e">
        <f>平成7年度!Z60/+平成7年度!W60</f>
        <v>#VALUE!</v>
      </c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 t="s">
        <v>365</v>
      </c>
      <c r="X61" s="142" t="s">
        <v>366</v>
      </c>
      <c r="Y61" s="143"/>
      <c r="Z61" s="144"/>
      <c r="AA61" s="144"/>
      <c r="AB61" s="144"/>
      <c r="AC61" s="145"/>
      <c r="AD61" s="146" t="s">
        <v>367</v>
      </c>
      <c r="AE61" s="144" t="s">
        <v>368</v>
      </c>
      <c r="AF61" s="144" t="s">
        <v>369</v>
      </c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370</v>
      </c>
      <c r="V62" s="1" t="s">
        <v>371</v>
      </c>
      <c r="W62" s="117" t="s">
        <v>372</v>
      </c>
      <c r="X62" s="134" t="e">
        <f>平成7年度!W62-平成7年度!Y62-平成7年度!Z62</f>
        <v>#VALUE!</v>
      </c>
      <c r="Y62" s="150"/>
      <c r="Z62" s="151">
        <f>平成7年度!AA61+平成7年度!AA62</f>
        <v>0</v>
      </c>
      <c r="AA62" s="151"/>
      <c r="AB62" s="151"/>
      <c r="AC62" s="152"/>
      <c r="AD62" s="153" t="e">
        <f>平成7年度!V62/+平成7年度!AB62</f>
        <v>#VALUE!</v>
      </c>
      <c r="AE62" s="151" t="e">
        <f>平成7年度!W62/+平成7年度!AC62</f>
        <v>#VALUE!</v>
      </c>
      <c r="AF62" s="150" t="e">
        <f>平成7年度!Z62/+平成7年度!W62</f>
        <v>#VALUE!</v>
      </c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/>
      <c r="W63" s="117"/>
      <c r="X63" s="142" t="s">
        <v>373</v>
      </c>
      <c r="Y63" s="143"/>
      <c r="Z63" s="144"/>
      <c r="AA63" s="144"/>
      <c r="AB63" s="144"/>
      <c r="AC63" s="157"/>
      <c r="AD63" s="146" t="s">
        <v>374</v>
      </c>
      <c r="AE63" s="144" t="s">
        <v>375</v>
      </c>
      <c r="AF63" s="143" t="s">
        <v>376</v>
      </c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377</v>
      </c>
      <c r="V64" s="1" t="s">
        <v>378</v>
      </c>
      <c r="W64" s="117" t="s">
        <v>379</v>
      </c>
      <c r="X64" s="134" t="e">
        <f>平成7年度!W64-平成7年度!Y64-平成7年度!Z64</f>
        <v>#VALUE!</v>
      </c>
      <c r="Y64" s="150"/>
      <c r="Z64" s="151">
        <f>平成7年度!AA63+平成7年度!AA64</f>
        <v>0</v>
      </c>
      <c r="AA64" s="151"/>
      <c r="AB64" s="151"/>
      <c r="AC64" s="152"/>
      <c r="AD64" s="153" t="e">
        <f>平成7年度!V64/+平成7年度!AB64</f>
        <v>#VALUE!</v>
      </c>
      <c r="AE64" s="151" t="e">
        <f>平成7年度!W64/+平成7年度!AC64</f>
        <v>#VALUE!</v>
      </c>
      <c r="AF64" s="150" t="e">
        <f>平成7年度!Z64/+平成7年度!W64</f>
        <v>#VALUE!</v>
      </c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 t="s">
        <v>380</v>
      </c>
      <c r="V65" s="1" t="s">
        <v>381</v>
      </c>
      <c r="W65" s="117" t="s">
        <v>382</v>
      </c>
      <c r="X65" s="142" t="s">
        <v>383</v>
      </c>
      <c r="Y65" s="143" t="s">
        <v>384</v>
      </c>
      <c r="Z65" s="144" t="s">
        <v>385</v>
      </c>
      <c r="AA65" s="144">
        <f>平成7年度!AA41+平成7年度!AA43+平成7年度!AA45+平成7年度!AA47+平成7年度!AA49+平成7年度!AA51+平成7年度!AA53+平成7年度!AA55+平成7年度!AA57+平成7年度!AA59+平成7年度!AA61+平成7年度!AA63</f>
        <v>30568</v>
      </c>
      <c r="AB65" s="144" t="s">
        <v>386</v>
      </c>
      <c r="AC65" s="157" t="s">
        <v>387</v>
      </c>
      <c r="AD65" s="146" t="s">
        <v>388</v>
      </c>
      <c r="AE65" s="144" t="s">
        <v>389</v>
      </c>
      <c r="AF65" s="143" t="s">
        <v>390</v>
      </c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391</v>
      </c>
      <c r="V66" s="1">
        <f>SUM(平成7年度!V42:V64)</f>
        <v>150244</v>
      </c>
      <c r="W66" s="117">
        <f>SUM(平成7年度!W42:W64)</f>
        <v>302986</v>
      </c>
      <c r="X66" s="134" t="e">
        <f>SUM(平成7年度!X42:X64)</f>
        <v>#VALUE!</v>
      </c>
      <c r="Y66" s="150">
        <f>SUM(平成7年度!Y42:Y64)</f>
        <v>65786</v>
      </c>
      <c r="Z66" s="151">
        <f>SUM(平成7年度!Z42:Z64)</f>
        <v>42333</v>
      </c>
      <c r="AA66" s="151">
        <f>平成7年度!AA42+平成7年度!AA44+平成7年度!AA46+平成7年度!AA48+平成7年度!AA50+平成7年度!AA52+平成7年度!AA54+平成7年度!AA56+平成7年度!AA58+平成7年度!AA60+平成7年度!AA62+平成7年度!AA64</f>
        <v>11765</v>
      </c>
      <c r="AB66" s="151">
        <f>SUM(平成7年度!AB42:AB64)</f>
        <v>403434</v>
      </c>
      <c r="AC66" s="152">
        <f>SUM(平成7年度!AC42:AC64)</f>
        <v>1158423</v>
      </c>
      <c r="AD66" s="153">
        <f>平成7年度!V66/+平成7年度!AB66</f>
        <v>0.37241283580461737</v>
      </c>
      <c r="AE66" s="151">
        <f>平成7年度!W66/+平成7年度!AC66</f>
        <v>0.26155040084666825</v>
      </c>
      <c r="AF66" s="150">
        <f>平成7年度!Z66/+平成7年度!W66</f>
        <v>0.13971932696560238</v>
      </c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 t="s">
        <v>392</v>
      </c>
      <c r="V67" s="1" t="s">
        <v>393</v>
      </c>
      <c r="W67" s="117" t="s">
        <v>394</v>
      </c>
      <c r="X67" s="142" t="s">
        <v>395</v>
      </c>
      <c r="Y67" s="143" t="s">
        <v>396</v>
      </c>
      <c r="Z67" s="144" t="s">
        <v>397</v>
      </c>
      <c r="AA67" s="144">
        <f>平成7年度!AA65/12</f>
        <v>2547.3333333333335</v>
      </c>
      <c r="AB67" s="144" t="s">
        <v>398</v>
      </c>
      <c r="AC67" s="157" t="s">
        <v>399</v>
      </c>
      <c r="AD67" s="146" t="s">
        <v>400</v>
      </c>
      <c r="AE67" s="144" t="s">
        <v>401</v>
      </c>
      <c r="AF67" s="143" t="s">
        <v>402</v>
      </c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403</v>
      </c>
      <c r="V68" s="1">
        <f>平成7年度!V66/12</f>
        <v>12520.333333333334</v>
      </c>
      <c r="W68" s="117">
        <f>平成7年度!W66/12</f>
        <v>25248.833333333332</v>
      </c>
      <c r="X68" s="134" t="e">
        <f>平成7年度!X66/12</f>
        <v>#VALUE!</v>
      </c>
      <c r="Y68" s="150">
        <f>平成7年度!Y66/12</f>
        <v>5482.166666666667</v>
      </c>
      <c r="Z68" s="151">
        <f>平成7年度!Z66/12</f>
        <v>3527.75</v>
      </c>
      <c r="AA68" s="151">
        <f>平成7年度!AA66/12</f>
        <v>980.41666666666663</v>
      </c>
      <c r="AB68" s="151">
        <f>平成7年度!AB66/12</f>
        <v>33619.5</v>
      </c>
      <c r="AC68" s="152">
        <f>平成7年度!AC66/12</f>
        <v>96535.25</v>
      </c>
      <c r="AD68" s="153">
        <f>平成7年度!V68/+平成7年度!AB68</f>
        <v>0.37241283580461737</v>
      </c>
      <c r="AE68" s="151">
        <f>平成7年度!W68/+平成7年度!AC68</f>
        <v>0.26155040084666825</v>
      </c>
      <c r="AF68" s="150">
        <f>平成7年度!Z68/+平成7年度!W68</f>
        <v>0.13971932696560238</v>
      </c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/>
      <c r="AB69" s="144"/>
      <c r="AC69" s="157"/>
      <c r="AD69" s="146"/>
      <c r="AE69" s="144"/>
      <c r="AF69" s="143"/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/>
      <c r="Y70" s="150"/>
      <c r="Z70" s="151"/>
      <c r="AA70" s="151"/>
      <c r="AB70" s="151"/>
      <c r="AC70" s="152"/>
      <c r="AD70" s="153"/>
      <c r="AE70" s="151"/>
      <c r="AF70" s="150"/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/>
      <c r="Y71" s="143"/>
      <c r="Z71" s="144"/>
      <c r="AA71" s="144"/>
      <c r="AB71" s="144"/>
      <c r="AC71" s="157"/>
      <c r="AD71" s="146"/>
      <c r="AE71" s="144"/>
      <c r="AF71" s="143"/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/>
      <c r="Y72" s="150"/>
      <c r="Z72" s="151"/>
      <c r="AA72" s="151"/>
      <c r="AB72" s="151"/>
      <c r="AC72" s="152"/>
      <c r="AD72" s="153"/>
      <c r="AE72" s="150"/>
      <c r="AF72" s="151"/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/>
      <c r="Y73" s="143"/>
      <c r="Z73" s="144"/>
      <c r="AA73" s="144"/>
      <c r="AB73" s="144"/>
      <c r="AC73" s="157"/>
      <c r="AD73" s="146"/>
      <c r="AE73" s="144"/>
      <c r="AF73" s="143"/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/>
      <c r="Y74" s="165"/>
      <c r="Z74" s="166"/>
      <c r="AA74" s="166"/>
      <c r="AB74" s="166"/>
      <c r="AC74" s="167"/>
      <c r="AD74" s="168"/>
      <c r="AE74" s="165"/>
      <c r="AF74" s="166"/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/>
      <c r="X75" s="127"/>
      <c r="Y75" s="173"/>
      <c r="Z75" s="174"/>
      <c r="AA75" s="174"/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/>
      <c r="X76" s="134"/>
      <c r="Y76" s="181"/>
      <c r="Z76" s="182"/>
      <c r="AA76" s="182"/>
      <c r="AB76" s="182"/>
      <c r="AC76" s="183"/>
      <c r="AD76" s="184"/>
      <c r="AE76" s="181"/>
      <c r="AF76" s="182"/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/>
      <c r="X77" s="142"/>
      <c r="Y77" s="189"/>
      <c r="Z77" s="190"/>
      <c r="AA77" s="190"/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/>
      <c r="Y78" s="197"/>
      <c r="Z78" s="198"/>
      <c r="AA78" s="198"/>
      <c r="AB78" s="198"/>
      <c r="AC78" s="199"/>
      <c r="AD78" s="200"/>
      <c r="AE78" s="197"/>
      <c r="AF78" s="198"/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404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205">
        <f>SUM(平成7年度!C17:C19)</f>
        <v>111081</v>
      </c>
      <c r="D2" s="205">
        <f>SUM(平成7年度!D17:D19)</f>
        <v>95952</v>
      </c>
      <c r="E2" s="205">
        <f>SUM(平成7年度!E17:E19)</f>
        <v>91445</v>
      </c>
      <c r="F2" s="205">
        <f>SUM(平成7年度!F17:F19)</f>
        <v>4507</v>
      </c>
      <c r="G2" s="205">
        <f>SUM(平成7年度!G17:G19)</f>
        <v>15129</v>
      </c>
      <c r="H2" s="205">
        <f>SUM(平成7年度!H17:H19)</f>
        <v>225674</v>
      </c>
      <c r="I2" s="205">
        <f>SUM(平成7年度!I17:I19)</f>
        <v>194660</v>
      </c>
      <c r="J2" s="205">
        <f>SUM(平成7年度!J17:J19)</f>
        <v>146524</v>
      </c>
      <c r="K2" s="205">
        <f>SUM(平成7年度!K17:K19)</f>
        <v>48136</v>
      </c>
      <c r="L2" s="205">
        <f>SUM(平成7年度!L17:L19)</f>
        <v>31014</v>
      </c>
      <c r="M2" s="205">
        <f>SUM(平成7年度!M17:M19)</f>
        <v>22444</v>
      </c>
      <c r="N2" s="205">
        <f>SUM(平成7年度!N17:N19)</f>
        <v>8570</v>
      </c>
      <c r="O2" s="205">
        <f>SUM(平成7年度!O17:O19)</f>
        <v>299896</v>
      </c>
      <c r="P2" s="205">
        <f>SUM(平成7年度!P17:P19)</f>
        <v>867123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405</v>
      </c>
      <c r="D3" s="3"/>
      <c r="E3" s="3" t="s">
        <v>406</v>
      </c>
      <c r="F3" s="3" t="s">
        <v>407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408</v>
      </c>
      <c r="C4" s="10" t="s">
        <v>409</v>
      </c>
      <c r="D4" s="11"/>
      <c r="E4" s="11"/>
      <c r="F4" s="11"/>
      <c r="G4" s="12"/>
      <c r="H4" s="10" t="s">
        <v>410</v>
      </c>
      <c r="I4" s="11"/>
      <c r="J4" s="11"/>
      <c r="K4" s="11"/>
      <c r="L4" s="11"/>
      <c r="M4" s="11"/>
      <c r="N4" s="11"/>
      <c r="O4" s="10" t="s">
        <v>411</v>
      </c>
      <c r="P4" s="11" t="s">
        <v>412</v>
      </c>
      <c r="Q4" s="12" t="s">
        <v>413</v>
      </c>
      <c r="R4" s="13" t="s">
        <v>414</v>
      </c>
      <c r="S4" s="14" t="s">
        <v>415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416</v>
      </c>
      <c r="D5" s="25" t="s">
        <v>417</v>
      </c>
      <c r="E5" s="26" t="s">
        <v>418</v>
      </c>
      <c r="F5" s="26" t="s">
        <v>419</v>
      </c>
      <c r="G5" s="27" t="s">
        <v>420</v>
      </c>
      <c r="H5" s="24" t="s">
        <v>421</v>
      </c>
      <c r="I5" s="25" t="s">
        <v>422</v>
      </c>
      <c r="J5" s="26" t="s">
        <v>423</v>
      </c>
      <c r="K5" s="26" t="s">
        <v>424</v>
      </c>
      <c r="L5" s="26" t="s">
        <v>425</v>
      </c>
      <c r="M5" s="26" t="s">
        <v>426</v>
      </c>
      <c r="N5" s="27" t="s">
        <v>427</v>
      </c>
      <c r="O5" s="24" t="s">
        <v>428</v>
      </c>
      <c r="P5" s="25" t="s">
        <v>429</v>
      </c>
      <c r="Q5" s="27" t="s">
        <v>430</v>
      </c>
      <c r="R5" s="24" t="s">
        <v>431</v>
      </c>
      <c r="S5" s="25" t="s">
        <v>432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433</v>
      </c>
      <c r="D6" s="14" t="s">
        <v>434</v>
      </c>
      <c r="E6" s="15" t="s">
        <v>435</v>
      </c>
      <c r="F6" s="15" t="s">
        <v>436</v>
      </c>
      <c r="G6" s="16" t="s">
        <v>437</v>
      </c>
      <c r="H6" s="38" t="s">
        <v>438</v>
      </c>
      <c r="I6" s="14" t="s">
        <v>439</v>
      </c>
      <c r="J6" s="15" t="s">
        <v>440</v>
      </c>
      <c r="K6" s="15" t="s">
        <v>441</v>
      </c>
      <c r="L6" s="15" t="s">
        <v>442</v>
      </c>
      <c r="M6" s="15" t="s">
        <v>443</v>
      </c>
      <c r="N6" s="16" t="s">
        <v>444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445</v>
      </c>
      <c r="C8" s="44">
        <v>37416</v>
      </c>
      <c r="D8" s="45">
        <f>平成８年度!E8+平成８年度!F8</f>
        <v>32280</v>
      </c>
      <c r="E8" s="45">
        <f>平成８年度!C8-平成８年度!G8-平成８年度!F8</f>
        <v>30761</v>
      </c>
      <c r="F8" s="46">
        <v>1519</v>
      </c>
      <c r="G8" s="47">
        <v>5136</v>
      </c>
      <c r="H8" s="48">
        <f>平成８年度!I8+平成８年度!L8</f>
        <v>75663</v>
      </c>
      <c r="I8" s="45">
        <f>平成８年度!J8+平成８年度!K8</f>
        <v>65135</v>
      </c>
      <c r="J8" s="46">
        <v>48807</v>
      </c>
      <c r="K8" s="49">
        <v>16328</v>
      </c>
      <c r="L8" s="45">
        <f>平成８年度!M8+平成８年度!N8</f>
        <v>10528</v>
      </c>
      <c r="M8" s="46">
        <v>7595</v>
      </c>
      <c r="N8" s="47">
        <v>2933</v>
      </c>
      <c r="O8" s="44">
        <v>100509</v>
      </c>
      <c r="P8" s="45">
        <v>289235</v>
      </c>
      <c r="Q8" s="47">
        <f>平成８年度!C8/平成８年度!O8</f>
        <v>0.37226517028325823</v>
      </c>
      <c r="R8" s="44">
        <f>平成８年度!H8/平成８年度!P8</f>
        <v>0.26159697132089821</v>
      </c>
      <c r="S8" s="46">
        <f>平成８年度!L8/平成８年度!H8</f>
        <v>0.13914330650383938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446</v>
      </c>
      <c r="C9" s="44">
        <v>37502</v>
      </c>
      <c r="D9" s="45">
        <f>平成８年度!E9+平成８年度!F9</f>
        <v>32368</v>
      </c>
      <c r="E9" s="45">
        <f>平成８年度!C9-平成８年度!G9-平成８年度!F9</f>
        <v>30852</v>
      </c>
      <c r="F9" s="46">
        <v>1516</v>
      </c>
      <c r="G9" s="47">
        <v>5134</v>
      </c>
      <c r="H9" s="48">
        <f>平成８年度!I9+平成８年度!L9</f>
        <v>75656</v>
      </c>
      <c r="I9" s="45">
        <f>平成８年度!J9+平成８年度!K9</f>
        <v>65132</v>
      </c>
      <c r="J9" s="46">
        <v>48724</v>
      </c>
      <c r="K9" s="49">
        <v>16408</v>
      </c>
      <c r="L9" s="45">
        <f>平成８年度!M9+平成８年度!N9</f>
        <v>10524</v>
      </c>
      <c r="M9" s="46">
        <v>7585</v>
      </c>
      <c r="N9" s="47">
        <v>2939</v>
      </c>
      <c r="O9" s="44">
        <v>100792</v>
      </c>
      <c r="P9" s="45">
        <v>289496</v>
      </c>
      <c r="Q9" s="47">
        <f>平成８年度!C9/平成８年度!O9</f>
        <v>0.37207318041114373</v>
      </c>
      <c r="R9" s="44">
        <f>平成８年度!H9/平成８年度!P9</f>
        <v>0.26133694420648301</v>
      </c>
      <c r="S9" s="46">
        <f>平成８年度!L9/平成８年度!H9</f>
        <v>0.13910330971766946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447</v>
      </c>
      <c r="C10" s="54">
        <v>37594</v>
      </c>
      <c r="D10" s="55">
        <f>平成８年度!E10+平成８年度!F10</f>
        <v>32414</v>
      </c>
      <c r="E10" s="55">
        <f>平成８年度!C10-平成８年度!G10-平成８年度!F10</f>
        <v>30876</v>
      </c>
      <c r="F10" s="56">
        <v>1538</v>
      </c>
      <c r="G10" s="57">
        <v>5180</v>
      </c>
      <c r="H10" s="58">
        <f>平成８年度!I10+平成８年度!L10</f>
        <v>75753</v>
      </c>
      <c r="I10" s="55">
        <f>平成８年度!J10+平成８年度!K10</f>
        <v>65148</v>
      </c>
      <c r="J10" s="56">
        <v>48661</v>
      </c>
      <c r="K10" s="59">
        <v>16487</v>
      </c>
      <c r="L10" s="55">
        <f>平成８年度!M10+平成８年度!N10</f>
        <v>10605</v>
      </c>
      <c r="M10" s="56">
        <v>7670</v>
      </c>
      <c r="N10" s="57">
        <v>2935</v>
      </c>
      <c r="O10" s="54">
        <v>100982</v>
      </c>
      <c r="P10" s="55">
        <v>289745</v>
      </c>
      <c r="Q10" s="57">
        <f>平成８年度!C10/平成８年度!O10</f>
        <v>0.37228416945594267</v>
      </c>
      <c r="R10" s="54">
        <f>平成８年度!H10/平成８年度!P10</f>
        <v>0.26144713454934509</v>
      </c>
      <c r="S10" s="56">
        <f>平成８年度!L10/平成８年度!H10</f>
        <v>0.13999445566512217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448</v>
      </c>
      <c r="C11" s="54">
        <v>37736</v>
      </c>
      <c r="D11" s="55">
        <f>平成８年度!E11+平成８年度!F11</f>
        <v>32518</v>
      </c>
      <c r="E11" s="55">
        <f>平成８年度!C11-平成８年度!G11-平成８年度!F11</f>
        <v>30975</v>
      </c>
      <c r="F11" s="56">
        <v>1543</v>
      </c>
      <c r="G11" s="57">
        <v>5218</v>
      </c>
      <c r="H11" s="58">
        <f>平成８年度!I11+平成８年度!L11</f>
        <v>75916</v>
      </c>
      <c r="I11" s="55">
        <f>平成８年度!J11+平成８年度!K11</f>
        <v>65240</v>
      </c>
      <c r="J11" s="56">
        <v>48677</v>
      </c>
      <c r="K11" s="59">
        <v>16563</v>
      </c>
      <c r="L11" s="55">
        <f>平成８年度!M11+平成８年度!N11</f>
        <v>10676</v>
      </c>
      <c r="M11" s="56">
        <v>7718</v>
      </c>
      <c r="N11" s="57">
        <v>2958</v>
      </c>
      <c r="O11" s="54">
        <v>101151</v>
      </c>
      <c r="P11" s="55">
        <v>289947</v>
      </c>
      <c r="Q11" s="57">
        <f>平成８年度!C11/平成８年度!O11</f>
        <v>0.37306601022234087</v>
      </c>
      <c r="R11" s="54">
        <f>平成８年度!H11/平成８年度!P11</f>
        <v>0.26182716151572527</v>
      </c>
      <c r="S11" s="56">
        <f>平成８年度!L11/平成８年度!H11</f>
        <v>0.14062911639180148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449</v>
      </c>
      <c r="C12" s="54">
        <v>37866</v>
      </c>
      <c r="D12" s="55">
        <f>平成８年度!E12+平成８年度!F12</f>
        <v>32668</v>
      </c>
      <c r="E12" s="55">
        <f>平成８年度!C12-平成８年度!G12-平成８年度!F12</f>
        <v>31126</v>
      </c>
      <c r="F12" s="56">
        <v>1542</v>
      </c>
      <c r="G12" s="57">
        <v>5198</v>
      </c>
      <c r="H12" s="58">
        <f>平成８年度!I12+平成８年度!L12</f>
        <v>76122</v>
      </c>
      <c r="I12" s="55">
        <f>平成８年度!J12+平成８年度!K12</f>
        <v>65487</v>
      </c>
      <c r="J12" s="56">
        <v>48831</v>
      </c>
      <c r="K12" s="59">
        <v>16656</v>
      </c>
      <c r="L12" s="55">
        <f>平成８年度!M12+平成８年度!N12</f>
        <v>10635</v>
      </c>
      <c r="M12" s="56">
        <v>7692</v>
      </c>
      <c r="N12" s="57">
        <v>2943</v>
      </c>
      <c r="O12" s="54">
        <v>101238</v>
      </c>
      <c r="P12" s="55">
        <v>290040</v>
      </c>
      <c r="Q12" s="57">
        <f>平成８年度!C12/平成８年度!O12</f>
        <v>0.37402951460913886</v>
      </c>
      <c r="R12" s="54">
        <f>平成８年度!H12/平成８年度!P12</f>
        <v>0.26245345469590403</v>
      </c>
      <c r="S12" s="56">
        <f>平成８年度!L12/平成８年度!H12</f>
        <v>0.13970993930795303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450</v>
      </c>
      <c r="C13" s="44">
        <v>37939</v>
      </c>
      <c r="D13" s="45">
        <f>平成８年度!E13+平成８年度!F13</f>
        <v>32736</v>
      </c>
      <c r="E13" s="45">
        <f>平成８年度!C13-平成８年度!G13-平成８年度!F13</f>
        <v>31212</v>
      </c>
      <c r="F13" s="46">
        <v>1524</v>
      </c>
      <c r="G13" s="47">
        <v>5203</v>
      </c>
      <c r="H13" s="58">
        <f>平成８年度!I13+平成８年度!L13</f>
        <v>76171</v>
      </c>
      <c r="I13" s="45">
        <f>平成８年度!J13+平成８年度!K13</f>
        <v>65543</v>
      </c>
      <c r="J13" s="46">
        <v>48779</v>
      </c>
      <c r="K13" s="49">
        <v>16764</v>
      </c>
      <c r="L13" s="45">
        <f>平成８年度!M13+平成８年度!N13</f>
        <v>10628</v>
      </c>
      <c r="M13" s="46">
        <v>7675</v>
      </c>
      <c r="N13" s="47">
        <v>2953</v>
      </c>
      <c r="O13" s="44">
        <v>101257</v>
      </c>
      <c r="P13" s="45">
        <v>290058</v>
      </c>
      <c r="Q13" s="47">
        <f>平成８年度!C13/平成８年度!O13</f>
        <v>0.37468026901843821</v>
      </c>
      <c r="R13" s="44">
        <f>平成８年度!H13/平成８年度!P13</f>
        <v>0.26260609946976121</v>
      </c>
      <c r="S13" s="46">
        <f>平成８年度!L13/平成８年度!H13</f>
        <v>0.13952816688766065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451</v>
      </c>
      <c r="C14" s="44">
        <v>38085</v>
      </c>
      <c r="D14" s="45">
        <f>平成８年度!E14+平成８年度!F14</f>
        <v>32850</v>
      </c>
      <c r="E14" s="45">
        <f>平成８年度!C14-平成８年度!G14-平成８年度!F14</f>
        <v>31331</v>
      </c>
      <c r="F14" s="46">
        <v>1519</v>
      </c>
      <c r="G14" s="47">
        <v>5235</v>
      </c>
      <c r="H14" s="48">
        <f>平成８年度!I14+平成８年度!L14</f>
        <v>76359</v>
      </c>
      <c r="I14" s="45">
        <f>平成８年度!J14+平成８年度!K14</f>
        <v>65672</v>
      </c>
      <c r="J14" s="46">
        <v>48769</v>
      </c>
      <c r="K14" s="49">
        <v>16903</v>
      </c>
      <c r="L14" s="45">
        <f>平成８年度!M14+平成８年度!N14</f>
        <v>10687</v>
      </c>
      <c r="M14" s="46">
        <v>7700</v>
      </c>
      <c r="N14" s="47">
        <v>2987</v>
      </c>
      <c r="O14" s="44">
        <v>101451</v>
      </c>
      <c r="P14" s="45">
        <v>290246</v>
      </c>
      <c r="Q14" s="47">
        <f>平成８年度!C14/平成８年度!O14</f>
        <v>0.37540290386492003</v>
      </c>
      <c r="R14" s="44">
        <f>平成８年度!H14/平成８年度!P14</f>
        <v>0.26308372897473176</v>
      </c>
      <c r="S14" s="46">
        <f>平成８年度!L14/平成８年度!H14</f>
        <v>0.13995730693173039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452</v>
      </c>
      <c r="C15" s="54">
        <v>38125</v>
      </c>
      <c r="D15" s="55">
        <f>平成８年度!E15+平成８年度!F15</f>
        <v>32844</v>
      </c>
      <c r="E15" s="55">
        <f>平成８年度!C15-平成８年度!G15-平成８年度!F15</f>
        <v>31312</v>
      </c>
      <c r="F15" s="56">
        <v>1532</v>
      </c>
      <c r="G15" s="57">
        <v>5281</v>
      </c>
      <c r="H15" s="58">
        <f>平成８年度!I15+平成８年度!L15</f>
        <v>76427</v>
      </c>
      <c r="I15" s="55">
        <f>平成８年度!J15+平成８年度!K15</f>
        <v>65636</v>
      </c>
      <c r="J15" s="56">
        <v>48642</v>
      </c>
      <c r="K15" s="59">
        <v>16994</v>
      </c>
      <c r="L15" s="55">
        <f>平成８年度!M15+平成８年度!N15</f>
        <v>10791</v>
      </c>
      <c r="M15" s="56">
        <v>7775</v>
      </c>
      <c r="N15" s="57">
        <v>3016</v>
      </c>
      <c r="O15" s="54">
        <v>101587</v>
      </c>
      <c r="P15" s="55">
        <v>290416</v>
      </c>
      <c r="Q15" s="57">
        <f>平成８年度!C15/平成８年度!O15</f>
        <v>0.3752940829043086</v>
      </c>
      <c r="R15" s="54">
        <f>平成８年度!H15/平成８年度!P15</f>
        <v>0.26316387526858026</v>
      </c>
      <c r="S15" s="56">
        <f>平成８年度!L15/平成８年度!H15</f>
        <v>0.14119355725070984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453</v>
      </c>
      <c r="C16" s="44">
        <v>38198</v>
      </c>
      <c r="D16" s="45">
        <f>平成８年度!E16+平成８年度!F16</f>
        <v>32906</v>
      </c>
      <c r="E16" s="45">
        <f>平成８年度!C16-平成８年度!G16-平成８年度!F16</f>
        <v>31370</v>
      </c>
      <c r="F16" s="46">
        <v>1536</v>
      </c>
      <c r="G16" s="47">
        <v>5292</v>
      </c>
      <c r="H16" s="48">
        <f>平成８年度!I16+平成８年度!L16</f>
        <v>76553</v>
      </c>
      <c r="I16" s="45">
        <f>平成８年度!J16+平成８年度!K16</f>
        <v>65743</v>
      </c>
      <c r="J16" s="46">
        <v>48684</v>
      </c>
      <c r="K16" s="49">
        <v>17059</v>
      </c>
      <c r="L16" s="45">
        <f>平成８年度!M16+平成８年度!N16</f>
        <v>10810</v>
      </c>
      <c r="M16" s="46">
        <v>7790</v>
      </c>
      <c r="N16" s="47">
        <v>3020</v>
      </c>
      <c r="O16" s="44">
        <v>101677</v>
      </c>
      <c r="P16" s="45">
        <v>290603</v>
      </c>
      <c r="Q16" s="47">
        <f>平成８年度!C16/平成８年度!O16</f>
        <v>0.37567984893338707</v>
      </c>
      <c r="R16" s="44">
        <f>平成８年度!H16/平成８年度!P16</f>
        <v>0.26342811326792909</v>
      </c>
      <c r="S16" s="46">
        <f>平成８年度!L16/平成８年度!H16</f>
        <v>0.14120935822240802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454</v>
      </c>
      <c r="C17" s="44">
        <v>38270</v>
      </c>
      <c r="D17" s="45">
        <f>平成８年度!E17+平成８年度!F17</f>
        <v>33002</v>
      </c>
      <c r="E17" s="45">
        <f>平成８年度!C17-平成８年度!G17-平成８年度!F17</f>
        <v>31462</v>
      </c>
      <c r="F17" s="46">
        <v>1540</v>
      </c>
      <c r="G17" s="47">
        <v>5268</v>
      </c>
      <c r="H17" s="58">
        <f>平成８年度!I17+平成８年度!L17</f>
        <v>76640</v>
      </c>
      <c r="I17" s="45">
        <f>平成８年度!J17+平成８年度!K17</f>
        <v>65868</v>
      </c>
      <c r="J17" s="46">
        <v>48796</v>
      </c>
      <c r="K17" s="49">
        <v>17072</v>
      </c>
      <c r="L17" s="45">
        <f>平成８年度!M17+平成８年度!N17</f>
        <v>10772</v>
      </c>
      <c r="M17" s="46">
        <v>7766</v>
      </c>
      <c r="N17" s="47">
        <v>3006</v>
      </c>
      <c r="O17" s="44">
        <v>101743</v>
      </c>
      <c r="P17" s="45">
        <v>290565</v>
      </c>
      <c r="Q17" s="47">
        <f>平成８年度!C17/平成８年度!O17</f>
        <v>0.37614381333359542</v>
      </c>
      <c r="R17" s="44">
        <f>平成８年度!H17/平成８年度!P17</f>
        <v>0.26376198096811387</v>
      </c>
      <c r="S17" s="46">
        <f>平成８年度!L17/平成８年度!H17</f>
        <v>0.14055323590814195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455</v>
      </c>
      <c r="C18" s="54">
        <v>38274</v>
      </c>
      <c r="D18" s="55">
        <f>平成８年度!E18+平成８年度!F18</f>
        <v>33037</v>
      </c>
      <c r="E18" s="55">
        <f>平成８年度!C18-平成８年度!G18-平成８年度!F18</f>
        <v>31489</v>
      </c>
      <c r="F18" s="56">
        <v>1548</v>
      </c>
      <c r="G18" s="57">
        <v>5237</v>
      </c>
      <c r="H18" s="58">
        <f>平成８年度!I18+平成８年度!L18</f>
        <v>76666</v>
      </c>
      <c r="I18" s="55">
        <f>平成８年度!J18+平成８年度!K18</f>
        <v>65936</v>
      </c>
      <c r="J18" s="56">
        <v>48753</v>
      </c>
      <c r="K18" s="59">
        <v>17183</v>
      </c>
      <c r="L18" s="55">
        <f>平成８年度!M18+平成８年度!N18</f>
        <v>10730</v>
      </c>
      <c r="M18" s="56">
        <v>7731</v>
      </c>
      <c r="N18" s="57">
        <v>2999</v>
      </c>
      <c r="O18" s="54">
        <v>101807</v>
      </c>
      <c r="P18" s="55">
        <v>290638</v>
      </c>
      <c r="Q18" s="57">
        <f>平成８年度!C18/平成８年度!O18</f>
        <v>0.37594664414038326</v>
      </c>
      <c r="R18" s="54">
        <f>平成８年度!H18/平成８年度!P18</f>
        <v>0.26378518982376703</v>
      </c>
      <c r="S18" s="56">
        <f>平成８年度!L18/平成８年度!H18</f>
        <v>0.13995773876294576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456</v>
      </c>
      <c r="C19" s="54">
        <v>38366</v>
      </c>
      <c r="D19" s="55">
        <f>平成８年度!E19+平成８年度!F19</f>
        <v>33145</v>
      </c>
      <c r="E19" s="55">
        <f>平成８年度!C19-平成８年度!G19-平成８年度!F19</f>
        <v>31596</v>
      </c>
      <c r="F19" s="56">
        <v>1549</v>
      </c>
      <c r="G19" s="57">
        <v>5221</v>
      </c>
      <c r="H19" s="58">
        <f>平成８年度!I19+平成８年度!L19</f>
        <v>76694</v>
      </c>
      <c r="I19" s="55">
        <f>平成８年度!J19+平成８年度!K19</f>
        <v>65984</v>
      </c>
      <c r="J19" s="56">
        <v>48708</v>
      </c>
      <c r="K19" s="59">
        <v>17276</v>
      </c>
      <c r="L19" s="55">
        <f>平成８年度!M19+平成８年度!N19</f>
        <v>10710</v>
      </c>
      <c r="M19" s="56">
        <v>7715</v>
      </c>
      <c r="N19" s="57">
        <v>2995</v>
      </c>
      <c r="O19" s="54">
        <v>101745</v>
      </c>
      <c r="P19" s="55">
        <v>290105</v>
      </c>
      <c r="Q19" s="57">
        <f>平成８年度!C19/平成８年度!O19</f>
        <v>0.37707995478893314</v>
      </c>
      <c r="R19" s="54">
        <f>平成８年度!H19/平成８年度!P19</f>
        <v>0.26436635011461368</v>
      </c>
      <c r="S19" s="56">
        <f>平成８年度!L19/平成８年度!H19</f>
        <v>0.13964586538712284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457</v>
      </c>
      <c r="C20" s="48">
        <f>SUM(平成８年度!C8:C19)</f>
        <v>455371</v>
      </c>
      <c r="D20" s="45">
        <f>SUM(平成８年度!D8:D19)</f>
        <v>392768</v>
      </c>
      <c r="E20" s="79">
        <f>SUM(平成８年度!E8:E19)</f>
        <v>374362</v>
      </c>
      <c r="F20" s="79">
        <f>SUM(平成８年度!F8:F19)</f>
        <v>18406</v>
      </c>
      <c r="G20" s="80">
        <f>SUM(平成８年度!G8:G19)</f>
        <v>62603</v>
      </c>
      <c r="H20" s="48">
        <f>SUM(平成８年度!H8:H19)</f>
        <v>914620</v>
      </c>
      <c r="I20" s="45">
        <f>SUM(平成８年度!I8:I19)</f>
        <v>786524</v>
      </c>
      <c r="J20" s="79">
        <f>SUM(平成８年度!J8:J19)</f>
        <v>584831</v>
      </c>
      <c r="K20" s="79">
        <f>SUM(平成８年度!K8:K19)</f>
        <v>201693</v>
      </c>
      <c r="L20" s="79">
        <f>SUM(平成８年度!L8:L19)</f>
        <v>128096</v>
      </c>
      <c r="M20" s="79">
        <f>SUM(平成８年度!M8:M19)</f>
        <v>92412</v>
      </c>
      <c r="N20" s="80">
        <f>SUM(平成８年度!N8:N19)</f>
        <v>35684</v>
      </c>
      <c r="O20" s="48">
        <f>SUM(平成８年度!O8:O19)</f>
        <v>1215939</v>
      </c>
      <c r="P20" s="45">
        <f>SUM(平成８年度!P8:P19)</f>
        <v>3481094</v>
      </c>
      <c r="Q20" s="80">
        <f>平成８年度!C20/平成８年度!O20</f>
        <v>0.37450151693464884</v>
      </c>
      <c r="R20" s="48">
        <f>平成８年度!H20/平成８年度!P20</f>
        <v>0.26273924231865042</v>
      </c>
      <c r="S20" s="45">
        <f>平成８年度!L20/平成８年度!H20</f>
        <v>0.14005379283199579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458</v>
      </c>
      <c r="C21" s="48">
        <f>IF(平成８年度!C15=0,平成８年度!C20/7,IF(平成８年度!C16=0,平成８年度!C20/8,IF(平成８年度!C17=0,平成８年度!C20/9,IF(平成８年度!C18=0,平成８年度!C20/10,IF(平成８年度!C19=0,平成８年度!C20/11,IF(平成８年度!C19&gt;0,平成８年度!C20/12,""))))))</f>
        <v>37947.583333333336</v>
      </c>
      <c r="D21" s="45">
        <f>IF(平成８年度!D15=0,平成８年度!D20/7,IF(平成８年度!D16=0,平成８年度!D20/8,IF(平成８年度!D17=0,平成８年度!D20/9,IF(平成８年度!D18=0,平成８年度!D20/10,IF(平成８年度!D19=0,平成８年度!D20/11,IF(平成８年度!D19&gt;0,平成８年度!D20/12,""))))))</f>
        <v>32730.666666666668</v>
      </c>
      <c r="E21" s="79">
        <f>IF(平成８年度!E15=0,平成８年度!E20/7,IF(平成８年度!E16=0,平成８年度!E20/8,IF(平成８年度!E17=0,平成８年度!E20/9,IF(平成８年度!E18=0,平成８年度!E20/10,IF(平成８年度!E19=0,平成８年度!E20/11,IF(平成８年度!E19&gt;0,平成８年度!E20/12,""))))))</f>
        <v>31196.833333333332</v>
      </c>
      <c r="F21" s="79">
        <f>IF(平成８年度!F15=0,平成８年度!F20/7,IF(平成８年度!F16=0,平成８年度!F20/8,IF(平成８年度!F17=0,平成８年度!F20/9,IF(平成８年度!F18=0,平成８年度!F20/10,IF(平成８年度!F19=0,平成８年度!F20/11,IF(平成８年度!F19&gt;0,平成８年度!F20/12,""))))))</f>
        <v>1533.8333333333333</v>
      </c>
      <c r="G21" s="80">
        <f>IF(平成８年度!G15=0,平成８年度!G20/7,IF(平成８年度!G16=0,平成８年度!G20/8,IF(平成８年度!G17=0,平成８年度!G20/9,IF(平成８年度!G18=0,平成８年度!G20/10,IF(平成８年度!G19=0,平成８年度!G20/11,IF(平成８年度!G19&gt;0,平成８年度!G20/12,""))))))</f>
        <v>5216.916666666667</v>
      </c>
      <c r="H21" s="48">
        <f>IF(平成８年度!H15=0,平成８年度!H20/7,IF(平成８年度!H16=0,平成８年度!H20/8,IF(平成８年度!H17=0,平成８年度!H20/9,IF(平成８年度!H18=0,平成８年度!H20/10,IF(平成８年度!H19=0,平成８年度!H20/11,IF(平成８年度!H19&gt;0,平成８年度!H20/12,""))))))</f>
        <v>76218.333333333328</v>
      </c>
      <c r="I21" s="45">
        <f>IF(平成８年度!I15=0,平成８年度!I20/7,IF(平成８年度!I16=0,平成８年度!I20/8,IF(平成８年度!I17=0,平成８年度!I20/9,IF(平成８年度!I18=0,平成８年度!I20/10,IF(平成８年度!I19=0,平成８年度!I20/11,IF(平成８年度!I19&gt;0,平成８年度!I20/12,""))))))</f>
        <v>65543.666666666672</v>
      </c>
      <c r="J21" s="79">
        <f>IF(平成８年度!J15=0,平成８年度!J20/7,IF(平成８年度!J16=0,平成８年度!J20/8,IF(平成８年度!J17=0,平成８年度!J20/9,IF(平成８年度!J18=0,平成８年度!J20/10,IF(平成８年度!J19=0,平成８年度!J20/11,IF(平成８年度!J19&gt;0,平成８年度!J20/12,""))))))</f>
        <v>48735.916666666664</v>
      </c>
      <c r="K21" s="79">
        <f>IF(平成８年度!K15=0,平成８年度!K20/7,IF(平成８年度!K16=0,平成８年度!K20/8,IF(平成８年度!K17=0,平成８年度!K20/9,IF(平成８年度!K18=0,平成８年度!K20/10,IF(平成８年度!K19=0,平成８年度!K20/11,IF(平成８年度!K19&gt;0,平成８年度!K20/12,""))))))</f>
        <v>16807.75</v>
      </c>
      <c r="L21" s="79">
        <f>IF(平成８年度!L15=0,平成８年度!L20/7,IF(平成８年度!L16=0,平成８年度!L20/8,IF(平成８年度!L17=0,平成８年度!L20/9,IF(平成８年度!L18=0,平成８年度!L20/10,IF(平成８年度!L19=0,平成８年度!L20/11,IF(平成８年度!L19&gt;0,平成８年度!L20/12,""))))))</f>
        <v>10674.666666666666</v>
      </c>
      <c r="M21" s="79">
        <f>IF(平成８年度!M15=0,平成８年度!M20/7,IF(平成８年度!M16=0,平成８年度!M20/8,IF(平成８年度!M17=0,平成８年度!M20/9,IF(平成８年度!M18=0,平成８年度!M20/10,IF(平成８年度!M19=0,平成８年度!M20/11,IF(平成８年度!M19&gt;0,平成８年度!M20/12,""))))))</f>
        <v>7701</v>
      </c>
      <c r="N21" s="80">
        <f>IF(平成８年度!N15=0,平成８年度!N20/7,IF(平成８年度!N16=0,平成８年度!N20/8,IF(平成８年度!N17=0,平成８年度!N20/9,IF(平成８年度!N18=0,平成８年度!N20/10,IF(平成８年度!N19=0,平成８年度!N20/11,IF(平成８年度!N19&gt;0,平成８年度!N20/12,""))))))</f>
        <v>2973.6666666666665</v>
      </c>
      <c r="O21" s="48">
        <f>IF(平成８年度!O15=0,平成８年度!O20/7,IF(平成８年度!O16=0,平成８年度!O20/8,IF(平成８年度!O17=0,平成８年度!O20/9,IF(平成８年度!O18=0,平成８年度!O20/10,IF(平成８年度!O19=0,平成８年度!O20/11,IF(平成８年度!O19&gt;0,平成８年度!O20/12,""))))))</f>
        <v>101328.25</v>
      </c>
      <c r="P21" s="45">
        <f>IF(平成８年度!P15=0,平成８年度!P20/7,IF(平成８年度!P16=0,平成８年度!P20/8,IF(平成８年度!P17=0,平成８年度!P20/9,IF(平成８年度!P18=0,平成８年度!P20/10,IF(平成８年度!P19=0,平成８年度!P20/11,IF(平成８年度!P19&gt;0,平成８年度!P20/12,""))))))</f>
        <v>290091.16666666669</v>
      </c>
      <c r="Q21" s="80">
        <f>平成８年度!C21/平成８年度!O21</f>
        <v>0.37450151693464889</v>
      </c>
      <c r="R21" s="48">
        <f>平成８年度!H21/平成８年度!P21</f>
        <v>0.26273924231865037</v>
      </c>
      <c r="S21" s="45">
        <f>平成８年度!L21/平成８年度!H21</f>
        <v>0.14005379283199582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 t="s">
        <v>459</v>
      </c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460</v>
      </c>
      <c r="C23" s="48">
        <f>平成８年度!C8</f>
        <v>37416</v>
      </c>
      <c r="D23" s="45">
        <f>平成８年度!D8</f>
        <v>32280</v>
      </c>
      <c r="E23" s="79">
        <f>平成８年度!E8</f>
        <v>30761</v>
      </c>
      <c r="F23" s="79">
        <f>平成８年度!F8</f>
        <v>1519</v>
      </c>
      <c r="G23" s="80">
        <f>平成８年度!G8</f>
        <v>5136</v>
      </c>
      <c r="H23" s="48">
        <f>平成８年度!H8</f>
        <v>75663</v>
      </c>
      <c r="I23" s="45">
        <f>平成８年度!I8</f>
        <v>65135</v>
      </c>
      <c r="J23" s="79">
        <f>平成８年度!J8</f>
        <v>48807</v>
      </c>
      <c r="K23" s="79">
        <f>平成８年度!K8</f>
        <v>16328</v>
      </c>
      <c r="L23" s="79">
        <f>平成８年度!L8</f>
        <v>10528</v>
      </c>
      <c r="M23" s="79">
        <f>平成８年度!M8</f>
        <v>7595</v>
      </c>
      <c r="N23" s="80">
        <f>平成８年度!N8</f>
        <v>2933</v>
      </c>
      <c r="O23" s="48">
        <f>平成８年度!O8</f>
        <v>100509</v>
      </c>
      <c r="P23" s="45">
        <f>平成８年度!P8</f>
        <v>289235</v>
      </c>
      <c r="Q23" s="80">
        <f>平成８年度!C23/平成８年度!O23</f>
        <v>0.37226517028325823</v>
      </c>
      <c r="R23" s="48">
        <f>平成８年度!H23/平成８年度!P23</f>
        <v>0.26159697132089821</v>
      </c>
      <c r="S23" s="45">
        <f>平成８年度!L23/平成８年度!H23</f>
        <v>0.13914330650383938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461</v>
      </c>
      <c r="C24" s="58">
        <f>SUM(平成８年度!C8:C9)</f>
        <v>74918</v>
      </c>
      <c r="D24" s="55">
        <f>SUM(平成８年度!D8:D9)</f>
        <v>64648</v>
      </c>
      <c r="E24" s="89">
        <f>SUM(平成８年度!E8:E9)</f>
        <v>61613</v>
      </c>
      <c r="F24" s="89">
        <f>SUM(平成８年度!F8:F9)</f>
        <v>3035</v>
      </c>
      <c r="G24" s="90">
        <f>SUM(平成８年度!G8:G9)</f>
        <v>10270</v>
      </c>
      <c r="H24" s="58">
        <f>SUM(平成８年度!H8:H9)</f>
        <v>151319</v>
      </c>
      <c r="I24" s="55">
        <f>SUM(平成８年度!I8:I9)</f>
        <v>130267</v>
      </c>
      <c r="J24" s="89">
        <f>SUM(平成８年度!J8:J9)</f>
        <v>97531</v>
      </c>
      <c r="K24" s="89">
        <f>SUM(平成８年度!K8:K9)</f>
        <v>32736</v>
      </c>
      <c r="L24" s="89">
        <f>SUM(平成８年度!L8:L9)</f>
        <v>21052</v>
      </c>
      <c r="M24" s="89">
        <f>SUM(平成８年度!M8:M9)</f>
        <v>15180</v>
      </c>
      <c r="N24" s="90">
        <f>SUM(平成８年度!N8:N9)</f>
        <v>5872</v>
      </c>
      <c r="O24" s="58">
        <f>SUM(平成８年度!O8:O9)</f>
        <v>201301</v>
      </c>
      <c r="P24" s="55">
        <f>SUM(平成８年度!P8:P9)</f>
        <v>578731</v>
      </c>
      <c r="Q24" s="90">
        <f>平成８年度!C24/平成８年度!O24</f>
        <v>0.37216904039224841</v>
      </c>
      <c r="R24" s="58">
        <f>平成８年度!H24/平成８年度!P24</f>
        <v>0.26146689912930188</v>
      </c>
      <c r="S24" s="55">
        <f>平成８年度!L24/平成８年度!H24</f>
        <v>0.13912330903587786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462</v>
      </c>
      <c r="C25" s="58">
        <f>SUM(平成８年度!C8:C10)</f>
        <v>112512</v>
      </c>
      <c r="D25" s="55">
        <f>SUM(平成８年度!D8:D10)</f>
        <v>97062</v>
      </c>
      <c r="E25" s="89">
        <f>SUM(平成８年度!E8:E10)</f>
        <v>92489</v>
      </c>
      <c r="F25" s="89">
        <f>SUM(平成８年度!F8:F10)</f>
        <v>4573</v>
      </c>
      <c r="G25" s="90">
        <f>SUM(平成８年度!G8:G10)</f>
        <v>15450</v>
      </c>
      <c r="H25" s="58">
        <f>SUM(平成８年度!H8:H10)</f>
        <v>227072</v>
      </c>
      <c r="I25" s="55">
        <f>SUM(平成８年度!I8:I10)</f>
        <v>195415</v>
      </c>
      <c r="J25" s="89">
        <f>SUM(平成８年度!J8:J10)</f>
        <v>146192</v>
      </c>
      <c r="K25" s="89">
        <f>SUM(平成８年度!K8:K10)</f>
        <v>49223</v>
      </c>
      <c r="L25" s="89">
        <f>SUM(平成８年度!L8:L10)</f>
        <v>31657</v>
      </c>
      <c r="M25" s="89">
        <f>SUM(平成８年度!M8:M10)</f>
        <v>22850</v>
      </c>
      <c r="N25" s="90">
        <f>SUM(平成８年度!N8:N10)</f>
        <v>8807</v>
      </c>
      <c r="O25" s="58">
        <f>SUM(平成８年度!O8:O10)</f>
        <v>302283</v>
      </c>
      <c r="P25" s="55">
        <f>SUM(平成８年度!P8:P10)</f>
        <v>868476</v>
      </c>
      <c r="Q25" s="90">
        <f>平成８年度!C25/平成８年度!O25</f>
        <v>0.37220750091801391</v>
      </c>
      <c r="R25" s="58">
        <f>平成８年度!H25/平成８年度!P25</f>
        <v>0.26146030517826629</v>
      </c>
      <c r="S25" s="55">
        <f>平成８年度!L25/平成８年度!H25</f>
        <v>0.13941393038331454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463</v>
      </c>
      <c r="C26" s="58">
        <f>SUM(平成８年度!C8:C11)</f>
        <v>150248</v>
      </c>
      <c r="D26" s="55">
        <f>SUM(平成８年度!D8:D11)</f>
        <v>129580</v>
      </c>
      <c r="E26" s="89">
        <f>SUM(平成８年度!E8:E11)</f>
        <v>123464</v>
      </c>
      <c r="F26" s="89">
        <f>SUM(平成８年度!F8:F11)</f>
        <v>6116</v>
      </c>
      <c r="G26" s="90">
        <f>SUM(平成８年度!G8:G11)</f>
        <v>20668</v>
      </c>
      <c r="H26" s="58">
        <f>SUM(平成８年度!H8:H11)</f>
        <v>302988</v>
      </c>
      <c r="I26" s="55">
        <f>SUM(平成８年度!I8:I11)</f>
        <v>260655</v>
      </c>
      <c r="J26" s="89">
        <f>SUM(平成８年度!J8:J11)</f>
        <v>194869</v>
      </c>
      <c r="K26" s="89">
        <f>SUM(平成８年度!K8:K11)</f>
        <v>65786</v>
      </c>
      <c r="L26" s="89">
        <f>SUM(平成８年度!L8:L11)</f>
        <v>42333</v>
      </c>
      <c r="M26" s="89">
        <f>SUM(平成８年度!M8:M11)</f>
        <v>30568</v>
      </c>
      <c r="N26" s="90">
        <f>SUM(平成８年度!N8:N11)</f>
        <v>11765</v>
      </c>
      <c r="O26" s="58">
        <f>SUM(平成８年度!O8:O11)</f>
        <v>403434</v>
      </c>
      <c r="P26" s="55">
        <f>SUM(平成８年度!P8:P11)</f>
        <v>1158423</v>
      </c>
      <c r="Q26" s="90">
        <f>平成８年度!C26/平成８年度!O26</f>
        <v>0.37242275068536612</v>
      </c>
      <c r="R26" s="58">
        <f>平成８年度!H26/平成８年度!P26</f>
        <v>0.261552127331726</v>
      </c>
      <c r="S26" s="55">
        <f>平成８年度!L26/平成８年度!H26</f>
        <v>0.13971840468929461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464</v>
      </c>
      <c r="C27" s="58">
        <f>SUM(平成８年度!C8:C12)</f>
        <v>188114</v>
      </c>
      <c r="D27" s="55">
        <f>SUM(平成８年度!D8:D12)</f>
        <v>162248</v>
      </c>
      <c r="E27" s="89">
        <f>SUM(平成８年度!E8:E12)</f>
        <v>154590</v>
      </c>
      <c r="F27" s="89">
        <f>SUM(平成８年度!F8:F12)</f>
        <v>7658</v>
      </c>
      <c r="G27" s="90">
        <f>SUM(平成８年度!G8:G12)</f>
        <v>25866</v>
      </c>
      <c r="H27" s="58">
        <f>SUM(平成８年度!H8:H12)</f>
        <v>379110</v>
      </c>
      <c r="I27" s="55">
        <f>SUM(平成８年度!I8:I12)</f>
        <v>326142</v>
      </c>
      <c r="J27" s="89">
        <f>SUM(平成８年度!J8:J12)</f>
        <v>243700</v>
      </c>
      <c r="K27" s="89">
        <f>SUM(平成８年度!K8:K12)</f>
        <v>82442</v>
      </c>
      <c r="L27" s="89">
        <f>SUM(平成８年度!L8:L12)</f>
        <v>52968</v>
      </c>
      <c r="M27" s="89">
        <f>SUM(平成８年度!M8:M12)</f>
        <v>38260</v>
      </c>
      <c r="N27" s="90">
        <f>SUM(平成８年度!N8:N12)</f>
        <v>14708</v>
      </c>
      <c r="O27" s="58">
        <f>SUM(平成８年度!O8:O12)</f>
        <v>504672</v>
      </c>
      <c r="P27" s="55">
        <f>SUM(平成８年度!P8:P12)</f>
        <v>1448463</v>
      </c>
      <c r="Q27" s="90">
        <f>平成８年度!C27/平成８年度!O27</f>
        <v>0.37274507006530977</v>
      </c>
      <c r="R27" s="58">
        <f>平成８年度!H27/平成８年度!P27</f>
        <v>0.26173260897931117</v>
      </c>
      <c r="S27" s="55">
        <f>平成８年度!L27/平成８年度!H27</f>
        <v>0.13971670491414101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465</v>
      </c>
      <c r="C28" s="58">
        <f>SUM(平成８年度!C8:C13)</f>
        <v>226053</v>
      </c>
      <c r="D28" s="55">
        <f>SUM(平成８年度!D8:D13)</f>
        <v>194984</v>
      </c>
      <c r="E28" s="89">
        <f>SUM(平成８年度!E8:E13)</f>
        <v>185802</v>
      </c>
      <c r="F28" s="89">
        <f>SUM(平成８年度!F8:F13)</f>
        <v>9182</v>
      </c>
      <c r="G28" s="90">
        <f>SUM(平成８年度!G8:G13)</f>
        <v>31069</v>
      </c>
      <c r="H28" s="58">
        <f>SUM(平成８年度!H8:H13)</f>
        <v>455281</v>
      </c>
      <c r="I28" s="55">
        <f>SUM(平成８年度!I8:I13)</f>
        <v>391685</v>
      </c>
      <c r="J28" s="89">
        <f>SUM(平成８年度!J8:J13)</f>
        <v>292479</v>
      </c>
      <c r="K28" s="89">
        <f>SUM(平成８年度!K8:K13)</f>
        <v>99206</v>
      </c>
      <c r="L28" s="89">
        <f>SUM(平成８年度!L8:L13)</f>
        <v>63596</v>
      </c>
      <c r="M28" s="89">
        <f>SUM(平成８年度!M8:M13)</f>
        <v>45935</v>
      </c>
      <c r="N28" s="90">
        <f>SUM(平成８年度!N8:N13)</f>
        <v>17661</v>
      </c>
      <c r="O28" s="58">
        <f>SUM(平成８年度!O8:O13)</f>
        <v>605929</v>
      </c>
      <c r="P28" s="55">
        <f>SUM(平成８年度!P8:P13)</f>
        <v>1738521</v>
      </c>
      <c r="Q28" s="90">
        <f>平成８年度!C28/平成８年度!O28</f>
        <v>0.37306846181648345</v>
      </c>
      <c r="R28" s="58">
        <f>平成８年度!H28/平成８年度!P28</f>
        <v>0.26187834371859758</v>
      </c>
      <c r="S28" s="55">
        <f>平成８年度!L28/平成８年度!H28</f>
        <v>0.13968516147170648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466</v>
      </c>
      <c r="C29" s="58">
        <f>SUM(平成８年度!C8:C14)</f>
        <v>264138</v>
      </c>
      <c r="D29" s="55">
        <f>SUM(平成８年度!D8:D14)</f>
        <v>227834</v>
      </c>
      <c r="E29" s="89">
        <f>SUM(平成８年度!E8:E14)</f>
        <v>217133</v>
      </c>
      <c r="F29" s="89">
        <f>SUM(平成８年度!F8:F14)</f>
        <v>10701</v>
      </c>
      <c r="G29" s="90">
        <f>SUM(平成８年度!G8:G14)</f>
        <v>36304</v>
      </c>
      <c r="H29" s="58">
        <f>SUM(平成８年度!H8:H14)</f>
        <v>531640</v>
      </c>
      <c r="I29" s="55">
        <f>SUM(平成８年度!I8:I14)</f>
        <v>457357</v>
      </c>
      <c r="J29" s="89">
        <f>SUM(平成８年度!J8:J14)</f>
        <v>341248</v>
      </c>
      <c r="K29" s="89">
        <f>SUM(平成８年度!K8:K14)</f>
        <v>116109</v>
      </c>
      <c r="L29" s="89">
        <f>SUM(平成８年度!L8:L14)</f>
        <v>74283</v>
      </c>
      <c r="M29" s="89">
        <f>SUM(平成８年度!M8:M14)</f>
        <v>53635</v>
      </c>
      <c r="N29" s="90">
        <f>SUM(平成８年度!N8:N14)</f>
        <v>20648</v>
      </c>
      <c r="O29" s="58">
        <f>SUM(平成８年度!O8:O14)</f>
        <v>707380</v>
      </c>
      <c r="P29" s="55">
        <f>SUM(平成８年度!P8:P14)</f>
        <v>2028767</v>
      </c>
      <c r="Q29" s="90">
        <f>平成８年度!C29/平成８年度!O29</f>
        <v>0.37340326274421104</v>
      </c>
      <c r="R29" s="58">
        <f>平成８年度!H29/平成８年度!P29</f>
        <v>0.26205079242712448</v>
      </c>
      <c r="S29" s="55">
        <f>平成８年度!L29/平成８年度!H29</f>
        <v>0.13972424949213755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467</v>
      </c>
      <c r="C30" s="58">
        <f>SUM(平成８年度!C8:C15)</f>
        <v>302263</v>
      </c>
      <c r="D30" s="55">
        <f>SUM(平成８年度!D8:D15)</f>
        <v>260678</v>
      </c>
      <c r="E30" s="89">
        <f>SUM(平成８年度!E8:E15)</f>
        <v>248445</v>
      </c>
      <c r="F30" s="89">
        <f>SUM(平成８年度!F8:F15)</f>
        <v>12233</v>
      </c>
      <c r="G30" s="90">
        <f>SUM(平成８年度!G8:G15)</f>
        <v>41585</v>
      </c>
      <c r="H30" s="58">
        <f>SUM(平成８年度!H8:H15)</f>
        <v>608067</v>
      </c>
      <c r="I30" s="55">
        <f>SUM(平成８年度!I8:I15)</f>
        <v>522993</v>
      </c>
      <c r="J30" s="89">
        <f>SUM(平成８年度!J8:J15)</f>
        <v>389890</v>
      </c>
      <c r="K30" s="89">
        <f>SUM(平成８年度!K8:K15)</f>
        <v>133103</v>
      </c>
      <c r="L30" s="89">
        <f>SUM(平成８年度!L8:L15)</f>
        <v>85074</v>
      </c>
      <c r="M30" s="89">
        <f>SUM(平成８年度!M8:M15)</f>
        <v>61410</v>
      </c>
      <c r="N30" s="90">
        <f>SUM(平成８年度!N8:N15)</f>
        <v>23664</v>
      </c>
      <c r="O30" s="58">
        <f>SUM(平成８年度!O8:O15)</f>
        <v>808967</v>
      </c>
      <c r="P30" s="55">
        <f>SUM(平成８年度!P8:P15)</f>
        <v>2319183</v>
      </c>
      <c r="Q30" s="90">
        <f>平成８年度!C30/平成８年度!O30</f>
        <v>0.37364070475062644</v>
      </c>
      <c r="R30" s="58">
        <f>平成８年度!H30/平成８年度!P30</f>
        <v>0.2621901764543807</v>
      </c>
      <c r="S30" s="55">
        <f>平成８年度!L30/平成８年度!H30</f>
        <v>0.13990892450996353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468</v>
      </c>
      <c r="C31" s="58">
        <f>SUM(平成８年度!C8:C16)</f>
        <v>340461</v>
      </c>
      <c r="D31" s="55">
        <f>SUM(平成８年度!D8:D16)</f>
        <v>293584</v>
      </c>
      <c r="E31" s="89">
        <f>SUM(平成８年度!E8:E16)</f>
        <v>279815</v>
      </c>
      <c r="F31" s="89">
        <f>SUM(平成８年度!F8:F16)</f>
        <v>13769</v>
      </c>
      <c r="G31" s="90">
        <f>SUM(平成８年度!G8:G16)</f>
        <v>46877</v>
      </c>
      <c r="H31" s="58">
        <f>SUM(平成８年度!H8:H16)</f>
        <v>684620</v>
      </c>
      <c r="I31" s="55">
        <f>SUM(平成８年度!I8:I16)</f>
        <v>588736</v>
      </c>
      <c r="J31" s="89">
        <f>SUM(平成８年度!J8:J16)</f>
        <v>438574</v>
      </c>
      <c r="K31" s="89">
        <f>SUM(平成８年度!K8:K16)</f>
        <v>150162</v>
      </c>
      <c r="L31" s="89">
        <f>SUM(平成８年度!L8:L16)</f>
        <v>95884</v>
      </c>
      <c r="M31" s="89">
        <f>SUM(平成８年度!M8:M16)</f>
        <v>69200</v>
      </c>
      <c r="N31" s="90">
        <f>SUM(平成８年度!N8:N16)</f>
        <v>26684</v>
      </c>
      <c r="O31" s="58">
        <f>SUM(平成８年度!O8:O16)</f>
        <v>910644</v>
      </c>
      <c r="P31" s="55">
        <f>SUM(平成８年度!P8:P16)</f>
        <v>2609786</v>
      </c>
      <c r="Q31" s="90">
        <f>平成８年度!C31/平成８年度!O31</f>
        <v>0.37386838325404881</v>
      </c>
      <c r="R31" s="58">
        <f>平成８年度!H31/平成８年度!P31</f>
        <v>0.26232802229761365</v>
      </c>
      <c r="S31" s="55">
        <f>平成８年度!L31/平成８年度!H31</f>
        <v>0.14005433671233677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469</v>
      </c>
      <c r="C32" s="58">
        <f>SUM(平成８年度!C8:C17)</f>
        <v>378731</v>
      </c>
      <c r="D32" s="55">
        <f>SUM(平成８年度!D8:D17)</f>
        <v>326586</v>
      </c>
      <c r="E32" s="89">
        <f>SUM(平成８年度!E8:E17)</f>
        <v>311277</v>
      </c>
      <c r="F32" s="89">
        <f>SUM(平成８年度!F8:F17)</f>
        <v>15309</v>
      </c>
      <c r="G32" s="90">
        <f>SUM(平成８年度!G8:G17)</f>
        <v>52145</v>
      </c>
      <c r="H32" s="58">
        <f>SUM(平成８年度!H8:H17)</f>
        <v>761260</v>
      </c>
      <c r="I32" s="55">
        <f>SUM(平成８年度!I8:I17)</f>
        <v>654604</v>
      </c>
      <c r="J32" s="89">
        <f>SUM(平成８年度!J8:J17)</f>
        <v>487370</v>
      </c>
      <c r="K32" s="89">
        <f>SUM(平成８年度!K8:K17)</f>
        <v>167234</v>
      </c>
      <c r="L32" s="89">
        <f>SUM(平成８年度!L8:L17)</f>
        <v>106656</v>
      </c>
      <c r="M32" s="89">
        <f>SUM(平成８年度!M8:M17)</f>
        <v>76966</v>
      </c>
      <c r="N32" s="90">
        <f>SUM(平成８年度!N8:N17)</f>
        <v>29690</v>
      </c>
      <c r="O32" s="58">
        <f>SUM(平成８年度!O8:O17)</f>
        <v>1012387</v>
      </c>
      <c r="P32" s="55">
        <f>SUM(平成８年度!P8:P17)</f>
        <v>2900351</v>
      </c>
      <c r="Q32" s="90">
        <f>平成８年度!C32/平成８年度!O32</f>
        <v>0.37409705972123308</v>
      </c>
      <c r="R32" s="58">
        <f>平成８年度!H32/平成８年度!P32</f>
        <v>0.2624716801518161</v>
      </c>
      <c r="S32" s="55">
        <f>平成８年度!L32/平成８年度!H32</f>
        <v>0.14010456348685074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470</v>
      </c>
      <c r="C33" s="58">
        <f>SUM(平成８年度!C8:C18)</f>
        <v>417005</v>
      </c>
      <c r="D33" s="55">
        <f>SUM(平成８年度!D8:D18)</f>
        <v>359623</v>
      </c>
      <c r="E33" s="89">
        <f>SUM(平成８年度!E8:E18)</f>
        <v>342766</v>
      </c>
      <c r="F33" s="89">
        <f>SUM(平成８年度!F8:F18)</f>
        <v>16857</v>
      </c>
      <c r="G33" s="90">
        <f>SUM(平成８年度!G8:G18)</f>
        <v>57382</v>
      </c>
      <c r="H33" s="58">
        <f>SUM(平成８年度!H8:H18)</f>
        <v>837926</v>
      </c>
      <c r="I33" s="55">
        <f>SUM(平成８年度!I8:I18)</f>
        <v>720540</v>
      </c>
      <c r="J33" s="89">
        <f>SUM(平成８年度!J8:J18)</f>
        <v>536123</v>
      </c>
      <c r="K33" s="89">
        <f>SUM(平成８年度!K8:K18)</f>
        <v>184417</v>
      </c>
      <c r="L33" s="89">
        <f>SUM(平成８年度!L8:L18)</f>
        <v>117386</v>
      </c>
      <c r="M33" s="89">
        <f>SUM(平成８年度!M8:M18)</f>
        <v>84697</v>
      </c>
      <c r="N33" s="90">
        <f>SUM(平成８年度!N8:N18)</f>
        <v>32689</v>
      </c>
      <c r="O33" s="58">
        <f>SUM(平成８年度!O8:O18)</f>
        <v>1114194</v>
      </c>
      <c r="P33" s="55">
        <f>SUM(平成８年度!P8:P18)</f>
        <v>3190989</v>
      </c>
      <c r="Q33" s="90">
        <f>平成８年度!C33/平成８年度!O33</f>
        <v>0.37426606138607821</v>
      </c>
      <c r="R33" s="58">
        <f>平成８年度!H33/平成８年度!P33</f>
        <v>0.26259131573314731</v>
      </c>
      <c r="S33" s="55">
        <f>平成８年度!L33/平成８年度!H33</f>
        <v>0.14009112976563562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471</v>
      </c>
      <c r="C34" s="58">
        <f>SUM(平成８年度!C8:C19)</f>
        <v>455371</v>
      </c>
      <c r="D34" s="55">
        <f>SUM(平成８年度!D8:D19)</f>
        <v>392768</v>
      </c>
      <c r="E34" s="89">
        <f>SUM(平成８年度!E8:E19)</f>
        <v>374362</v>
      </c>
      <c r="F34" s="89">
        <f>SUM(平成８年度!F8:F19)</f>
        <v>18406</v>
      </c>
      <c r="G34" s="90">
        <f>SUM(平成８年度!G8:G19)</f>
        <v>62603</v>
      </c>
      <c r="H34" s="58">
        <f>SUM(平成８年度!H8:H19)</f>
        <v>914620</v>
      </c>
      <c r="I34" s="55">
        <f>SUM(平成８年度!I8:I19)</f>
        <v>786524</v>
      </c>
      <c r="J34" s="89">
        <f>SUM(平成８年度!J8:J19)</f>
        <v>584831</v>
      </c>
      <c r="K34" s="89">
        <f>SUM(平成８年度!K8:K19)</f>
        <v>201693</v>
      </c>
      <c r="L34" s="89">
        <f>SUM(平成８年度!L8:L19)</f>
        <v>128096</v>
      </c>
      <c r="M34" s="89">
        <f>SUM(平成８年度!M8:M19)</f>
        <v>92412</v>
      </c>
      <c r="N34" s="90">
        <f>SUM(平成８年度!N8:N19)</f>
        <v>35684</v>
      </c>
      <c r="O34" s="58">
        <f>SUM(平成８年度!O8:O19)</f>
        <v>1215939</v>
      </c>
      <c r="P34" s="55">
        <f>SUM(平成８年度!P8:P19)</f>
        <v>3481094</v>
      </c>
      <c r="Q34" s="90">
        <f>平成８年度!C34/平成８年度!O34</f>
        <v>0.37450151693464884</v>
      </c>
      <c r="R34" s="58">
        <f>平成８年度!H34/平成８年度!P34</f>
        <v>0.26273924231865042</v>
      </c>
      <c r="S34" s="55">
        <f>平成８年度!L34/平成８年度!H34</f>
        <v>0.14005379283199579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472</v>
      </c>
      <c r="C35" s="92">
        <f>平成7年度!C19+SUM(平成８年度!C8:C18)</f>
        <v>454113</v>
      </c>
      <c r="D35" s="93">
        <f>平成7年度!D19+SUM(平成８年度!D8:D18)</f>
        <v>391748</v>
      </c>
      <c r="E35" s="94">
        <f>平成7年度!E19+SUM(平成８年度!E8:E18)</f>
        <v>373389</v>
      </c>
      <c r="F35" s="94">
        <f>平成7年度!F19+SUM(平成８年度!F8:F18)</f>
        <v>18359</v>
      </c>
      <c r="G35" s="95">
        <f>平成7年度!G19+SUM(平成８年度!G8:G18)</f>
        <v>62365</v>
      </c>
      <c r="H35" s="92">
        <f>平成7年度!H19+SUM(平成８年度!H8:H18)</f>
        <v>913229</v>
      </c>
      <c r="I35" s="93">
        <f>平成7年度!I19+SUM(平成８年度!I8:I18)</f>
        <v>785624</v>
      </c>
      <c r="J35" s="94">
        <f>平成7年度!J19+SUM(平成８年度!J8:J18)</f>
        <v>585049</v>
      </c>
      <c r="K35" s="94">
        <f>平成7年度!K19+SUM(平成８年度!K8:K18)</f>
        <v>200575</v>
      </c>
      <c r="L35" s="94">
        <f>平成7年度!L19+SUM(平成８年度!L8:L18)</f>
        <v>127605</v>
      </c>
      <c r="M35" s="94">
        <f>平成7年度!M19+SUM(平成８年度!M8:M18)</f>
        <v>92101</v>
      </c>
      <c r="N35" s="95">
        <f>平成7年度!N19+SUM(平成８年度!N8:N18)</f>
        <v>35504</v>
      </c>
      <c r="O35" s="92">
        <f>平成7年度!O19+SUM(平成８年度!O8:O18)</f>
        <v>1214144</v>
      </c>
      <c r="P35" s="93">
        <f>平成7年度!P19+SUM(平成８年度!P8:P18)</f>
        <v>3479702</v>
      </c>
      <c r="Q35" s="95">
        <f>平成８年度!C35/平成８年度!O35</f>
        <v>0.37401906198935214</v>
      </c>
      <c r="R35" s="92">
        <f>平成８年度!H35/平成８年度!P35</f>
        <v>0.26244460014104654</v>
      </c>
      <c r="S35" s="93">
        <f>平成８年度!L35/平成８年度!H35</f>
        <v>0.13972946544623527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平成８年度!K35/12</f>
        <v>16714.583333333332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473</v>
      </c>
      <c r="C37" s="102">
        <f>平成８年度!C2+平成８年度!C31</f>
        <v>451542</v>
      </c>
      <c r="D37" s="103">
        <f>平成８年度!D2+平成８年度!D31</f>
        <v>389536</v>
      </c>
      <c r="E37" s="104">
        <f>平成８年度!E2+平成８年度!E31</f>
        <v>371260</v>
      </c>
      <c r="F37" s="104">
        <f>平成８年度!F2+平成８年度!F31</f>
        <v>18276</v>
      </c>
      <c r="G37" s="105">
        <f>平成８年度!G2+平成８年度!G31</f>
        <v>62006</v>
      </c>
      <c r="H37" s="102">
        <f>平成８年度!H2+平成８年度!H31</f>
        <v>910294</v>
      </c>
      <c r="I37" s="103">
        <f>平成８年度!I2+平成８年度!I31</f>
        <v>783396</v>
      </c>
      <c r="J37" s="104">
        <f>平成８年度!J2+平成８年度!J31</f>
        <v>585098</v>
      </c>
      <c r="K37" s="104">
        <f>平成８年度!K2+平成８年度!K31</f>
        <v>198298</v>
      </c>
      <c r="L37" s="104">
        <f>平成８年度!L2+平成８年度!L31</f>
        <v>126898</v>
      </c>
      <c r="M37" s="104">
        <f>平成８年度!M2+平成８年度!M31</f>
        <v>91644</v>
      </c>
      <c r="N37" s="106">
        <f>平成８年度!N2+平成８年度!N31</f>
        <v>35254</v>
      </c>
      <c r="O37" s="106">
        <f>平成８年度!O2+平成８年度!O31</f>
        <v>1210540</v>
      </c>
      <c r="P37" s="106">
        <f>平成８年度!P2+平成８年度!P31</f>
        <v>3476909</v>
      </c>
      <c r="Q37" s="106">
        <f>平成８年度!C37/平成８年度!O37</f>
        <v>0.37300873990120109</v>
      </c>
      <c r="R37" s="106">
        <f>平成８年度!H37/平成８年度!P37</f>
        <v>0.26181128122708991</v>
      </c>
      <c r="S37" s="103">
        <f>平成８年度!L37/平成８年度!H37</f>
        <v>0.13940331365470937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474</v>
      </c>
      <c r="C38" s="110">
        <f>IF(平成８年度!C15=0,平成８年度!C37/10,IF(平成８年度!C16=0,平成８年度!C37/11,IF(平成８年度!C16&gt;0,平成８年度!C37/12,"")))</f>
        <v>37628.5</v>
      </c>
      <c r="D38" s="111">
        <f>IF(平成８年度!D15=0,平成８年度!D37/10,IF(平成８年度!D16=0,平成８年度!D37/11,IF(平成８年度!D16&gt;0,平成８年度!D37/12,"")))</f>
        <v>32461.333333333332</v>
      </c>
      <c r="E38" s="112">
        <f>IF(平成８年度!E15=0,平成８年度!E37/10,IF(平成８年度!E16=0,平成８年度!E37/11,IF(平成８年度!E16&gt;0,平成８年度!E37/12,"")))</f>
        <v>30938.333333333332</v>
      </c>
      <c r="F38" s="112">
        <f>IF(平成８年度!F15=0,平成８年度!F37/10,IF(平成８年度!F16=0,平成８年度!F37/11,IF(平成８年度!F16&gt;0,平成８年度!F37/12,"")))</f>
        <v>1523</v>
      </c>
      <c r="G38" s="113">
        <f>IF(平成８年度!G15=0,平成８年度!G37/10,IF(平成８年度!G16=0,平成８年度!G37/11,IF(平成８年度!G16&gt;0,平成８年度!G37/12,"")))</f>
        <v>5167.166666666667</v>
      </c>
      <c r="H38" s="110">
        <f>IF(平成８年度!H15=0,平成８年度!H37/10,IF(平成８年度!H16=0,平成８年度!H37/11,IF(平成８年度!H16&gt;0,平成８年度!H37/12,"")))</f>
        <v>75857.833333333328</v>
      </c>
      <c r="I38" s="111">
        <f>IF(平成８年度!I15=0,平成８年度!I37/10,IF(平成８年度!I16=0,平成８年度!I37/11,IF(平成８年度!I16&gt;0,平成８年度!I37/12,"")))</f>
        <v>65283</v>
      </c>
      <c r="J38" s="112">
        <f>IF(平成８年度!J15=0,平成８年度!J37/10,IF(平成８年度!J16=0,平成８年度!J37/11,IF(平成８年度!J16&gt;0,平成８年度!J37/12,"")))</f>
        <v>48758.166666666664</v>
      </c>
      <c r="K38" s="112">
        <f>IF(平成８年度!K15=0,平成８年度!K37/10,IF(平成８年度!K16=0,平成８年度!K37/11,IF(平成８年度!K16&gt;0,平成８年度!K37/12,"")))</f>
        <v>16524.833333333332</v>
      </c>
      <c r="L38" s="112">
        <f>IF(平成８年度!L15=0,平成８年度!L37/10,IF(平成８年度!L16=0,平成８年度!L37/11,IF(平成８年度!L16&gt;0,平成８年度!L37/12,"")))</f>
        <v>10574.833333333334</v>
      </c>
      <c r="M38" s="112">
        <f>IF(平成８年度!M15=0,平成８年度!M37/10,IF(平成８年度!M16=0,平成８年度!M37/11,IF(平成８年度!M16&gt;0,平成８年度!M37/12,"")))</f>
        <v>7637</v>
      </c>
      <c r="N38" s="114">
        <f>IF(平成８年度!N15=0,平成８年度!N37/10,IF(平成８年度!N16=0,平成８年度!N37/11,IF(平成８年度!N16&gt;0,平成８年度!N37/12,"")))</f>
        <v>2937.8333333333335</v>
      </c>
      <c r="O38" s="114">
        <f>IF(平成８年度!O15=0,平成８年度!O37/10,IF(平成８年度!O16=0,平成８年度!O37/11,IF(平成８年度!O16&gt;0,平成８年度!O37/12,"")))</f>
        <v>100878.33333333333</v>
      </c>
      <c r="P38" s="114">
        <f>IF(平成８年度!P15=0,平成８年度!P37/10,IF(平成８年度!P16=0,平成８年度!P37/11,IF(平成８年度!P16&gt;0,平成８年度!P37/12,"")))</f>
        <v>289742.41666666669</v>
      </c>
      <c r="Q38" s="114">
        <f>平成８年度!C38/平成８年度!O38</f>
        <v>0.37300873990120115</v>
      </c>
      <c r="R38" s="114">
        <f>平成８年度!H38/平成８年度!P38</f>
        <v>0.26181128122708991</v>
      </c>
      <c r="S38" s="111">
        <f>平成８年度!L38/平成８年度!H38</f>
        <v>0.13940331365470937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475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476</v>
      </c>
      <c r="D41" s="1" t="s">
        <v>477</v>
      </c>
      <c r="E41" s="1" t="s">
        <v>478</v>
      </c>
      <c r="F41" s="1" t="s">
        <v>479</v>
      </c>
      <c r="G41" s="1" t="s">
        <v>480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481</v>
      </c>
      <c r="C43" s="1">
        <f>(+平成4年度!K19+平成5年度!K27)/6</f>
        <v>13491.833333333334</v>
      </c>
      <c r="D43" s="1">
        <f>(+平成5年度!K19+平成6年度!K27)/6</f>
        <v>14204.833333333334</v>
      </c>
      <c r="E43" s="1">
        <f>(+平成6年度!K19+平成7年度!K27)/6</f>
        <v>15238.5</v>
      </c>
      <c r="F43" s="120">
        <f>(+平成7年度!K19+平成８年度!K27)/6</f>
        <v>16433.333333333332</v>
      </c>
      <c r="G43" s="120">
        <f>(+平成８年度!D44+平成８年度!E44+平成８年度!F44)/3*平成８年度!F43</f>
        <v>17550.93309453559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482</v>
      </c>
      <c r="C44" s="121"/>
      <c r="D44" s="122">
        <f>平成８年度!D43/平成８年度!C43</f>
        <v>1.0528467838569011</v>
      </c>
      <c r="E44" s="122">
        <f>平成８年度!E43/平成８年度!D43</f>
        <v>1.0727686585551865</v>
      </c>
      <c r="F44" s="123">
        <f>平成８年度!F43/平成８年度!E43</f>
        <v>1.0784088547647952</v>
      </c>
      <c r="G44" s="1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483</v>
      </c>
      <c r="V44" s="1"/>
      <c r="W44" s="117" t="s">
        <v>484</v>
      </c>
      <c r="X44" s="124"/>
      <c r="Y44" s="1"/>
      <c r="Z44" s="125"/>
      <c r="AA44" s="117"/>
      <c r="AB44" s="117"/>
      <c r="AC44" s="117"/>
      <c r="AD44" s="117"/>
      <c r="AE44" s="117" t="s">
        <v>485</v>
      </c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486</v>
      </c>
      <c r="C45" s="1">
        <f>平成5年度!K36</f>
        <v>13674.916666666666</v>
      </c>
      <c r="D45" s="1">
        <f>平成6年度!K36</f>
        <v>14433</v>
      </c>
      <c r="E45" s="1">
        <f>平成7年度!K36</f>
        <v>15516.666666666666</v>
      </c>
      <c r="F45" s="126">
        <f>平成８年度!F43*平成８年度!F46</f>
        <v>16695.646296227867</v>
      </c>
      <c r="G45" s="126">
        <f>(+平成８年度!E47+平成８年度!F47)/2*平成８年度!F45</f>
        <v>17956.702409786289</v>
      </c>
      <c r="H45" s="126"/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 t="s">
        <v>487</v>
      </c>
      <c r="W45" s="118" t="s">
        <v>488</v>
      </c>
      <c r="X45" s="127" t="s">
        <v>489</v>
      </c>
      <c r="Y45" s="128" t="s">
        <v>490</v>
      </c>
      <c r="Z45" s="129" t="s">
        <v>491</v>
      </c>
      <c r="AA45" s="129" t="s">
        <v>492</v>
      </c>
      <c r="AB45" s="129" t="s">
        <v>493</v>
      </c>
      <c r="AC45" s="129" t="s">
        <v>494</v>
      </c>
      <c r="AD45" s="130" t="s">
        <v>495</v>
      </c>
      <c r="AE45" s="130" t="s">
        <v>496</v>
      </c>
      <c r="AF45" s="130" t="s">
        <v>497</v>
      </c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498</v>
      </c>
      <c r="C46" s="122">
        <f>平成８年度!C45/平成８年度!C43</f>
        <v>1.0135699373695197</v>
      </c>
      <c r="D46" s="122">
        <f>平成８年度!D45/平成８年度!D43</f>
        <v>1.0160626077978152</v>
      </c>
      <c r="E46" s="122">
        <f>平成８年度!E45/平成８年度!E43</f>
        <v>1.0182542026227428</v>
      </c>
      <c r="F46" s="122">
        <f>(+平成８年度!C46+平成８年度!D46+平成８年度!E46)/3</f>
        <v>1.0159622492633591</v>
      </c>
      <c r="G46" s="122"/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 t="s">
        <v>499</v>
      </c>
      <c r="W46" s="133" t="s">
        <v>500</v>
      </c>
      <c r="X46" s="134" t="s">
        <v>501</v>
      </c>
      <c r="Y46" s="135" t="s">
        <v>502</v>
      </c>
      <c r="Z46" s="136" t="s">
        <v>503</v>
      </c>
      <c r="AA46" s="137"/>
      <c r="AB46" s="137" t="s">
        <v>504</v>
      </c>
      <c r="AC46" s="138" t="s">
        <v>505</v>
      </c>
      <c r="AD46" s="139" t="s">
        <v>506</v>
      </c>
      <c r="AE46" s="140" t="s">
        <v>507</v>
      </c>
      <c r="AF46" s="140" t="s">
        <v>508</v>
      </c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509</v>
      </c>
      <c r="C47" s="121"/>
      <c r="D47" s="122">
        <f>平成８年度!D45/平成８年度!C45</f>
        <v>1.0554360477516622</v>
      </c>
      <c r="E47" s="122">
        <f>平成８年度!E45/平成８年度!D45</f>
        <v>1.0750825654172151</v>
      </c>
      <c r="F47" s="122">
        <f>平成８年度!F45/平成８年度!E45</f>
        <v>1.0759815013680689</v>
      </c>
      <c r="G47" s="1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>
        <v>7595</v>
      </c>
      <c r="AB47" s="144"/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 t="s">
        <v>510</v>
      </c>
      <c r="U48" s="1" t="s">
        <v>511</v>
      </c>
      <c r="V48" s="1">
        <v>37416</v>
      </c>
      <c r="W48" s="117">
        <v>75663</v>
      </c>
      <c r="X48" s="134">
        <f>平成８年度!W48-平成８年度!Y48-平成８年度!Z48</f>
        <v>48807</v>
      </c>
      <c r="Y48" s="150">
        <v>16328</v>
      </c>
      <c r="Z48" s="151">
        <f>平成８年度!AA47+平成８年度!AA48</f>
        <v>10528</v>
      </c>
      <c r="AA48" s="151">
        <v>2933</v>
      </c>
      <c r="AB48" s="151">
        <v>100509</v>
      </c>
      <c r="AC48" s="152">
        <v>289235</v>
      </c>
      <c r="AD48" s="153">
        <f>平成８年度!V48/+平成８年度!AB48</f>
        <v>0.37226517028325823</v>
      </c>
      <c r="AE48" s="151">
        <f>平成８年度!W48/+平成８年度!AC48</f>
        <v>0.26159697132089821</v>
      </c>
      <c r="AF48" s="150">
        <f>平成８年度!Z48/+平成８年度!W48</f>
        <v>0.13914330650383938</v>
      </c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 t="s">
        <v>512</v>
      </c>
      <c r="W49" s="117"/>
      <c r="X49" s="142"/>
      <c r="Y49" s="143"/>
      <c r="Z49" s="144"/>
      <c r="AA49" s="144">
        <v>7585</v>
      </c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513</v>
      </c>
      <c r="V50" s="1">
        <v>37502</v>
      </c>
      <c r="W50" s="117">
        <v>75656</v>
      </c>
      <c r="X50" s="134">
        <f>平成８年度!W50-平成８年度!Y50-平成８年度!Z50</f>
        <v>48724</v>
      </c>
      <c r="Y50" s="150">
        <v>16408</v>
      </c>
      <c r="Z50" s="151">
        <f>平成８年度!AA49+平成８年度!AA50</f>
        <v>10524</v>
      </c>
      <c r="AA50" s="151">
        <v>2939</v>
      </c>
      <c r="AB50" s="151">
        <v>100792</v>
      </c>
      <c r="AC50" s="152">
        <v>289496</v>
      </c>
      <c r="AD50" s="153">
        <f>平成８年度!V50/+平成８年度!AB50</f>
        <v>0.37207318041114373</v>
      </c>
      <c r="AE50" s="151">
        <f>平成８年度!W50/+平成８年度!AC50</f>
        <v>0.26133694420648301</v>
      </c>
      <c r="AF50" s="150">
        <f>平成８年度!Z50/+平成８年度!W50</f>
        <v>0.13910330971766946</v>
      </c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 t="s">
        <v>514</v>
      </c>
      <c r="W51" s="117" t="s">
        <v>515</v>
      </c>
      <c r="X51" s="142" t="s">
        <v>516</v>
      </c>
      <c r="Y51" s="143"/>
      <c r="Z51" s="144"/>
      <c r="AA51" s="144">
        <v>7670</v>
      </c>
      <c r="AB51" s="144"/>
      <c r="AC51" s="145"/>
      <c r="AD51" s="146" t="s">
        <v>517</v>
      </c>
      <c r="AE51" s="144" t="s">
        <v>518</v>
      </c>
      <c r="AF51" s="144" t="s">
        <v>519</v>
      </c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 t="s">
        <v>520</v>
      </c>
      <c r="V52" s="1">
        <v>37594</v>
      </c>
      <c r="W52" s="117">
        <v>75753</v>
      </c>
      <c r="X52" s="134">
        <f>平成８年度!W52-平成８年度!Y52-平成８年度!Z52</f>
        <v>48661</v>
      </c>
      <c r="Y52" s="150">
        <v>16487</v>
      </c>
      <c r="Z52" s="151">
        <f>平成８年度!AA51+平成８年度!AA52</f>
        <v>10605</v>
      </c>
      <c r="AA52" s="151">
        <v>2935</v>
      </c>
      <c r="AB52" s="151">
        <v>100982</v>
      </c>
      <c r="AC52" s="152">
        <v>289745</v>
      </c>
      <c r="AD52" s="153">
        <f>平成８年度!V52/+平成８年度!AB52</f>
        <v>0.37228416945594267</v>
      </c>
      <c r="AE52" s="151">
        <f>平成８年度!W52/+平成８年度!AC52</f>
        <v>0.26144713454934509</v>
      </c>
      <c r="AF52" s="150">
        <f>平成８年度!Z52/+平成８年度!W52</f>
        <v>0.13999445566512217</v>
      </c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 t="s">
        <v>521</v>
      </c>
      <c r="Y53" s="143"/>
      <c r="Z53" s="144"/>
      <c r="AA53" s="144">
        <v>7718</v>
      </c>
      <c r="AB53" s="144"/>
      <c r="AC53" s="157"/>
      <c r="AD53" s="146" t="s">
        <v>522</v>
      </c>
      <c r="AE53" s="144" t="s">
        <v>523</v>
      </c>
      <c r="AF53" s="143" t="s">
        <v>524</v>
      </c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525</v>
      </c>
      <c r="V54" s="1">
        <v>37736</v>
      </c>
      <c r="W54" s="117">
        <v>75916</v>
      </c>
      <c r="X54" s="134">
        <f>平成８年度!W54-平成８年度!Y54-平成８年度!Z54</f>
        <v>48677</v>
      </c>
      <c r="Y54" s="150">
        <v>16563</v>
      </c>
      <c r="Z54" s="151">
        <f>平成８年度!AA53+平成８年度!AA54</f>
        <v>10676</v>
      </c>
      <c r="AA54" s="151">
        <v>2958</v>
      </c>
      <c r="AB54" s="151">
        <v>101151</v>
      </c>
      <c r="AC54" s="152">
        <v>289947</v>
      </c>
      <c r="AD54" s="153">
        <f>平成８年度!V54/+平成８年度!AB54</f>
        <v>0.37306601022234087</v>
      </c>
      <c r="AE54" s="151">
        <f>平成８年度!W54/+平成８年度!AC54</f>
        <v>0.26182716151572527</v>
      </c>
      <c r="AF54" s="150">
        <f>平成８年度!Z54/+平成８年度!W54</f>
        <v>0.14062911639180148</v>
      </c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 t="s">
        <v>526</v>
      </c>
      <c r="Y55" s="143"/>
      <c r="Z55" s="144"/>
      <c r="AA55" s="144">
        <v>7692</v>
      </c>
      <c r="AB55" s="144"/>
      <c r="AC55" s="145"/>
      <c r="AD55" s="146" t="s">
        <v>527</v>
      </c>
      <c r="AE55" s="144" t="s">
        <v>528</v>
      </c>
      <c r="AF55" s="144" t="s">
        <v>529</v>
      </c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530</v>
      </c>
      <c r="V56" s="1">
        <v>37866</v>
      </c>
      <c r="W56" s="117">
        <v>76122</v>
      </c>
      <c r="X56" s="134">
        <f>平成８年度!W56-平成８年度!Y56-平成８年度!Z56</f>
        <v>48831</v>
      </c>
      <c r="Y56" s="150">
        <v>16656</v>
      </c>
      <c r="Z56" s="151">
        <f>平成８年度!AA55+平成８年度!AA56</f>
        <v>10635</v>
      </c>
      <c r="AA56" s="151">
        <v>2943</v>
      </c>
      <c r="AB56" s="151">
        <v>101238</v>
      </c>
      <c r="AC56" s="152">
        <v>290040</v>
      </c>
      <c r="AD56" s="153">
        <f>平成８年度!V56/+平成８年度!AB56</f>
        <v>0.37402951460913886</v>
      </c>
      <c r="AE56" s="151">
        <f>平成８年度!W56/+平成８年度!AC56</f>
        <v>0.26245345469590403</v>
      </c>
      <c r="AF56" s="150">
        <f>平成８年度!Z56/+平成８年度!W56</f>
        <v>0.13970993930795303</v>
      </c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 t="s">
        <v>531</v>
      </c>
      <c r="Y57" s="143"/>
      <c r="Z57" s="144"/>
      <c r="AA57" s="144">
        <v>7675</v>
      </c>
      <c r="AB57" s="144"/>
      <c r="AC57" s="145"/>
      <c r="AD57" s="146" t="s">
        <v>532</v>
      </c>
      <c r="AE57" s="144" t="s">
        <v>533</v>
      </c>
      <c r="AF57" s="144" t="s">
        <v>534</v>
      </c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 t="s">
        <v>535</v>
      </c>
      <c r="V58" s="1">
        <v>37939</v>
      </c>
      <c r="W58" s="117">
        <v>76171</v>
      </c>
      <c r="X58" s="134">
        <f>平成８年度!W58-平成８年度!Y58-平成８年度!Z58</f>
        <v>48779</v>
      </c>
      <c r="Y58" s="150">
        <v>16764</v>
      </c>
      <c r="Z58" s="151">
        <f>平成８年度!AA57+平成８年度!AA58</f>
        <v>10628</v>
      </c>
      <c r="AA58" s="151">
        <v>2953</v>
      </c>
      <c r="AB58" s="151">
        <v>101257</v>
      </c>
      <c r="AC58" s="152">
        <v>290058</v>
      </c>
      <c r="AD58" s="153">
        <f>平成８年度!V58/+平成８年度!AB58</f>
        <v>0.37468026901843821</v>
      </c>
      <c r="AE58" s="151">
        <f>平成８年度!W58/+平成８年度!AC58</f>
        <v>0.26260609946976121</v>
      </c>
      <c r="AF58" s="150">
        <f>平成８年度!Z58/+平成８年度!W58</f>
        <v>0.13952816688766065</v>
      </c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 t="s">
        <v>536</v>
      </c>
      <c r="T59" s="1"/>
      <c r="U59" s="1"/>
      <c r="V59" s="1"/>
      <c r="W59" s="117"/>
      <c r="X59" s="142" t="s">
        <v>537</v>
      </c>
      <c r="Y59" s="143"/>
      <c r="Z59" s="144"/>
      <c r="AA59" s="144">
        <v>7700</v>
      </c>
      <c r="AB59" s="144"/>
      <c r="AC59" s="145"/>
      <c r="AD59" s="146" t="s">
        <v>538</v>
      </c>
      <c r="AE59" s="144" t="s">
        <v>539</v>
      </c>
      <c r="AF59" s="144" t="s">
        <v>540</v>
      </c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541</v>
      </c>
      <c r="V60" s="1">
        <v>38085</v>
      </c>
      <c r="W60" s="117">
        <v>76359</v>
      </c>
      <c r="X60" s="134">
        <f>平成８年度!W60-平成８年度!Y60-平成８年度!Z60</f>
        <v>48769</v>
      </c>
      <c r="Y60" s="150">
        <v>16903</v>
      </c>
      <c r="Z60" s="151">
        <f>平成８年度!AA59+平成８年度!AA60</f>
        <v>10687</v>
      </c>
      <c r="AA60" s="151">
        <v>2987</v>
      </c>
      <c r="AB60" s="151">
        <v>101451</v>
      </c>
      <c r="AC60" s="152">
        <v>290246</v>
      </c>
      <c r="AD60" s="153">
        <f>平成８年度!V60/+平成８年度!AB60</f>
        <v>0.37540290386492003</v>
      </c>
      <c r="AE60" s="151">
        <f>平成８年度!W60/+平成８年度!AC60</f>
        <v>0.26308372897473176</v>
      </c>
      <c r="AF60" s="150">
        <f>平成８年度!Z60/+平成８年度!W60</f>
        <v>0.13995730693173039</v>
      </c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 t="s">
        <v>542</v>
      </c>
      <c r="Y61" s="143"/>
      <c r="Z61" s="144"/>
      <c r="AA61" s="144">
        <v>7775</v>
      </c>
      <c r="AB61" s="144"/>
      <c r="AC61" s="145"/>
      <c r="AD61" s="146" t="s">
        <v>543</v>
      </c>
      <c r="AE61" s="144" t="s">
        <v>544</v>
      </c>
      <c r="AF61" s="144" t="s">
        <v>545</v>
      </c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546</v>
      </c>
      <c r="V62" s="1">
        <v>38125</v>
      </c>
      <c r="W62" s="117">
        <v>76427</v>
      </c>
      <c r="X62" s="134">
        <f>平成８年度!W62-平成８年度!Y62-平成８年度!Z62</f>
        <v>48642</v>
      </c>
      <c r="Y62" s="150">
        <v>16994</v>
      </c>
      <c r="Z62" s="151">
        <f>平成８年度!AA61+平成８年度!AA62</f>
        <v>10791</v>
      </c>
      <c r="AA62" s="151">
        <v>3016</v>
      </c>
      <c r="AB62" s="151">
        <v>101587</v>
      </c>
      <c r="AC62" s="152">
        <v>290416</v>
      </c>
      <c r="AD62" s="153">
        <f>平成８年度!V62/+平成８年度!AB62</f>
        <v>0.3752940829043086</v>
      </c>
      <c r="AE62" s="151">
        <f>平成８年度!W62/+平成８年度!AC62</f>
        <v>0.26316387526858026</v>
      </c>
      <c r="AF62" s="150">
        <f>平成８年度!Z62/+平成８年度!W62</f>
        <v>0.14119355725070984</v>
      </c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/>
      <c r="W63" s="117"/>
      <c r="X63" s="142" t="s">
        <v>547</v>
      </c>
      <c r="Y63" s="143"/>
      <c r="Z63" s="144"/>
      <c r="AA63" s="144">
        <v>7790</v>
      </c>
      <c r="AB63" s="144"/>
      <c r="AC63" s="157"/>
      <c r="AD63" s="146" t="s">
        <v>548</v>
      </c>
      <c r="AE63" s="144" t="s">
        <v>549</v>
      </c>
      <c r="AF63" s="143" t="s">
        <v>550</v>
      </c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551</v>
      </c>
      <c r="V64" s="1">
        <v>38198</v>
      </c>
      <c r="W64" s="117">
        <v>76553</v>
      </c>
      <c r="X64" s="134">
        <f>平成８年度!W64-平成８年度!Y64-平成８年度!Z64</f>
        <v>48684</v>
      </c>
      <c r="Y64" s="150">
        <v>17059</v>
      </c>
      <c r="Z64" s="151">
        <f>平成８年度!AA63+平成８年度!AA64</f>
        <v>10810</v>
      </c>
      <c r="AA64" s="151">
        <v>3020</v>
      </c>
      <c r="AB64" s="151">
        <v>101677</v>
      </c>
      <c r="AC64" s="152">
        <v>290603</v>
      </c>
      <c r="AD64" s="153">
        <f>平成８年度!V64/+平成８年度!AB64</f>
        <v>0.37567984893338707</v>
      </c>
      <c r="AE64" s="151">
        <f>平成８年度!W64/+平成８年度!AC64</f>
        <v>0.26342811326792909</v>
      </c>
      <c r="AF64" s="150">
        <f>平成８年度!Z64/+平成８年度!W64</f>
        <v>0.14120935822240802</v>
      </c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 t="s">
        <v>552</v>
      </c>
      <c r="Y65" s="143"/>
      <c r="Z65" s="144"/>
      <c r="AA65" s="144">
        <v>7766</v>
      </c>
      <c r="AB65" s="144"/>
      <c r="AC65" s="157"/>
      <c r="AD65" s="146" t="s">
        <v>553</v>
      </c>
      <c r="AE65" s="144" t="s">
        <v>554</v>
      </c>
      <c r="AF65" s="143" t="s">
        <v>555</v>
      </c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556</v>
      </c>
      <c r="V66" s="1">
        <v>38270</v>
      </c>
      <c r="W66" s="117">
        <v>76640</v>
      </c>
      <c r="X66" s="134">
        <f>平成８年度!W66-平成８年度!Y66-平成８年度!Z66</f>
        <v>48796</v>
      </c>
      <c r="Y66" s="150">
        <v>17072</v>
      </c>
      <c r="Z66" s="151">
        <f>平成８年度!AA65+平成８年度!AA66</f>
        <v>10772</v>
      </c>
      <c r="AA66" s="151">
        <v>3006</v>
      </c>
      <c r="AB66" s="151">
        <v>101743</v>
      </c>
      <c r="AC66" s="152">
        <v>290565</v>
      </c>
      <c r="AD66" s="153">
        <f>平成８年度!V66/+平成８年度!AB66</f>
        <v>0.37614381333359542</v>
      </c>
      <c r="AE66" s="151">
        <f>平成８年度!W66/+平成８年度!AC66</f>
        <v>0.26376198096811387</v>
      </c>
      <c r="AF66" s="150">
        <f>平成８年度!Z66/+平成８年度!W66</f>
        <v>0.14055323590814195</v>
      </c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 t="s">
        <v>557</v>
      </c>
      <c r="X67" s="142" t="s">
        <v>558</v>
      </c>
      <c r="Y67" s="143"/>
      <c r="Z67" s="144"/>
      <c r="AA67" s="144">
        <v>7731</v>
      </c>
      <c r="AB67" s="144"/>
      <c r="AC67" s="157"/>
      <c r="AD67" s="146" t="s">
        <v>559</v>
      </c>
      <c r="AE67" s="144" t="s">
        <v>560</v>
      </c>
      <c r="AF67" s="143" t="s">
        <v>561</v>
      </c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562</v>
      </c>
      <c r="V68" s="1">
        <v>38274</v>
      </c>
      <c r="W68" s="117">
        <v>76666</v>
      </c>
      <c r="X68" s="134">
        <f>平成８年度!W68-平成８年度!Y68-平成８年度!Z68</f>
        <v>48753</v>
      </c>
      <c r="Y68" s="150">
        <v>17183</v>
      </c>
      <c r="Z68" s="151">
        <f>平成８年度!AA67+平成８年度!AA68</f>
        <v>10730</v>
      </c>
      <c r="AA68" s="151">
        <v>2999</v>
      </c>
      <c r="AB68" s="151">
        <v>101807</v>
      </c>
      <c r="AC68" s="152">
        <v>290638</v>
      </c>
      <c r="AD68" s="153">
        <f>平成８年度!V68/+平成８年度!AB68</f>
        <v>0.37594664414038326</v>
      </c>
      <c r="AE68" s="151">
        <f>平成８年度!W68/+平成８年度!AC68</f>
        <v>0.26378518982376703</v>
      </c>
      <c r="AF68" s="150">
        <f>平成８年度!Z68/+平成８年度!W68</f>
        <v>0.13995773876294576</v>
      </c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 t="s">
        <v>563</v>
      </c>
      <c r="Y69" s="143"/>
      <c r="Z69" s="144"/>
      <c r="AA69" s="144">
        <v>7715</v>
      </c>
      <c r="AB69" s="144"/>
      <c r="AC69" s="157"/>
      <c r="AD69" s="146" t="s">
        <v>564</v>
      </c>
      <c r="AE69" s="144" t="s">
        <v>565</v>
      </c>
      <c r="AF69" s="143" t="s">
        <v>566</v>
      </c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567</v>
      </c>
      <c r="V70" s="1">
        <v>38366</v>
      </c>
      <c r="W70" s="117">
        <v>76694</v>
      </c>
      <c r="X70" s="134">
        <f>平成８年度!W70-平成８年度!Y70-平成８年度!Z70</f>
        <v>48708</v>
      </c>
      <c r="Y70" s="150">
        <v>17276</v>
      </c>
      <c r="Z70" s="151">
        <f>平成８年度!AA69+平成８年度!AA70</f>
        <v>10710</v>
      </c>
      <c r="AA70" s="151">
        <v>2995</v>
      </c>
      <c r="AB70" s="151">
        <v>101745</v>
      </c>
      <c r="AC70" s="152">
        <v>290105</v>
      </c>
      <c r="AD70" s="153">
        <f>平成８年度!V70/+平成８年度!AB70</f>
        <v>0.37707995478893314</v>
      </c>
      <c r="AE70" s="151">
        <f>平成８年度!W70/+平成８年度!AC70</f>
        <v>0.26436635011461368</v>
      </c>
      <c r="AF70" s="150">
        <f>平成８年度!Z70/+平成８年度!W70</f>
        <v>0.13964586538712284</v>
      </c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568</v>
      </c>
      <c r="V71" s="1" t="s">
        <v>569</v>
      </c>
      <c r="W71" s="117" t="s">
        <v>570</v>
      </c>
      <c r="X71" s="142" t="s">
        <v>571</v>
      </c>
      <c r="Y71" s="143" t="s">
        <v>572</v>
      </c>
      <c r="Z71" s="144" t="s">
        <v>573</v>
      </c>
      <c r="AA71" s="144">
        <f>平成８年度!AA47+平成８年度!AA49+平成８年度!AA51+平成８年度!AA53+平成８年度!AA55+平成８年度!AA57+平成８年度!AA59+平成８年度!AA61+平成８年度!AA63+平成８年度!AA65+平成８年度!AA67+平成８年度!AA69</f>
        <v>92412</v>
      </c>
      <c r="AB71" s="144" t="s">
        <v>574</v>
      </c>
      <c r="AC71" s="157" t="s">
        <v>575</v>
      </c>
      <c r="AD71" s="146" t="s">
        <v>576</v>
      </c>
      <c r="AE71" s="144" t="s">
        <v>577</v>
      </c>
      <c r="AF71" s="143" t="s">
        <v>578</v>
      </c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579</v>
      </c>
      <c r="V72" s="1">
        <f>SUM(平成８年度!V48:V70)</f>
        <v>455371</v>
      </c>
      <c r="W72" s="117">
        <f>SUM(平成８年度!W48:W70)</f>
        <v>914620</v>
      </c>
      <c r="X72" s="134">
        <f>SUM(平成８年度!X48:X70)</f>
        <v>584831</v>
      </c>
      <c r="Y72" s="150">
        <f>SUM(平成８年度!Y48:Y70)</f>
        <v>201693</v>
      </c>
      <c r="Z72" s="151">
        <f>SUM(平成８年度!Z48:Z70)</f>
        <v>128096</v>
      </c>
      <c r="AA72" s="151">
        <f>平成８年度!AA48+平成８年度!AA50+平成８年度!AA52+平成８年度!AA54+平成８年度!AA56+平成８年度!AA58+平成８年度!AA60+平成８年度!AA62+平成８年度!AA64+平成８年度!AA66+平成８年度!AA68+平成８年度!AA70</f>
        <v>35684</v>
      </c>
      <c r="AB72" s="151">
        <f>SUM(平成８年度!AB48:AB70)</f>
        <v>1215939</v>
      </c>
      <c r="AC72" s="152">
        <f>SUM(平成８年度!AC48:AC70)</f>
        <v>3481094</v>
      </c>
      <c r="AD72" s="153">
        <f>平成８年度!V72/+平成８年度!AB72</f>
        <v>0.37450151693464884</v>
      </c>
      <c r="AE72" s="150">
        <f>平成８年度!W72/+平成８年度!AC72</f>
        <v>0.26273924231865042</v>
      </c>
      <c r="AF72" s="151">
        <f>平成８年度!Z72/+平成８年度!W72</f>
        <v>0.14005379283199579</v>
      </c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580</v>
      </c>
      <c r="V73" s="1" t="s">
        <v>581</v>
      </c>
      <c r="W73" s="117" t="s">
        <v>582</v>
      </c>
      <c r="X73" s="142" t="e">
        <f>平成８年度!X74+平成８年度!Y74</f>
        <v>#VALUE!</v>
      </c>
      <c r="Y73" s="143" t="s">
        <v>583</v>
      </c>
      <c r="Z73" s="144" t="s">
        <v>584</v>
      </c>
      <c r="AA73" s="144" t="e">
        <f>#VALUE!</f>
        <v>#VALUE!</v>
      </c>
      <c r="AB73" s="144" t="s">
        <v>585</v>
      </c>
      <c r="AC73" s="157" t="s">
        <v>586</v>
      </c>
      <c r="AD73" s="146" t="s">
        <v>587</v>
      </c>
      <c r="AE73" s="144" t="s">
        <v>588</v>
      </c>
      <c r="AF73" s="143" t="s">
        <v>589</v>
      </c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590</v>
      </c>
      <c r="V74" s="1" t="e">
        <f>#VALUE!</f>
        <v>#VALUE!</v>
      </c>
      <c r="W74" s="117" t="e">
        <f>#VALUE!</f>
        <v>#VALUE!</v>
      </c>
      <c r="X74" s="164" t="e">
        <f>#VALUE!</f>
        <v>#VALUE!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平成８年度!V74/+平成８年度!AB74</f>
        <v>#VALUE!</v>
      </c>
      <c r="AE74" s="165" t="e">
        <f>平成８年度!W74/+平成８年度!AC74</f>
        <v>#VALUE!</v>
      </c>
      <c r="AF74" s="166" t="e">
        <f>平成８年度!Z74/+平成８年度!W74</f>
        <v>#VALUE!</v>
      </c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 t="s">
        <v>591</v>
      </c>
      <c r="U75" s="1" t="s">
        <v>592</v>
      </c>
      <c r="V75" s="1"/>
      <c r="W75" s="172"/>
      <c r="X75" s="127"/>
      <c r="Y75" s="173"/>
      <c r="Z75" s="174"/>
      <c r="AA75" s="174">
        <f>平成８年度!M2+平成８年度!AA47+平成８年度!AA49+平成８年度!AA51+平成８年度!AA53+平成８年度!AA55+平成８年度!AA57+平成８年度!AA59+平成８年度!AA61+平成８年度!AA63</f>
        <v>91644</v>
      </c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 t="s">
        <v>593</v>
      </c>
      <c r="U76" s="1" t="s">
        <v>594</v>
      </c>
      <c r="V76" s="1">
        <f>平成８年度!C2+SUM(平成８年度!V48:V64)</f>
        <v>451542</v>
      </c>
      <c r="W76" s="180">
        <f>平成８年度!H2+SUM(平成８年度!W48:W64)</f>
        <v>910294</v>
      </c>
      <c r="X76" s="134">
        <f>平成８年度!J2+SUM(平成８年度!X48:X64)</f>
        <v>585098</v>
      </c>
      <c r="Y76" s="181">
        <f>平成８年度!K2+SUM(平成８年度!Y48:Y64)</f>
        <v>198298</v>
      </c>
      <c r="Z76" s="182">
        <f>平成８年度!L2+SUM(平成８年度!Z48:Z64)</f>
        <v>126898</v>
      </c>
      <c r="AA76" s="182">
        <f>平成８年度!N2+平成８年度!AA48+平成８年度!AA50+平成８年度!AA52+平成８年度!AA54+平成８年度!AA56+平成８年度!AA58+平成８年度!AA60+平成８年度!AA62+平成８年度!AA64</f>
        <v>35254</v>
      </c>
      <c r="AB76" s="182">
        <f>平成８年度!O2+SUM(平成８年度!AB48:AB64)</f>
        <v>1210540</v>
      </c>
      <c r="AC76" s="183">
        <f>平成８年度!P2+SUM(平成８年度!AC48:AC64)</f>
        <v>3476909</v>
      </c>
      <c r="AD76" s="184">
        <f>平成８年度!V76/+平成８年度!AB76</f>
        <v>0.37300873990120109</v>
      </c>
      <c r="AE76" s="181">
        <f>平成８年度!W76/+平成８年度!AC76</f>
        <v>0.26181128122708991</v>
      </c>
      <c r="AF76" s="182">
        <f>平成８年度!Z76/+平成８年度!W76</f>
        <v>0.13940331365470937</v>
      </c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 t="s">
        <v>595</v>
      </c>
      <c r="U77" s="1" t="s">
        <v>596</v>
      </c>
      <c r="V77" s="1"/>
      <c r="W77" s="188"/>
      <c r="X77" s="142">
        <f>平成８年度!X78+平成８年度!Y78</f>
        <v>65283</v>
      </c>
      <c r="Y77" s="189"/>
      <c r="Z77" s="190"/>
      <c r="AA77" s="190">
        <f>IF(平成８年度!AA61=0,平成８年度!AA75/10,IF(平成８年度!AA63=0,平成８年度!AA75/11,IF(平成８年度!AA63&gt;0,平成８年度!AA75/12,"")))</f>
        <v>7637</v>
      </c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597</v>
      </c>
      <c r="V78" s="1">
        <f>IF(平成８年度!V62=0,平成８年度!V76/10,IF(平成８年度!V64=0,平成８年度!V76/11,IF(平成８年度!V64&gt;0,平成８年度!V76/12,"")))</f>
        <v>37628.5</v>
      </c>
      <c r="W78" s="196">
        <f>IF(平成８年度!W62=0,平成８年度!W76/10,IF(平成８年度!W64=0,平成８年度!W76/11,IF(平成８年度!W64&gt;0,平成８年度!W76/12,"")))</f>
        <v>75857.833333333328</v>
      </c>
      <c r="X78" s="164">
        <f>IF(平成８年度!X62=0,平成８年度!X76/10,IF(平成８年度!X64=0,平成８年度!X76/11,IF(平成８年度!X64&gt;0,平成８年度!X76/12,"")))</f>
        <v>48758.166666666664</v>
      </c>
      <c r="Y78" s="197">
        <f>IF(平成８年度!Y62=0,平成８年度!Y76/10,IF(平成８年度!Y64=0,平成８年度!Y76/11,IF(平成８年度!Y64&gt;0,平成８年度!Y76/12,"")))</f>
        <v>16524.833333333332</v>
      </c>
      <c r="Z78" s="198">
        <f>IF(平成８年度!Z62=0,平成８年度!Z76/10,IF(平成８年度!Z64=0,平成８年度!Z76/11,IF(平成８年度!Z64&gt;0,平成８年度!Z76/12,"")))</f>
        <v>10574.833333333334</v>
      </c>
      <c r="AA78" s="198">
        <f>IF(平成８年度!AA62=0,平成８年度!AA76/10,IF(平成８年度!AA64=0,平成８年度!AA76/11,IF(平成８年度!AA64&gt;0,平成８年度!AA76/12,"")))</f>
        <v>2937.8333333333335</v>
      </c>
      <c r="AB78" s="198">
        <f>IF(平成８年度!AB62=0,平成８年度!AB76/10,IF(平成８年度!AB64=0,平成８年度!AB76/11,IF(平成８年度!AB64&gt;0,平成８年度!AB76/12,"")))</f>
        <v>100878.33333333333</v>
      </c>
      <c r="AC78" s="199">
        <f>IF(平成８年度!AC62=0,平成８年度!AC76/10,IF(平成８年度!AC64=0,平成８年度!AC76/11,IF(平成８年度!AC64&gt;0,平成８年度!AC76/12,"")))</f>
        <v>289742.41666666669</v>
      </c>
      <c r="AD78" s="200">
        <f>平成８年度!V78/+平成８年度!AB78</f>
        <v>0.37300873990120115</v>
      </c>
      <c r="AE78" s="197">
        <f>平成８年度!W78/+平成８年度!AC78</f>
        <v>0.26181128122708991</v>
      </c>
      <c r="AF78" s="198">
        <f>平成８年度!Z78/+平成８年度!W78</f>
        <v>0.13940331365470937</v>
      </c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 t="s">
        <v>598</v>
      </c>
      <c r="W79" s="1" t="s">
        <v>599</v>
      </c>
      <c r="X79" s="1" t="s">
        <v>600</v>
      </c>
      <c r="Y79" s="1" t="s">
        <v>601</v>
      </c>
      <c r="Z79" s="1" t="s">
        <v>602</v>
      </c>
      <c r="AA79" s="1" t="s">
        <v>603</v>
      </c>
      <c r="AB79" s="1" t="s">
        <v>604</v>
      </c>
      <c r="AC79" s="1" t="s">
        <v>605</v>
      </c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606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/>
      <c r="B2" s="1"/>
      <c r="C2" s="205">
        <f>SUM(平成８年度!C17:C19)</f>
        <v>114910</v>
      </c>
      <c r="D2" s="205">
        <f>SUM(平成８年度!D17:D19)</f>
        <v>99184</v>
      </c>
      <c r="E2" s="205">
        <f>SUM(平成８年度!E17:E19)</f>
        <v>94547</v>
      </c>
      <c r="F2" s="205">
        <f>SUM(平成８年度!F17:F19)</f>
        <v>4637</v>
      </c>
      <c r="G2" s="205">
        <f>SUM(平成８年度!G17:G19)</f>
        <v>15726</v>
      </c>
      <c r="H2" s="205">
        <f>SUM(平成８年度!H17:H19)</f>
        <v>230000</v>
      </c>
      <c r="I2" s="205">
        <f>SUM(平成８年度!I17:I19)</f>
        <v>197788</v>
      </c>
      <c r="J2" s="205">
        <f>SUM(平成８年度!J17:J19)</f>
        <v>146257</v>
      </c>
      <c r="K2" s="205">
        <f>SUM(平成８年度!K17:K19)</f>
        <v>51531</v>
      </c>
      <c r="L2" s="205">
        <f>SUM(平成８年度!L17:L19)</f>
        <v>32212</v>
      </c>
      <c r="M2" s="205">
        <f>SUM(平成８年度!M17:M19)</f>
        <v>23212</v>
      </c>
      <c r="N2" s="205">
        <f>SUM(平成８年度!N17:N19)</f>
        <v>9000</v>
      </c>
      <c r="O2" s="205">
        <f>SUM(平成８年度!O17:O19)</f>
        <v>305295</v>
      </c>
      <c r="P2" s="205">
        <f>SUM(平成８年度!P17:P19)</f>
        <v>871308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/>
      <c r="B3" s="3"/>
      <c r="C3" s="3" t="s">
        <v>607</v>
      </c>
      <c r="D3" s="3"/>
      <c r="E3" s="3" t="s">
        <v>608</v>
      </c>
      <c r="F3" s="3" t="s">
        <v>609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/>
      <c r="B4" s="9" t="s">
        <v>610</v>
      </c>
      <c r="C4" s="10" t="s">
        <v>611</v>
      </c>
      <c r="D4" s="11"/>
      <c r="E4" s="11"/>
      <c r="F4" s="11"/>
      <c r="G4" s="12"/>
      <c r="H4" s="10" t="s">
        <v>612</v>
      </c>
      <c r="I4" s="11"/>
      <c r="J4" s="11"/>
      <c r="K4" s="11"/>
      <c r="L4" s="11"/>
      <c r="M4" s="11"/>
      <c r="N4" s="11"/>
      <c r="O4" s="10" t="s">
        <v>613</v>
      </c>
      <c r="P4" s="11" t="s">
        <v>614</v>
      </c>
      <c r="Q4" s="12" t="s">
        <v>615</v>
      </c>
      <c r="R4" s="13" t="s">
        <v>616</v>
      </c>
      <c r="S4" s="14" t="s">
        <v>617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/>
      <c r="B5" s="23"/>
      <c r="C5" s="24" t="s">
        <v>618</v>
      </c>
      <c r="D5" s="25" t="s">
        <v>619</v>
      </c>
      <c r="E5" s="26" t="s">
        <v>620</v>
      </c>
      <c r="F5" s="26" t="s">
        <v>621</v>
      </c>
      <c r="G5" s="27" t="s">
        <v>622</v>
      </c>
      <c r="H5" s="24" t="s">
        <v>623</v>
      </c>
      <c r="I5" s="25" t="s">
        <v>624</v>
      </c>
      <c r="J5" s="26" t="s">
        <v>625</v>
      </c>
      <c r="K5" s="26" t="s">
        <v>626</v>
      </c>
      <c r="L5" s="26" t="s">
        <v>627</v>
      </c>
      <c r="M5" s="26" t="s">
        <v>628</v>
      </c>
      <c r="N5" s="27" t="s">
        <v>629</v>
      </c>
      <c r="O5" s="24" t="s">
        <v>630</v>
      </c>
      <c r="P5" s="25" t="s">
        <v>631</v>
      </c>
      <c r="Q5" s="27" t="s">
        <v>632</v>
      </c>
      <c r="R5" s="24" t="s">
        <v>633</v>
      </c>
      <c r="S5" s="25" t="s">
        <v>634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/>
      <c r="B6" s="37"/>
      <c r="C6" s="13" t="s">
        <v>635</v>
      </c>
      <c r="D6" s="14" t="s">
        <v>636</v>
      </c>
      <c r="E6" s="15" t="s">
        <v>637</v>
      </c>
      <c r="F6" s="15" t="s">
        <v>638</v>
      </c>
      <c r="G6" s="16" t="s">
        <v>639</v>
      </c>
      <c r="H6" s="38" t="s">
        <v>640</v>
      </c>
      <c r="I6" s="14" t="s">
        <v>641</v>
      </c>
      <c r="J6" s="15" t="s">
        <v>642</v>
      </c>
      <c r="K6" s="15" t="s">
        <v>643</v>
      </c>
      <c r="L6" s="15" t="s">
        <v>644</v>
      </c>
      <c r="M6" s="15" t="s">
        <v>645</v>
      </c>
      <c r="N6" s="16" t="s">
        <v>646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/>
      <c r="B8" s="43" t="s">
        <v>647</v>
      </c>
      <c r="C8" s="44">
        <v>38667</v>
      </c>
      <c r="D8" s="45">
        <f>平成９年度!E8+平成９年度!F8</f>
        <v>33337</v>
      </c>
      <c r="E8" s="45">
        <f>平成９年度!C8-平成９年度!G8-平成９年度!F8</f>
        <v>31747</v>
      </c>
      <c r="F8" s="46">
        <v>1590</v>
      </c>
      <c r="G8" s="47">
        <v>5330</v>
      </c>
      <c r="H8" s="48">
        <f>平成９年度!I8+平成９年度!L8</f>
        <v>77092</v>
      </c>
      <c r="I8" s="45">
        <f>平成９年度!J8+平成９年度!K8</f>
        <v>66124</v>
      </c>
      <c r="J8" s="46">
        <v>48690</v>
      </c>
      <c r="K8" s="49">
        <v>17434</v>
      </c>
      <c r="L8" s="45">
        <f>平成９年度!M8+平成９年度!N8</f>
        <v>10968</v>
      </c>
      <c r="M8" s="46">
        <v>7894</v>
      </c>
      <c r="N8" s="47">
        <v>3074</v>
      </c>
      <c r="O8" s="44">
        <v>102247</v>
      </c>
      <c r="P8" s="45">
        <v>290536</v>
      </c>
      <c r="Q8" s="47">
        <f>平成９年度!C8/平成９年度!O8</f>
        <v>0.37817246471779126</v>
      </c>
      <c r="R8" s="44">
        <f>平成９年度!H8/平成９年度!P8</f>
        <v>0.265344053748933</v>
      </c>
      <c r="S8" s="46">
        <f>平成９年度!L8/平成９年度!H8</f>
        <v>0.14227157162870338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/>
      <c r="B9" s="43" t="s">
        <v>648</v>
      </c>
      <c r="C9" s="44">
        <v>38741</v>
      </c>
      <c r="D9" s="45">
        <f>平成９年度!E9+平成９年度!F9</f>
        <v>33399</v>
      </c>
      <c r="E9" s="45">
        <f>平成９年度!C9-平成９年度!G9-平成９年度!F9</f>
        <v>31822</v>
      </c>
      <c r="F9" s="46">
        <v>1577</v>
      </c>
      <c r="G9" s="47">
        <v>5342</v>
      </c>
      <c r="H9" s="48">
        <f>平成９年度!I9+平成９年度!L9</f>
        <v>77143</v>
      </c>
      <c r="I9" s="45">
        <f>平成９年度!J9+平成９年度!K9</f>
        <v>66181</v>
      </c>
      <c r="J9" s="46">
        <v>48669</v>
      </c>
      <c r="K9" s="49">
        <v>17512</v>
      </c>
      <c r="L9" s="45">
        <f>平成９年度!M9+平成９年度!N9</f>
        <v>10962</v>
      </c>
      <c r="M9" s="46">
        <v>7892</v>
      </c>
      <c r="N9" s="47">
        <v>3070</v>
      </c>
      <c r="O9" s="44">
        <v>102352</v>
      </c>
      <c r="P9" s="45">
        <v>290657</v>
      </c>
      <c r="Q9" s="47">
        <f>平成９年度!C9/平成９年度!O9</f>
        <v>0.37850750351727375</v>
      </c>
      <c r="R9" s="44">
        <f>平成９年度!H9/平成９年度!P9</f>
        <v>0.26540905603512044</v>
      </c>
      <c r="S9" s="46">
        <f>平成９年度!L9/平成９年度!H9</f>
        <v>0.14209973685233918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/>
      <c r="B10" s="53" t="s">
        <v>649</v>
      </c>
      <c r="C10" s="54">
        <v>38857</v>
      </c>
      <c r="D10" s="55">
        <f>平成９年度!E10+平成９年度!F10</f>
        <v>33446</v>
      </c>
      <c r="E10" s="55">
        <f>平成９年度!C10-平成９年度!G10-平成９年度!F10</f>
        <v>31846</v>
      </c>
      <c r="F10" s="56">
        <v>1600</v>
      </c>
      <c r="G10" s="57">
        <v>5411</v>
      </c>
      <c r="H10" s="58">
        <f>平成９年度!I10+平成９年度!L10</f>
        <v>77280</v>
      </c>
      <c r="I10" s="55">
        <f>平成９年度!J10+平成９年度!K10</f>
        <v>66193</v>
      </c>
      <c r="J10" s="56">
        <v>48598</v>
      </c>
      <c r="K10" s="59">
        <v>17595</v>
      </c>
      <c r="L10" s="55">
        <f>平成９年度!M10+平成９年度!N10</f>
        <v>11087</v>
      </c>
      <c r="M10" s="56">
        <v>8002</v>
      </c>
      <c r="N10" s="57">
        <v>3085</v>
      </c>
      <c r="O10" s="54">
        <v>102450</v>
      </c>
      <c r="P10" s="55">
        <v>290693</v>
      </c>
      <c r="Q10" s="57">
        <f>平成９年度!C10/平成９年度!O10</f>
        <v>0.37927769643728648</v>
      </c>
      <c r="R10" s="54">
        <f>平成９年度!H10/平成９年度!P10</f>
        <v>0.26584747482739524</v>
      </c>
      <c r="S10" s="56">
        <f>平成９年度!L10/平成９年度!H10</f>
        <v>0.14346532091097308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/>
      <c r="B11" s="53" t="s">
        <v>650</v>
      </c>
      <c r="C11" s="54">
        <v>38960</v>
      </c>
      <c r="D11" s="55">
        <f>平成９年度!E11+平成９年度!F11</f>
        <v>33524</v>
      </c>
      <c r="E11" s="55">
        <f>平成９年度!C11-平成９年度!G11-平成９年度!F11</f>
        <v>31899</v>
      </c>
      <c r="F11" s="56">
        <v>1625</v>
      </c>
      <c r="G11" s="57">
        <v>5436</v>
      </c>
      <c r="H11" s="58">
        <f>平成９年度!I11+平成９年度!L11</f>
        <v>77472</v>
      </c>
      <c r="I11" s="55">
        <f>平成９年度!J11+平成９年度!K11</f>
        <v>66302</v>
      </c>
      <c r="J11" s="56">
        <v>48647</v>
      </c>
      <c r="K11" s="59">
        <v>17655</v>
      </c>
      <c r="L11" s="55">
        <f>平成９年度!M11+平成９年度!N11</f>
        <v>11170</v>
      </c>
      <c r="M11" s="56">
        <v>8052</v>
      </c>
      <c r="N11" s="57">
        <v>3118</v>
      </c>
      <c r="O11" s="54">
        <v>102464</v>
      </c>
      <c r="P11" s="55">
        <v>290776</v>
      </c>
      <c r="Q11" s="57">
        <f>平成９年度!C11/平成９年度!O11</f>
        <v>0.38023110555902562</v>
      </c>
      <c r="R11" s="54">
        <f>平成９年度!H11/平成９年度!P11</f>
        <v>0.26643189259086031</v>
      </c>
      <c r="S11" s="56">
        <f>平成９年度!L11/平成９年度!H11</f>
        <v>0.14418112350268483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/>
      <c r="B12" s="53" t="s">
        <v>651</v>
      </c>
      <c r="C12" s="54">
        <v>39074</v>
      </c>
      <c r="D12" s="55">
        <f>平成９年度!E12+平成９年度!F12</f>
        <v>33650</v>
      </c>
      <c r="E12" s="55">
        <f>平成９年度!C12-平成９年度!G12-平成９年度!F12</f>
        <v>32021</v>
      </c>
      <c r="F12" s="56">
        <v>1629</v>
      </c>
      <c r="G12" s="57">
        <v>5424</v>
      </c>
      <c r="H12" s="58">
        <f>平成９年度!I12+平成９年度!L12</f>
        <v>77606</v>
      </c>
      <c r="I12" s="55">
        <f>平成９年度!J12+平成９年度!K12</f>
        <v>66455</v>
      </c>
      <c r="J12" s="56">
        <v>48671</v>
      </c>
      <c r="K12" s="59">
        <v>17784</v>
      </c>
      <c r="L12" s="55">
        <f>平成９年度!M12+平成９年度!N12</f>
        <v>11151</v>
      </c>
      <c r="M12" s="56">
        <v>8037</v>
      </c>
      <c r="N12" s="57">
        <v>3114</v>
      </c>
      <c r="O12" s="54">
        <v>102465</v>
      </c>
      <c r="P12" s="55">
        <v>290846</v>
      </c>
      <c r="Q12" s="57">
        <f>平成９年度!C12/平成９年度!O12</f>
        <v>0.38133996974576684</v>
      </c>
      <c r="R12" s="54">
        <f>平成９年度!H12/平成９年度!P12</f>
        <v>0.26682849342951254</v>
      </c>
      <c r="S12" s="56">
        <f>平成９年度!L12/平成９年度!H12</f>
        <v>0.14368734376208026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/>
      <c r="B13" s="43" t="s">
        <v>652</v>
      </c>
      <c r="C13" s="44">
        <v>39207</v>
      </c>
      <c r="D13" s="45">
        <f>平成９年度!E13+平成９年度!F13</f>
        <v>33778</v>
      </c>
      <c r="E13" s="45">
        <f>平成９年度!C13-平成９年度!G13-平成９年度!F13</f>
        <v>32153</v>
      </c>
      <c r="F13" s="46">
        <v>1625</v>
      </c>
      <c r="G13" s="47">
        <v>5429</v>
      </c>
      <c r="H13" s="58">
        <f>平成９年度!I13+平成９年度!L13</f>
        <v>77805</v>
      </c>
      <c r="I13" s="45">
        <f>平成９年度!J13+平成９年度!K13</f>
        <v>66640</v>
      </c>
      <c r="J13" s="46">
        <v>48738</v>
      </c>
      <c r="K13" s="49">
        <v>17902</v>
      </c>
      <c r="L13" s="45">
        <f>平成９年度!M13+平成９年度!N13</f>
        <v>11165</v>
      </c>
      <c r="M13" s="46">
        <v>8037</v>
      </c>
      <c r="N13" s="47">
        <v>3128</v>
      </c>
      <c r="O13" s="44">
        <v>102598</v>
      </c>
      <c r="P13" s="45">
        <v>291048</v>
      </c>
      <c r="Q13" s="47">
        <f>平成９年度!C13/平成９年度!O13</f>
        <v>0.38214195208483598</v>
      </c>
      <c r="R13" s="44">
        <f>平成９年度!H13/平成９年度!P13</f>
        <v>0.26732703883895442</v>
      </c>
      <c r="S13" s="46">
        <f>平成９年度!L13/平成９年度!H13</f>
        <v>0.14349977507872244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/>
      <c r="B14" s="43" t="s">
        <v>653</v>
      </c>
      <c r="C14" s="44">
        <v>39316</v>
      </c>
      <c r="D14" s="45">
        <f>平成９年度!E14+平成９年度!F14</f>
        <v>33864</v>
      </c>
      <c r="E14" s="45">
        <f>平成９年度!C14-平成９年度!G14-平成９年度!F14</f>
        <v>32228</v>
      </c>
      <c r="F14" s="46">
        <v>1636</v>
      </c>
      <c r="G14" s="47">
        <v>5452</v>
      </c>
      <c r="H14" s="48">
        <f>平成９年度!I14+平成９年度!L14</f>
        <v>78018</v>
      </c>
      <c r="I14" s="45">
        <f>平成９年度!J14+平成９年度!K14</f>
        <v>66783</v>
      </c>
      <c r="J14" s="46">
        <v>48781</v>
      </c>
      <c r="K14" s="49">
        <v>18002</v>
      </c>
      <c r="L14" s="45">
        <f>平成９年度!M14+平成９年度!N14</f>
        <v>11235</v>
      </c>
      <c r="M14" s="46">
        <v>8076</v>
      </c>
      <c r="N14" s="47">
        <v>3159</v>
      </c>
      <c r="O14" s="44">
        <v>102749</v>
      </c>
      <c r="P14" s="45">
        <v>291188</v>
      </c>
      <c r="Q14" s="47">
        <f>平成９年度!C14/平成９年度!O14</f>
        <v>0.38264119358825877</v>
      </c>
      <c r="R14" s="44">
        <f>平成９年度!H14/平成９年度!P14</f>
        <v>0.26792999711526572</v>
      </c>
      <c r="S14" s="46">
        <f>平成９年度!L14/平成９年度!H14</f>
        <v>0.14400522956240869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/>
      <c r="B15" s="53" t="s">
        <v>654</v>
      </c>
      <c r="C15" s="54">
        <v>39406</v>
      </c>
      <c r="D15" s="55">
        <f>平成９年度!E15+平成９年度!F15</f>
        <v>33957</v>
      </c>
      <c r="E15" s="55">
        <f>平成９年度!C15-平成９年度!G15-平成９年度!F15</f>
        <v>32314</v>
      </c>
      <c r="F15" s="56">
        <v>1643</v>
      </c>
      <c r="G15" s="57">
        <v>5449</v>
      </c>
      <c r="H15" s="58">
        <f>平成９年度!I15+平成９年度!L15</f>
        <v>78148</v>
      </c>
      <c r="I15" s="55">
        <f>平成９年度!J15+平成９年度!K15</f>
        <v>66908</v>
      </c>
      <c r="J15" s="56">
        <v>48820</v>
      </c>
      <c r="K15" s="59">
        <v>18088</v>
      </c>
      <c r="L15" s="55">
        <f>平成９年度!M15+平成９年度!N15</f>
        <v>11240</v>
      </c>
      <c r="M15" s="56">
        <v>8088</v>
      </c>
      <c r="N15" s="57">
        <v>3152</v>
      </c>
      <c r="O15" s="54">
        <v>102919</v>
      </c>
      <c r="P15" s="55">
        <v>291391</v>
      </c>
      <c r="Q15" s="57">
        <f>平成９年度!C15/平成９年度!O15</f>
        <v>0.38288362692991573</v>
      </c>
      <c r="R15" s="54">
        <f>平成９年度!H15/平成９年度!P15</f>
        <v>0.26818947736889609</v>
      </c>
      <c r="S15" s="56">
        <f>平成９年度!L15/平成９年度!H15</f>
        <v>0.14382965654911195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/>
      <c r="B16" s="43" t="s">
        <v>655</v>
      </c>
      <c r="C16" s="44">
        <v>39486</v>
      </c>
      <c r="D16" s="45">
        <f>平成９年度!E16+平成９年度!F16</f>
        <v>34004</v>
      </c>
      <c r="E16" s="45">
        <f>平成９年度!C16-平成９年度!G16-平成９年度!F16</f>
        <v>32334</v>
      </c>
      <c r="F16" s="46">
        <v>1670</v>
      </c>
      <c r="G16" s="47">
        <v>5482</v>
      </c>
      <c r="H16" s="48">
        <f>平成９年度!I16+平成９年度!L16</f>
        <v>78262</v>
      </c>
      <c r="I16" s="45">
        <f>平成９年度!J16+平成９年度!K16</f>
        <v>66947</v>
      </c>
      <c r="J16" s="46">
        <v>48790</v>
      </c>
      <c r="K16" s="49">
        <v>18157</v>
      </c>
      <c r="L16" s="45">
        <f>平成９年度!M16+平成９年度!N16</f>
        <v>11315</v>
      </c>
      <c r="M16" s="46">
        <v>8153</v>
      </c>
      <c r="N16" s="47">
        <v>3162</v>
      </c>
      <c r="O16" s="44">
        <v>102989</v>
      </c>
      <c r="P16" s="45">
        <v>291550</v>
      </c>
      <c r="Q16" s="47">
        <f>平成９年度!C16/平成９年度!O16</f>
        <v>0.38340016895008205</v>
      </c>
      <c r="R16" s="44">
        <f>平成９年度!H16/平成９年度!P16</f>
        <v>0.26843423083519125</v>
      </c>
      <c r="S16" s="46">
        <f>平成９年度!L16/平成９年度!H16</f>
        <v>0.14457846719991824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656</v>
      </c>
      <c r="C17" s="44">
        <v>39616</v>
      </c>
      <c r="D17" s="45">
        <f>平成９年度!E17+平成９年度!F17</f>
        <v>34147</v>
      </c>
      <c r="E17" s="45">
        <f>平成９年度!C17-平成９年度!G17-平成９年度!F17</f>
        <v>32481</v>
      </c>
      <c r="F17" s="46">
        <v>1666</v>
      </c>
      <c r="G17" s="47">
        <v>5469</v>
      </c>
      <c r="H17" s="58">
        <f>平成９年度!I17+平成９年度!L17</f>
        <v>78580</v>
      </c>
      <c r="I17" s="45">
        <f>平成９年度!J17+平成９年度!K17</f>
        <v>67296</v>
      </c>
      <c r="J17" s="46">
        <v>49102</v>
      </c>
      <c r="K17" s="49">
        <v>18194</v>
      </c>
      <c r="L17" s="45">
        <f>平成９年度!M17+平成９年度!N17</f>
        <v>11284</v>
      </c>
      <c r="M17" s="46">
        <v>8125</v>
      </c>
      <c r="N17" s="47">
        <v>3159</v>
      </c>
      <c r="O17" s="44">
        <v>103047</v>
      </c>
      <c r="P17" s="45">
        <v>291648</v>
      </c>
      <c r="Q17" s="47">
        <f>平成９年度!C17/平成９年度!O17</f>
        <v>0.38444593243859598</v>
      </c>
      <c r="R17" s="44">
        <f>平成９年度!H17/平成９年度!P17</f>
        <v>0.26943438665788894</v>
      </c>
      <c r="S17" s="46">
        <f>平成９年度!L17/平成９年度!H17</f>
        <v>0.14359888012216848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657</v>
      </c>
      <c r="C18" s="54">
        <v>39695</v>
      </c>
      <c r="D18" s="55">
        <f>平成９年度!E18+平成９年度!F18</f>
        <v>34240</v>
      </c>
      <c r="E18" s="55">
        <f>平成９年度!C18-平成９年度!G18-平成９年度!F18</f>
        <v>32557</v>
      </c>
      <c r="F18" s="56">
        <v>1683</v>
      </c>
      <c r="G18" s="57">
        <v>5455</v>
      </c>
      <c r="H18" s="58">
        <f>平成９年度!I18+平成９年度!L18</f>
        <v>78727</v>
      </c>
      <c r="I18" s="55">
        <f>平成９年度!J18+平成９年度!K18</f>
        <v>67444</v>
      </c>
      <c r="J18" s="56">
        <v>49108</v>
      </c>
      <c r="K18" s="59">
        <v>18336</v>
      </c>
      <c r="L18" s="55">
        <f>平成９年度!M18+平成９年度!N18</f>
        <v>11283</v>
      </c>
      <c r="M18" s="56">
        <v>8122</v>
      </c>
      <c r="N18" s="57">
        <v>3161</v>
      </c>
      <c r="O18" s="54">
        <v>103162</v>
      </c>
      <c r="P18" s="55">
        <v>291808</v>
      </c>
      <c r="Q18" s="57">
        <f>平成９年度!C18/平成９年度!O18</f>
        <v>0.38478315658866635</v>
      </c>
      <c r="R18" s="54">
        <f>平成９年度!H18/平成９年度!P18</f>
        <v>0.26979041013269001</v>
      </c>
      <c r="S18" s="56">
        <f>平成９年度!L18/平成９年度!H18</f>
        <v>0.1433180484458953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658</v>
      </c>
      <c r="C19" s="54">
        <v>39808</v>
      </c>
      <c r="D19" s="55">
        <f>平成９年度!E19+平成９年度!F19</f>
        <v>34347</v>
      </c>
      <c r="E19" s="55">
        <f>平成９年度!C19-平成９年度!G19-平成９年度!F19</f>
        <v>32655</v>
      </c>
      <c r="F19" s="56">
        <v>1692</v>
      </c>
      <c r="G19" s="57">
        <v>5461</v>
      </c>
      <c r="H19" s="58">
        <f>平成９年度!I19+平成９年度!L19</f>
        <v>78843</v>
      </c>
      <c r="I19" s="55">
        <f>平成９年度!J19+平成９年度!K19</f>
        <v>67530</v>
      </c>
      <c r="J19" s="56">
        <v>49113</v>
      </c>
      <c r="K19" s="59">
        <v>18417</v>
      </c>
      <c r="L19" s="55">
        <f>平成９年度!M19+平成９年度!N19</f>
        <v>11313</v>
      </c>
      <c r="M19" s="56">
        <v>8143</v>
      </c>
      <c r="N19" s="57">
        <v>3170</v>
      </c>
      <c r="O19" s="54">
        <v>103255</v>
      </c>
      <c r="P19" s="55">
        <v>291366</v>
      </c>
      <c r="Q19" s="57">
        <f>平成９年度!C19/平成９年度!O19</f>
        <v>0.38553096702338868</v>
      </c>
      <c r="R19" s="54">
        <f>平成９年度!H19/平成９年度!P19</f>
        <v>0.27059780482280021</v>
      </c>
      <c r="S19" s="56">
        <f>平成９年度!L19/平成９年度!H19</f>
        <v>0.14348769072714129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659</v>
      </c>
      <c r="C20" s="48">
        <f>SUM(平成９年度!C8:C19)</f>
        <v>470833</v>
      </c>
      <c r="D20" s="45">
        <f>SUM(平成９年度!D8:D19)</f>
        <v>405693</v>
      </c>
      <c r="E20" s="79">
        <f>SUM(平成９年度!E8:E19)</f>
        <v>386057</v>
      </c>
      <c r="F20" s="79">
        <f>SUM(平成９年度!F8:F19)</f>
        <v>19636</v>
      </c>
      <c r="G20" s="80">
        <f>SUM(平成９年度!G8:G19)</f>
        <v>65140</v>
      </c>
      <c r="H20" s="48">
        <f>SUM(平成９年度!H8:H19)</f>
        <v>934976</v>
      </c>
      <c r="I20" s="45">
        <f>SUM(平成９年度!I8:I19)</f>
        <v>800803</v>
      </c>
      <c r="J20" s="79">
        <f>SUM(平成９年度!J8:J19)</f>
        <v>585727</v>
      </c>
      <c r="K20" s="79">
        <f>SUM(平成９年度!K8:K19)</f>
        <v>215076</v>
      </c>
      <c r="L20" s="79">
        <f>SUM(平成９年度!L8:L19)</f>
        <v>134173</v>
      </c>
      <c r="M20" s="79">
        <f>SUM(平成９年度!M8:M19)</f>
        <v>96621</v>
      </c>
      <c r="N20" s="80">
        <f>SUM(平成９年度!N8:N19)</f>
        <v>37552</v>
      </c>
      <c r="O20" s="48">
        <f>SUM(平成９年度!O8:O19)</f>
        <v>1232697</v>
      </c>
      <c r="P20" s="45">
        <f>SUM(平成９年度!P8:P19)</f>
        <v>3493507</v>
      </c>
      <c r="Q20" s="80">
        <f>平成９年度!C20/平成９年度!O20</f>
        <v>0.38195355387414748</v>
      </c>
      <c r="R20" s="48">
        <f>平成９年度!H20/平成９年度!P20</f>
        <v>0.2676324965142477</v>
      </c>
      <c r="S20" s="45">
        <f>平成９年度!L20/平成９年度!H20</f>
        <v>0.14350421829009516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660</v>
      </c>
      <c r="C21" s="48" t="e">
        <f>#VALUE!</f>
        <v>#VALUE!</v>
      </c>
      <c r="D21" s="45" t="e">
        <f>#VALUE!</f>
        <v>#VALUE!</v>
      </c>
      <c r="E21" s="79" t="e">
        <f>#VALUE!</f>
        <v>#VALUE!</v>
      </c>
      <c r="F21" s="79" t="e">
        <f>#VALUE!</f>
        <v>#VALUE!</v>
      </c>
      <c r="G21" s="80" t="e">
        <f>#VALUE!</f>
        <v>#VALUE!</v>
      </c>
      <c r="H21" s="48" t="e">
        <f>#VALUE!</f>
        <v>#VALUE!</v>
      </c>
      <c r="I21" s="45" t="e">
        <f>#VALUE!</f>
        <v>#VALUE!</v>
      </c>
      <c r="J21" s="79" t="e">
        <f>#VALUE!</f>
        <v>#VALUE!</v>
      </c>
      <c r="K21" s="79" t="e">
        <f>#VALUE!</f>
        <v>#VALUE!</v>
      </c>
      <c r="L21" s="79" t="e">
        <f>#VALUE!</f>
        <v>#VALUE!</v>
      </c>
      <c r="M21" s="79" t="e">
        <f>#VALUE!</f>
        <v>#VALUE!</v>
      </c>
      <c r="N21" s="80" t="e">
        <f>#VALUE!</f>
        <v>#VALUE!</v>
      </c>
      <c r="O21" s="48" t="e">
        <f>#VALUE!</f>
        <v>#VALUE!</v>
      </c>
      <c r="P21" s="45" t="e">
        <f>#VALUE!</f>
        <v>#VALUE!</v>
      </c>
      <c r="Q21" s="80" t="e">
        <f>平成９年度!C21/平成９年度!O21</f>
        <v>#VALUE!</v>
      </c>
      <c r="R21" s="48" t="e">
        <f>平成９年度!H21/平成９年度!P21</f>
        <v>#VALUE!</v>
      </c>
      <c r="S21" s="45" t="e">
        <f>平成９年度!L21/平成９年度!H21</f>
        <v>#VALUE!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 t="s">
        <v>661</v>
      </c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662</v>
      </c>
      <c r="C23" s="48">
        <f>平成９年度!C8</f>
        <v>38667</v>
      </c>
      <c r="D23" s="45">
        <f>平成９年度!D8</f>
        <v>33337</v>
      </c>
      <c r="E23" s="79">
        <f>平成９年度!E8</f>
        <v>31747</v>
      </c>
      <c r="F23" s="79">
        <f>平成９年度!F8</f>
        <v>1590</v>
      </c>
      <c r="G23" s="80">
        <f>平成９年度!G8</f>
        <v>5330</v>
      </c>
      <c r="H23" s="48">
        <f>平成９年度!H8</f>
        <v>77092</v>
      </c>
      <c r="I23" s="45">
        <f>平成９年度!I8</f>
        <v>66124</v>
      </c>
      <c r="J23" s="79">
        <f>平成９年度!J8</f>
        <v>48690</v>
      </c>
      <c r="K23" s="79">
        <f>平成９年度!K8</f>
        <v>17434</v>
      </c>
      <c r="L23" s="79">
        <f>平成９年度!L8</f>
        <v>10968</v>
      </c>
      <c r="M23" s="79">
        <f>平成９年度!M8</f>
        <v>7894</v>
      </c>
      <c r="N23" s="80">
        <f>平成９年度!N8</f>
        <v>3074</v>
      </c>
      <c r="O23" s="48">
        <f>平成９年度!O8</f>
        <v>102247</v>
      </c>
      <c r="P23" s="45">
        <f>平成９年度!P8</f>
        <v>290536</v>
      </c>
      <c r="Q23" s="80">
        <f>平成９年度!C23/平成９年度!O23</f>
        <v>0.37817246471779126</v>
      </c>
      <c r="R23" s="48">
        <f>平成９年度!H23/平成９年度!P23</f>
        <v>0.265344053748933</v>
      </c>
      <c r="S23" s="45">
        <f>平成９年度!L23/平成９年度!H23</f>
        <v>0.14227157162870338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663</v>
      </c>
      <c r="C24" s="58">
        <f>SUM(平成９年度!C8:C9)</f>
        <v>77408</v>
      </c>
      <c r="D24" s="55">
        <f>SUM(平成９年度!D8:D9)</f>
        <v>66736</v>
      </c>
      <c r="E24" s="89">
        <f>SUM(平成９年度!E8:E9)</f>
        <v>63569</v>
      </c>
      <c r="F24" s="89">
        <f>SUM(平成９年度!F8:F9)</f>
        <v>3167</v>
      </c>
      <c r="G24" s="90">
        <f>SUM(平成９年度!G8:G9)</f>
        <v>10672</v>
      </c>
      <c r="H24" s="58">
        <f>SUM(平成９年度!H8:H9)</f>
        <v>154235</v>
      </c>
      <c r="I24" s="55">
        <f>SUM(平成９年度!I8:I9)</f>
        <v>132305</v>
      </c>
      <c r="J24" s="89">
        <f>SUM(平成９年度!J8:J9)</f>
        <v>97359</v>
      </c>
      <c r="K24" s="89">
        <f>SUM(平成９年度!K8:K9)</f>
        <v>34946</v>
      </c>
      <c r="L24" s="89">
        <f>SUM(平成９年度!L8:L9)</f>
        <v>21930</v>
      </c>
      <c r="M24" s="89">
        <f>SUM(平成９年度!M8:M9)</f>
        <v>15786</v>
      </c>
      <c r="N24" s="90">
        <f>SUM(平成９年度!N8:N9)</f>
        <v>6144</v>
      </c>
      <c r="O24" s="58">
        <f>SUM(平成９年度!O8:O9)</f>
        <v>204599</v>
      </c>
      <c r="P24" s="55">
        <f>SUM(平成９年度!P8:P9)</f>
        <v>581193</v>
      </c>
      <c r="Q24" s="90">
        <f>平成９年度!C24/平成９年度!O24</f>
        <v>0.3783400700883191</v>
      </c>
      <c r="R24" s="58">
        <f>平成９年度!H24/平成９年度!P24</f>
        <v>0.26537656165851964</v>
      </c>
      <c r="S24" s="55">
        <f>平成９年度!L24/平成９年度!H24</f>
        <v>0.14218562583071287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664</v>
      </c>
      <c r="C25" s="58">
        <f>SUM(平成９年度!C8:C10)</f>
        <v>116265</v>
      </c>
      <c r="D25" s="55">
        <f>SUM(平成９年度!D8:D10)</f>
        <v>100182</v>
      </c>
      <c r="E25" s="89">
        <f>SUM(平成９年度!E8:E10)</f>
        <v>95415</v>
      </c>
      <c r="F25" s="89">
        <f>SUM(平成９年度!F8:F10)</f>
        <v>4767</v>
      </c>
      <c r="G25" s="90">
        <f>SUM(平成９年度!G8:G10)</f>
        <v>16083</v>
      </c>
      <c r="H25" s="58">
        <f>SUM(平成９年度!H8:H10)</f>
        <v>231515</v>
      </c>
      <c r="I25" s="55">
        <f>SUM(平成９年度!I8:I10)</f>
        <v>198498</v>
      </c>
      <c r="J25" s="89">
        <f>SUM(平成９年度!J8:J10)</f>
        <v>145957</v>
      </c>
      <c r="K25" s="89">
        <f>SUM(平成９年度!K8:K10)</f>
        <v>52541</v>
      </c>
      <c r="L25" s="89">
        <f>SUM(平成９年度!L8:L10)</f>
        <v>33017</v>
      </c>
      <c r="M25" s="89">
        <f>SUM(平成９年度!M8:M10)</f>
        <v>23788</v>
      </c>
      <c r="N25" s="90">
        <f>SUM(平成９年度!N8:N10)</f>
        <v>9229</v>
      </c>
      <c r="O25" s="58">
        <f>SUM(平成９年度!O8:O10)</f>
        <v>307049</v>
      </c>
      <c r="P25" s="55">
        <f>SUM(平成９年度!P8:P10)</f>
        <v>871886</v>
      </c>
      <c r="Q25" s="90">
        <f>平成９年度!C25/平成９年度!O25</f>
        <v>0.37865291858954109</v>
      </c>
      <c r="R25" s="58">
        <f>平成９年度!H25/平成９年度!P25</f>
        <v>0.26553356746180118</v>
      </c>
      <c r="S25" s="55">
        <f>平成９年度!L25/平成９年度!H25</f>
        <v>0.14261278966805607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665</v>
      </c>
      <c r="C26" s="58">
        <f>SUM(平成９年度!C8:C11)</f>
        <v>155225</v>
      </c>
      <c r="D26" s="55">
        <f>SUM(平成９年度!D8:D11)</f>
        <v>133706</v>
      </c>
      <c r="E26" s="89">
        <f>SUM(平成９年度!E8:E11)</f>
        <v>127314</v>
      </c>
      <c r="F26" s="89">
        <f>SUM(平成９年度!F8:F11)</f>
        <v>6392</v>
      </c>
      <c r="G26" s="90">
        <f>SUM(平成９年度!G8:G11)</f>
        <v>21519</v>
      </c>
      <c r="H26" s="58">
        <f>SUM(平成９年度!H8:H11)</f>
        <v>308987</v>
      </c>
      <c r="I26" s="55">
        <f>SUM(平成９年度!I8:I11)</f>
        <v>264800</v>
      </c>
      <c r="J26" s="89">
        <f>SUM(平成９年度!J8:J11)</f>
        <v>194604</v>
      </c>
      <c r="K26" s="89">
        <f>SUM(平成９年度!K8:K11)</f>
        <v>70196</v>
      </c>
      <c r="L26" s="89">
        <f>SUM(平成９年度!L8:L11)</f>
        <v>44187</v>
      </c>
      <c r="M26" s="89">
        <f>SUM(平成９年度!M8:M11)</f>
        <v>31840</v>
      </c>
      <c r="N26" s="90">
        <f>SUM(平成９年度!N8:N11)</f>
        <v>12347</v>
      </c>
      <c r="O26" s="58">
        <f>SUM(平成９年度!O8:O11)</f>
        <v>409513</v>
      </c>
      <c r="P26" s="55">
        <f>SUM(平成９年度!P8:P11)</f>
        <v>1162662</v>
      </c>
      <c r="Q26" s="90">
        <f>平成９年度!C26/平成９年度!O26</f>
        <v>0.37904779579647047</v>
      </c>
      <c r="R26" s="58">
        <f>平成９年度!H26/平成９年度!P26</f>
        <v>0.26575823412135258</v>
      </c>
      <c r="S26" s="55">
        <f>平成９年度!L26/平成９年度!H26</f>
        <v>0.14300601643434838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666</v>
      </c>
      <c r="C27" s="58">
        <f>SUM(平成９年度!C8:C12)</f>
        <v>194299</v>
      </c>
      <c r="D27" s="55">
        <f>SUM(平成９年度!D8:D12)</f>
        <v>167356</v>
      </c>
      <c r="E27" s="89">
        <f>SUM(平成９年度!E8:E12)</f>
        <v>159335</v>
      </c>
      <c r="F27" s="89">
        <f>SUM(平成９年度!F8:F12)</f>
        <v>8021</v>
      </c>
      <c r="G27" s="90">
        <f>SUM(平成９年度!G8:G12)</f>
        <v>26943</v>
      </c>
      <c r="H27" s="58">
        <f>SUM(平成９年度!H8:H12)</f>
        <v>386593</v>
      </c>
      <c r="I27" s="55">
        <f>SUM(平成９年度!I8:I12)</f>
        <v>331255</v>
      </c>
      <c r="J27" s="89">
        <f>SUM(平成９年度!J8:J12)</f>
        <v>243275</v>
      </c>
      <c r="K27" s="89">
        <f>SUM(平成９年度!K8:K12)</f>
        <v>87980</v>
      </c>
      <c r="L27" s="89">
        <f>SUM(平成９年度!L8:L12)</f>
        <v>55338</v>
      </c>
      <c r="M27" s="89">
        <f>SUM(平成９年度!M8:M12)</f>
        <v>39877</v>
      </c>
      <c r="N27" s="90">
        <f>SUM(平成９年度!N8:N12)</f>
        <v>15461</v>
      </c>
      <c r="O27" s="58">
        <f>SUM(平成９年度!O8:O12)</f>
        <v>511978</v>
      </c>
      <c r="P27" s="55">
        <f>SUM(平成９年度!P8:P12)</f>
        <v>1453508</v>
      </c>
      <c r="Q27" s="90">
        <f>平成９年度!C27/平成９年度!O27</f>
        <v>0.37950654129669636</v>
      </c>
      <c r="R27" s="58">
        <f>平成９年度!H27/平成９年度!P27</f>
        <v>0.26597239230881425</v>
      </c>
      <c r="S27" s="55">
        <f>平成９年度!L27/平成９年度!H27</f>
        <v>0.14314278841055064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667</v>
      </c>
      <c r="C28" s="58">
        <f>SUM(平成９年度!C8:C13)</f>
        <v>233506</v>
      </c>
      <c r="D28" s="55">
        <f>SUM(平成９年度!D8:D13)</f>
        <v>201134</v>
      </c>
      <c r="E28" s="89">
        <f>SUM(平成９年度!E8:E13)</f>
        <v>191488</v>
      </c>
      <c r="F28" s="89">
        <f>SUM(平成９年度!F8:F13)</f>
        <v>9646</v>
      </c>
      <c r="G28" s="90">
        <f>SUM(平成９年度!G8:G13)</f>
        <v>32372</v>
      </c>
      <c r="H28" s="58">
        <f>SUM(平成９年度!H8:H13)</f>
        <v>464398</v>
      </c>
      <c r="I28" s="55">
        <f>SUM(平成９年度!I8:I13)</f>
        <v>397895</v>
      </c>
      <c r="J28" s="89">
        <f>SUM(平成９年度!J8:J13)</f>
        <v>292013</v>
      </c>
      <c r="K28" s="89">
        <f>SUM(平成９年度!K8:K13)</f>
        <v>105882</v>
      </c>
      <c r="L28" s="89">
        <f>SUM(平成９年度!L8:L13)</f>
        <v>66503</v>
      </c>
      <c r="M28" s="89">
        <f>SUM(平成９年度!M8:M13)</f>
        <v>47914</v>
      </c>
      <c r="N28" s="90">
        <f>SUM(平成９年度!N8:N13)</f>
        <v>18589</v>
      </c>
      <c r="O28" s="58">
        <f>SUM(平成９年度!O8:O13)</f>
        <v>614576</v>
      </c>
      <c r="P28" s="55">
        <f>SUM(平成９年度!P8:P13)</f>
        <v>1744556</v>
      </c>
      <c r="Q28" s="90">
        <f>平成９年度!C28/平成９年度!O28</f>
        <v>0.37994649970060662</v>
      </c>
      <c r="R28" s="58">
        <f>平成９年度!H28/平成９年度!P28</f>
        <v>0.26619839087997177</v>
      </c>
      <c r="S28" s="55">
        <f>平成９年度!L28/平成９年度!H28</f>
        <v>0.14320259777173891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668</v>
      </c>
      <c r="C29" s="58">
        <f>SUM(平成９年度!C8:C14)</f>
        <v>272822</v>
      </c>
      <c r="D29" s="55">
        <f>SUM(平成９年度!D8:D14)</f>
        <v>234998</v>
      </c>
      <c r="E29" s="89">
        <f>SUM(平成９年度!E8:E14)</f>
        <v>223716</v>
      </c>
      <c r="F29" s="89">
        <f>SUM(平成９年度!F8:F14)</f>
        <v>11282</v>
      </c>
      <c r="G29" s="90">
        <f>SUM(平成９年度!G8:G14)</f>
        <v>37824</v>
      </c>
      <c r="H29" s="58">
        <f>SUM(平成９年度!H8:H14)</f>
        <v>542416</v>
      </c>
      <c r="I29" s="55">
        <f>SUM(平成９年度!I8:I14)</f>
        <v>464678</v>
      </c>
      <c r="J29" s="89">
        <f>SUM(平成９年度!J8:J14)</f>
        <v>340794</v>
      </c>
      <c r="K29" s="89">
        <f>SUM(平成９年度!K8:K14)</f>
        <v>123884</v>
      </c>
      <c r="L29" s="89">
        <f>SUM(平成９年度!L8:L14)</f>
        <v>77738</v>
      </c>
      <c r="M29" s="89">
        <f>SUM(平成９年度!M8:M14)</f>
        <v>55990</v>
      </c>
      <c r="N29" s="90">
        <f>SUM(平成９年度!N8:N14)</f>
        <v>21748</v>
      </c>
      <c r="O29" s="58">
        <f>SUM(平成９年度!O8:O14)</f>
        <v>717325</v>
      </c>
      <c r="P29" s="55">
        <f>SUM(平成９年度!P8:P14)</f>
        <v>2035744</v>
      </c>
      <c r="Q29" s="90">
        <f>平成９年度!C29/平成９年度!O29</f>
        <v>0.38033248527515423</v>
      </c>
      <c r="R29" s="58">
        <f>平成９年度!H29/平成９年度!P29</f>
        <v>0.26644607573447349</v>
      </c>
      <c r="S29" s="55">
        <f>平成９年度!L29/平成９年度!H29</f>
        <v>0.14331804371552462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669</v>
      </c>
      <c r="C30" s="58">
        <f>SUM(平成９年度!C8:C15)</f>
        <v>312228</v>
      </c>
      <c r="D30" s="55">
        <f>SUM(平成９年度!D8:D15)</f>
        <v>268955</v>
      </c>
      <c r="E30" s="89">
        <f>SUM(平成９年度!E8:E15)</f>
        <v>256030</v>
      </c>
      <c r="F30" s="89">
        <f>SUM(平成９年度!F8:F15)</f>
        <v>12925</v>
      </c>
      <c r="G30" s="90">
        <f>SUM(平成９年度!G8:G15)</f>
        <v>43273</v>
      </c>
      <c r="H30" s="58">
        <f>SUM(平成９年度!H8:H15)</f>
        <v>620564</v>
      </c>
      <c r="I30" s="55">
        <f>SUM(平成９年度!I8:I15)</f>
        <v>531586</v>
      </c>
      <c r="J30" s="89">
        <f>SUM(平成９年度!J8:J15)</f>
        <v>389614</v>
      </c>
      <c r="K30" s="89">
        <f>SUM(平成９年度!K8:K15)</f>
        <v>141972</v>
      </c>
      <c r="L30" s="89">
        <f>SUM(平成９年度!L8:L15)</f>
        <v>88978</v>
      </c>
      <c r="M30" s="89">
        <f>SUM(平成９年度!M8:M15)</f>
        <v>64078</v>
      </c>
      <c r="N30" s="90">
        <f>SUM(平成９年度!N8:N15)</f>
        <v>24900</v>
      </c>
      <c r="O30" s="58">
        <f>SUM(平成９年度!O8:O15)</f>
        <v>820244</v>
      </c>
      <c r="P30" s="55">
        <f>SUM(平成９年度!P8:P15)</f>
        <v>2327135</v>
      </c>
      <c r="Q30" s="90">
        <f>平成９年度!C30/平成９年度!O30</f>
        <v>0.38065258630358773</v>
      </c>
      <c r="R30" s="58">
        <f>平成９年度!H30/平成９年度!P30</f>
        <v>0.26666437486437183</v>
      </c>
      <c r="S30" s="55">
        <f>平成９年度!L30/平成９年度!H30</f>
        <v>0.14338247142921601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670</v>
      </c>
      <c r="C31" s="58">
        <f>SUM(平成９年度!C8:C16)</f>
        <v>351714</v>
      </c>
      <c r="D31" s="55">
        <f>SUM(平成９年度!D8:D16)</f>
        <v>302959</v>
      </c>
      <c r="E31" s="89">
        <f>SUM(平成９年度!E8:E16)</f>
        <v>288364</v>
      </c>
      <c r="F31" s="89">
        <f>SUM(平成９年度!F8:F16)</f>
        <v>14595</v>
      </c>
      <c r="G31" s="90">
        <f>SUM(平成９年度!G8:G16)</f>
        <v>48755</v>
      </c>
      <c r="H31" s="58">
        <f>SUM(平成９年度!H8:H16)</f>
        <v>698826</v>
      </c>
      <c r="I31" s="55">
        <f>SUM(平成９年度!I8:I16)</f>
        <v>598533</v>
      </c>
      <c r="J31" s="89">
        <f>SUM(平成９年度!J8:J16)</f>
        <v>438404</v>
      </c>
      <c r="K31" s="89">
        <f>SUM(平成９年度!K8:K16)</f>
        <v>160129</v>
      </c>
      <c r="L31" s="89">
        <f>SUM(平成９年度!L8:L16)</f>
        <v>100293</v>
      </c>
      <c r="M31" s="89">
        <f>SUM(平成９年度!M8:M16)</f>
        <v>72231</v>
      </c>
      <c r="N31" s="90">
        <f>SUM(平成９年度!N8:N16)</f>
        <v>28062</v>
      </c>
      <c r="O31" s="58">
        <f>SUM(平成９年度!O8:O16)</f>
        <v>923233</v>
      </c>
      <c r="P31" s="55">
        <f>SUM(平成９年度!P8:P16)</f>
        <v>2618685</v>
      </c>
      <c r="Q31" s="90">
        <f>平成９年度!C31/平成９年度!O31</f>
        <v>0.38095908616784713</v>
      </c>
      <c r="R31" s="58">
        <f>平成９年度!H31/平成９年度!P31</f>
        <v>0.26686142090400333</v>
      </c>
      <c r="S31" s="55">
        <f>平成９年度!L31/平成９年度!H31</f>
        <v>0.14351641181066532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671</v>
      </c>
      <c r="C32" s="58">
        <f>SUM(平成９年度!C8:C17)</f>
        <v>391330</v>
      </c>
      <c r="D32" s="55">
        <f>SUM(平成９年度!D8:D17)</f>
        <v>337106</v>
      </c>
      <c r="E32" s="89">
        <f>SUM(平成９年度!E8:E17)</f>
        <v>320845</v>
      </c>
      <c r="F32" s="89">
        <f>SUM(平成９年度!F8:F17)</f>
        <v>16261</v>
      </c>
      <c r="G32" s="90">
        <f>SUM(平成９年度!G8:G17)</f>
        <v>54224</v>
      </c>
      <c r="H32" s="58">
        <f>SUM(平成９年度!H8:H17)</f>
        <v>777406</v>
      </c>
      <c r="I32" s="55">
        <f>SUM(平成９年度!I8:I17)</f>
        <v>665829</v>
      </c>
      <c r="J32" s="89">
        <f>SUM(平成９年度!J8:J17)</f>
        <v>487506</v>
      </c>
      <c r="K32" s="89">
        <f>SUM(平成９年度!K8:K17)</f>
        <v>178323</v>
      </c>
      <c r="L32" s="89">
        <f>SUM(平成９年度!L8:L17)</f>
        <v>111577</v>
      </c>
      <c r="M32" s="89">
        <f>SUM(平成９年度!M8:M17)</f>
        <v>80356</v>
      </c>
      <c r="N32" s="90">
        <f>SUM(平成９年度!N8:N17)</f>
        <v>31221</v>
      </c>
      <c r="O32" s="58">
        <f>SUM(平成９年度!O8:O17)</f>
        <v>1026280</v>
      </c>
      <c r="P32" s="55">
        <f>SUM(平成９年度!P8:P17)</f>
        <v>2910333</v>
      </c>
      <c r="Q32" s="90">
        <f>平成９年度!C32/平成９年度!O32</f>
        <v>0.3813091943719063</v>
      </c>
      <c r="R32" s="58">
        <f>平成９年度!H32/平成９年度!P32</f>
        <v>0.26711926092306276</v>
      </c>
      <c r="S32" s="55">
        <f>平成９年度!L32/平成９年度!H32</f>
        <v>0.14352474768653703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672</v>
      </c>
      <c r="C33" s="58">
        <f>SUM(平成９年度!C8:C18)</f>
        <v>431025</v>
      </c>
      <c r="D33" s="55">
        <f>SUM(平成９年度!D8:D18)</f>
        <v>371346</v>
      </c>
      <c r="E33" s="89">
        <f>SUM(平成９年度!E8:E18)</f>
        <v>353402</v>
      </c>
      <c r="F33" s="89">
        <f>SUM(平成９年度!F8:F18)</f>
        <v>17944</v>
      </c>
      <c r="G33" s="90">
        <f>SUM(平成９年度!G8:G18)</f>
        <v>59679</v>
      </c>
      <c r="H33" s="58">
        <f>SUM(平成９年度!H8:H18)</f>
        <v>856133</v>
      </c>
      <c r="I33" s="55">
        <f>SUM(平成９年度!I8:I18)</f>
        <v>733273</v>
      </c>
      <c r="J33" s="89">
        <f>SUM(平成９年度!J8:J18)</f>
        <v>536614</v>
      </c>
      <c r="K33" s="89">
        <f>SUM(平成９年度!K8:K18)</f>
        <v>196659</v>
      </c>
      <c r="L33" s="89">
        <f>SUM(平成９年度!L8:L18)</f>
        <v>122860</v>
      </c>
      <c r="M33" s="89">
        <f>SUM(平成９年度!M8:M18)</f>
        <v>88478</v>
      </c>
      <c r="N33" s="90">
        <f>SUM(平成９年度!N8:N18)</f>
        <v>34382</v>
      </c>
      <c r="O33" s="58">
        <f>SUM(平成９年度!O8:O18)</f>
        <v>1129442</v>
      </c>
      <c r="P33" s="55">
        <f>SUM(平成９年度!P8:P18)</f>
        <v>3202141</v>
      </c>
      <c r="Q33" s="90">
        <f>平成９年度!C33/平成９年度!O33</f>
        <v>0.38162650229051159</v>
      </c>
      <c r="R33" s="58">
        <f>平成９年度!H33/平成９年度!P33</f>
        <v>0.26736268015680759</v>
      </c>
      <c r="S33" s="55">
        <f>平成９年度!L33/平成９年度!H33</f>
        <v>0.14350574034641814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673</v>
      </c>
      <c r="C34" s="58">
        <f>SUM(平成９年度!C8:C19)</f>
        <v>470833</v>
      </c>
      <c r="D34" s="55">
        <f>SUM(平成９年度!D8:D19)</f>
        <v>405693</v>
      </c>
      <c r="E34" s="89">
        <f>SUM(平成９年度!E8:E19)</f>
        <v>386057</v>
      </c>
      <c r="F34" s="89">
        <f>SUM(平成９年度!F8:F19)</f>
        <v>19636</v>
      </c>
      <c r="G34" s="90">
        <f>SUM(平成９年度!G8:G19)</f>
        <v>65140</v>
      </c>
      <c r="H34" s="58">
        <f>SUM(平成９年度!H8:H19)</f>
        <v>934976</v>
      </c>
      <c r="I34" s="55">
        <f>SUM(平成９年度!I8:I19)</f>
        <v>800803</v>
      </c>
      <c r="J34" s="89">
        <f>SUM(平成９年度!J8:J19)</f>
        <v>585727</v>
      </c>
      <c r="K34" s="89">
        <f>SUM(平成９年度!K8:K19)</f>
        <v>215076</v>
      </c>
      <c r="L34" s="89">
        <f>SUM(平成９年度!L8:L19)</f>
        <v>134173</v>
      </c>
      <c r="M34" s="89">
        <f>SUM(平成９年度!M8:M19)</f>
        <v>96621</v>
      </c>
      <c r="N34" s="90">
        <f>SUM(平成９年度!N8:N19)</f>
        <v>37552</v>
      </c>
      <c r="O34" s="58">
        <f>SUM(平成９年度!O8:O19)</f>
        <v>1232697</v>
      </c>
      <c r="P34" s="55">
        <f>SUM(平成９年度!P8:P19)</f>
        <v>3493507</v>
      </c>
      <c r="Q34" s="90">
        <f>平成９年度!C34/平成９年度!O34</f>
        <v>0.38195355387414748</v>
      </c>
      <c r="R34" s="58">
        <f>平成９年度!H34/平成９年度!P34</f>
        <v>0.2676324965142477</v>
      </c>
      <c r="S34" s="55">
        <f>平成９年度!L34/平成９年度!H34</f>
        <v>0.14350421829009516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674</v>
      </c>
      <c r="C35" s="92">
        <f>平成８年度!C19+SUM(平成９年度!C8:C18)</f>
        <v>469391</v>
      </c>
      <c r="D35" s="93">
        <f>平成８年度!D19+SUM(平成９年度!D8:D18)</f>
        <v>404491</v>
      </c>
      <c r="E35" s="94">
        <f>平成８年度!E19+SUM(平成９年度!E8:E18)</f>
        <v>384998</v>
      </c>
      <c r="F35" s="94">
        <f>平成８年度!F19+SUM(平成９年度!F8:F18)</f>
        <v>19493</v>
      </c>
      <c r="G35" s="95">
        <f>平成８年度!G19+SUM(平成９年度!G8:G18)</f>
        <v>64900</v>
      </c>
      <c r="H35" s="92">
        <f>平成８年度!H19+SUM(平成９年度!H8:H18)</f>
        <v>932827</v>
      </c>
      <c r="I35" s="93">
        <f>平成８年度!I19+SUM(平成９年度!I8:I18)</f>
        <v>799257</v>
      </c>
      <c r="J35" s="94">
        <f>平成８年度!J19+SUM(平成９年度!J8:J18)</f>
        <v>585322</v>
      </c>
      <c r="K35" s="94">
        <f>平成８年度!K19+SUM(平成９年度!K8:K18)</f>
        <v>213935</v>
      </c>
      <c r="L35" s="94">
        <f>平成８年度!L19+SUM(平成９年度!L8:L18)</f>
        <v>133570</v>
      </c>
      <c r="M35" s="94">
        <f>平成８年度!M19+SUM(平成９年度!M8:M18)</f>
        <v>96193</v>
      </c>
      <c r="N35" s="95">
        <f>平成８年度!N19+SUM(平成９年度!N8:N18)</f>
        <v>37377</v>
      </c>
      <c r="O35" s="92">
        <f>平成８年度!O19+SUM(平成９年度!O8:O18)</f>
        <v>1231187</v>
      </c>
      <c r="P35" s="93">
        <f>平成８年度!P19+SUM(平成９年度!P8:P18)</f>
        <v>3492246</v>
      </c>
      <c r="Q35" s="95">
        <f>平成９年度!C35/平成９年度!O35</f>
        <v>0.38125077668948748</v>
      </c>
      <c r="R35" s="92">
        <f>平成９年度!H35/平成９年度!P35</f>
        <v>0.26711377148116139</v>
      </c>
      <c r="S35" s="93">
        <f>平成９年度!L35/平成９年度!H35</f>
        <v>0.14318839398945357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平成９年度!K35/12</f>
        <v>17827.916666666668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675</v>
      </c>
      <c r="C37" s="102">
        <f>平成９年度!C2+平成９年度!C31</f>
        <v>466624</v>
      </c>
      <c r="D37" s="103">
        <f>平成９年度!D2+平成９年度!D31</f>
        <v>402143</v>
      </c>
      <c r="E37" s="104">
        <f>平成９年度!E2+平成９年度!E31</f>
        <v>382911</v>
      </c>
      <c r="F37" s="104">
        <f>平成９年度!F2+平成９年度!F31</f>
        <v>19232</v>
      </c>
      <c r="G37" s="105">
        <f>平成９年度!G2+平成９年度!G31</f>
        <v>64481</v>
      </c>
      <c r="H37" s="102">
        <f>平成９年度!H2+平成９年度!H31</f>
        <v>928826</v>
      </c>
      <c r="I37" s="103">
        <f>平成９年度!I2+平成９年度!I31</f>
        <v>796321</v>
      </c>
      <c r="J37" s="104">
        <f>平成９年度!J2+平成９年度!J31</f>
        <v>584661</v>
      </c>
      <c r="K37" s="104">
        <f>平成９年度!K2+平成９年度!K31</f>
        <v>211660</v>
      </c>
      <c r="L37" s="104">
        <f>平成９年度!L2+平成９年度!L31</f>
        <v>132505</v>
      </c>
      <c r="M37" s="104">
        <f>平成９年度!M2+平成９年度!M31</f>
        <v>95443</v>
      </c>
      <c r="N37" s="106">
        <f>平成９年度!N2+平成９年度!N31</f>
        <v>37062</v>
      </c>
      <c r="O37" s="106">
        <f>平成９年度!O2+平成９年度!O31</f>
        <v>1228528</v>
      </c>
      <c r="P37" s="106">
        <f>平成９年度!P2+平成９年度!P31</f>
        <v>3489993</v>
      </c>
      <c r="Q37" s="106">
        <f>平成９年度!C37/平成９年度!O37</f>
        <v>0.3798236588828256</v>
      </c>
      <c r="R37" s="106">
        <f>平成９年度!H37/平成９年度!P37</f>
        <v>0.26613978881906064</v>
      </c>
      <c r="S37" s="103">
        <f>平成９年度!L37/平成９年度!H37</f>
        <v>0.14265858190877517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676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平成９年度!C38/平成９年度!O38</f>
        <v>#VALUE!</v>
      </c>
      <c r="R38" s="114" t="e">
        <f>平成９年度!H38/平成９年度!P38</f>
        <v>#VALUE!</v>
      </c>
      <c r="S38" s="111" t="e">
        <f>平成９年度!L38/平成９年度!H38</f>
        <v>#VALUE!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677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678</v>
      </c>
      <c r="D41" s="1" t="s">
        <v>679</v>
      </c>
      <c r="E41" s="1" t="s">
        <v>680</v>
      </c>
      <c r="F41" s="1" t="s">
        <v>681</v>
      </c>
      <c r="G41" s="1" t="s">
        <v>682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683</v>
      </c>
      <c r="C43" s="1">
        <f>(+平成5年度!K19+平成6年度!K27)/6</f>
        <v>14204.833333333334</v>
      </c>
      <c r="D43" s="1">
        <f>(+平成6年度!K19+平成7年度!K27)/6</f>
        <v>15238.5</v>
      </c>
      <c r="E43" s="1">
        <f>(+平成7年度!K19+平成８年度!K27)/6</f>
        <v>16433.333333333332</v>
      </c>
      <c r="F43" s="120">
        <f>(+平成８年度!K19+平成９年度!K27)/6</f>
        <v>17542.666666666668</v>
      </c>
      <c r="G43" s="120">
        <f>(+平成９年度!K19+平成10年度!K27)/6</f>
        <v>18744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684</v>
      </c>
      <c r="C44" s="121"/>
      <c r="D44" s="122">
        <f>平成９年度!D43/平成９年度!C43</f>
        <v>1.0727686585551865</v>
      </c>
      <c r="E44" s="122">
        <f>平成９年度!E43/平成９年度!D43</f>
        <v>1.0784088547647952</v>
      </c>
      <c r="F44" s="123">
        <f>平成９年度!F43/平成９年度!E43</f>
        <v>1.0675050709939149</v>
      </c>
      <c r="G44" s="123">
        <f>平成９年度!G43/平成９年度!F43</f>
        <v>1.0684806566846545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685</v>
      </c>
      <c r="V44" s="1"/>
      <c r="W44" s="117" t="s">
        <v>686</v>
      </c>
      <c r="X44" s="124"/>
      <c r="Y44" s="1"/>
      <c r="Z44" s="125"/>
      <c r="AA44" s="117"/>
      <c r="AB44" s="117"/>
      <c r="AC44" s="117"/>
      <c r="AD44" s="117" t="s">
        <v>687</v>
      </c>
      <c r="AE44" s="117" t="s">
        <v>688</v>
      </c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689</v>
      </c>
      <c r="C45" s="1">
        <f>平成6年度!K36</f>
        <v>14433</v>
      </c>
      <c r="D45" s="1">
        <f>平成7年度!K36</f>
        <v>15516.666666666666</v>
      </c>
      <c r="E45" s="1">
        <f>平成８年度!K36</f>
        <v>16714.583333333332</v>
      </c>
      <c r="F45" s="126">
        <f>平成９年度!K36</f>
        <v>17827.916666666668</v>
      </c>
      <c r="G45" s="126">
        <f>平成９年度!F45/平成９年度!F43*平成９年度!G43</f>
        <v>19048.784107319298</v>
      </c>
      <c r="H45" s="126" t="s">
        <v>690</v>
      </c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 t="s">
        <v>691</v>
      </c>
      <c r="W45" s="118" t="s">
        <v>692</v>
      </c>
      <c r="X45" s="127" t="s">
        <v>693</v>
      </c>
      <c r="Y45" s="128" t="s">
        <v>694</v>
      </c>
      <c r="Z45" s="129" t="s">
        <v>695</v>
      </c>
      <c r="AA45" s="129" t="s">
        <v>696</v>
      </c>
      <c r="AB45" s="129" t="s">
        <v>697</v>
      </c>
      <c r="AC45" s="129" t="s">
        <v>698</v>
      </c>
      <c r="AD45" s="130" t="s">
        <v>699</v>
      </c>
      <c r="AE45" s="130" t="s">
        <v>700</v>
      </c>
      <c r="AF45" s="130" t="s">
        <v>701</v>
      </c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702</v>
      </c>
      <c r="C46" s="122">
        <f>平成９年度!C45/平成９年度!C43</f>
        <v>1.0160626077978152</v>
      </c>
      <c r="D46" s="122">
        <f>平成９年度!D45/平成９年度!D43</f>
        <v>1.0182542026227428</v>
      </c>
      <c r="E46" s="122">
        <f>平成９年度!E45/平成９年度!E43</f>
        <v>1.0171146044624746</v>
      </c>
      <c r="F46" s="122">
        <f>平成９年度!F45/平成９年度!F43</f>
        <v>1.0162603557041878</v>
      </c>
      <c r="G46" s="122">
        <f>(+平成９年度!E46+平成９年度!F46)/2</f>
        <v>1.0166874800833312</v>
      </c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 t="s">
        <v>703</v>
      </c>
      <c r="W46" s="133" t="s">
        <v>704</v>
      </c>
      <c r="X46" s="134" t="s">
        <v>705</v>
      </c>
      <c r="Y46" s="135" t="s">
        <v>706</v>
      </c>
      <c r="Z46" s="136" t="s">
        <v>707</v>
      </c>
      <c r="AA46" s="137"/>
      <c r="AB46" s="137" t="s">
        <v>708</v>
      </c>
      <c r="AC46" s="138" t="s">
        <v>709</v>
      </c>
      <c r="AD46" s="139" t="s">
        <v>710</v>
      </c>
      <c r="AE46" s="140" t="s">
        <v>711</v>
      </c>
      <c r="AF46" s="140" t="s">
        <v>712</v>
      </c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713</v>
      </c>
      <c r="C47" s="121"/>
      <c r="D47" s="122">
        <f>平成９年度!D45/平成９年度!C45</f>
        <v>1.0750825654172151</v>
      </c>
      <c r="E47" s="122">
        <f>平成９年度!E45/平成９年度!D45</f>
        <v>1.077201933404941</v>
      </c>
      <c r="F47" s="122">
        <f>平成９年度!F45/平成９年度!E45</f>
        <v>1.0666085005608876</v>
      </c>
      <c r="G47" s="122">
        <f>平成９年度!G45/平成９年度!F45</f>
        <v>1.0684806566846545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>
        <f>平成９年度!M8</f>
        <v>7894</v>
      </c>
      <c r="AB47" s="144" t="s">
        <v>714</v>
      </c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 t="s">
        <v>715</v>
      </c>
      <c r="U48" s="1" t="s">
        <v>716</v>
      </c>
      <c r="V48" s="1">
        <f>平成９年度!C8</f>
        <v>38667</v>
      </c>
      <c r="W48" s="117">
        <f>平成９年度!H8</f>
        <v>77092</v>
      </c>
      <c r="X48" s="134">
        <f>平成９年度!W48-平成９年度!Y48-平成９年度!Z48</f>
        <v>48690</v>
      </c>
      <c r="Y48" s="150">
        <f>平成９年度!K8</f>
        <v>17434</v>
      </c>
      <c r="Z48" s="151">
        <f>平成９年度!AA47+平成９年度!AA48</f>
        <v>10968</v>
      </c>
      <c r="AA48" s="151">
        <f>平成９年度!N8</f>
        <v>3074</v>
      </c>
      <c r="AB48" s="151">
        <f>平成９年度!O8</f>
        <v>102247</v>
      </c>
      <c r="AC48" s="152">
        <f>平成９年度!P8</f>
        <v>290536</v>
      </c>
      <c r="AD48" s="153">
        <f>平成９年度!V48/+平成９年度!AB48</f>
        <v>0.37817246471779126</v>
      </c>
      <c r="AE48" s="151">
        <f>平成９年度!W48/+平成９年度!AC48</f>
        <v>0.265344053748933</v>
      </c>
      <c r="AF48" s="150">
        <f>平成９年度!Z48/+平成９年度!W48</f>
        <v>0.14227157162870338</v>
      </c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/>
      <c r="H49" s="9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 t="s">
        <v>717</v>
      </c>
      <c r="W49" s="117"/>
      <c r="X49" s="142"/>
      <c r="Y49" s="143"/>
      <c r="Z49" s="144"/>
      <c r="AA49" s="144">
        <f>平成９年度!M9</f>
        <v>7892</v>
      </c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/>
      <c r="H50" s="1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718</v>
      </c>
      <c r="V50" s="1">
        <f>平成９年度!C9</f>
        <v>38741</v>
      </c>
      <c r="W50" s="117">
        <f>平成９年度!H9</f>
        <v>77143</v>
      </c>
      <c r="X50" s="134">
        <f>平成９年度!W50-平成９年度!Y50-平成９年度!Z50</f>
        <v>48669</v>
      </c>
      <c r="Y50" s="150">
        <f>平成９年度!K9</f>
        <v>17512</v>
      </c>
      <c r="Z50" s="151">
        <f>平成９年度!AA49+平成９年度!AA50</f>
        <v>10962</v>
      </c>
      <c r="AA50" s="151">
        <f>平成９年度!N9</f>
        <v>3070</v>
      </c>
      <c r="AB50" s="151">
        <f>平成９年度!O9</f>
        <v>102352</v>
      </c>
      <c r="AC50" s="152">
        <f>平成９年度!P9</f>
        <v>290657</v>
      </c>
      <c r="AD50" s="153">
        <f>平成９年度!V50/+平成９年度!AB50</f>
        <v>0.37850750351727375</v>
      </c>
      <c r="AE50" s="151">
        <f>平成９年度!W50/+平成９年度!AC50</f>
        <v>0.26540905603512044</v>
      </c>
      <c r="AF50" s="150">
        <f>平成９年度!Z50/+平成９年度!W50</f>
        <v>0.14209973685233918</v>
      </c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 t="s">
        <v>719</v>
      </c>
      <c r="W51" s="117" t="s">
        <v>720</v>
      </c>
      <c r="X51" s="142" t="s">
        <v>721</v>
      </c>
      <c r="Y51" s="143"/>
      <c r="Z51" s="144"/>
      <c r="AA51" s="144">
        <f>平成９年度!M10</f>
        <v>8002</v>
      </c>
      <c r="AB51" s="144"/>
      <c r="AC51" s="145"/>
      <c r="AD51" s="146" t="s">
        <v>722</v>
      </c>
      <c r="AE51" s="144" t="s">
        <v>723</v>
      </c>
      <c r="AF51" s="144" t="s">
        <v>724</v>
      </c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 t="s">
        <v>725</v>
      </c>
      <c r="V52" s="1">
        <f>平成９年度!C10</f>
        <v>38857</v>
      </c>
      <c r="W52" s="117">
        <f>平成９年度!H10</f>
        <v>77280</v>
      </c>
      <c r="X52" s="134">
        <f>平成９年度!W52-平成９年度!Y52-平成９年度!Z52</f>
        <v>48598</v>
      </c>
      <c r="Y52" s="150">
        <f>平成９年度!K10</f>
        <v>17595</v>
      </c>
      <c r="Z52" s="151">
        <f>平成９年度!AA51+平成９年度!AA52</f>
        <v>11087</v>
      </c>
      <c r="AA52" s="151">
        <f>平成９年度!N10</f>
        <v>3085</v>
      </c>
      <c r="AB52" s="151">
        <f>平成９年度!O10</f>
        <v>102450</v>
      </c>
      <c r="AC52" s="152">
        <f>平成９年度!P10</f>
        <v>290693</v>
      </c>
      <c r="AD52" s="153">
        <f>平成９年度!V52/+平成９年度!AB52</f>
        <v>0.37927769643728648</v>
      </c>
      <c r="AE52" s="151">
        <f>平成９年度!W52/+平成９年度!AC52</f>
        <v>0.26584747482739524</v>
      </c>
      <c r="AF52" s="150">
        <f>平成９年度!Z52/+平成９年度!W52</f>
        <v>0.14346532091097308</v>
      </c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 t="s">
        <v>726</v>
      </c>
      <c r="Y53" s="143"/>
      <c r="Z53" s="144"/>
      <c r="AA53" s="144">
        <f>平成９年度!M11</f>
        <v>8052</v>
      </c>
      <c r="AB53" s="144"/>
      <c r="AC53" s="157"/>
      <c r="AD53" s="146" t="s">
        <v>727</v>
      </c>
      <c r="AE53" s="144" t="s">
        <v>728</v>
      </c>
      <c r="AF53" s="143" t="s">
        <v>729</v>
      </c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730</v>
      </c>
      <c r="V54" s="1">
        <f>平成９年度!C11</f>
        <v>38960</v>
      </c>
      <c r="W54" s="117">
        <f>平成９年度!H11</f>
        <v>77472</v>
      </c>
      <c r="X54" s="134">
        <f>平成９年度!W54-平成９年度!Y54-平成９年度!Z54</f>
        <v>48647</v>
      </c>
      <c r="Y54" s="150">
        <f>平成９年度!K11</f>
        <v>17655</v>
      </c>
      <c r="Z54" s="151">
        <f>平成９年度!AA53+平成９年度!AA54</f>
        <v>11170</v>
      </c>
      <c r="AA54" s="151">
        <f>平成９年度!N11</f>
        <v>3118</v>
      </c>
      <c r="AB54" s="151">
        <f>平成９年度!O11</f>
        <v>102464</v>
      </c>
      <c r="AC54" s="152">
        <f>平成９年度!P11</f>
        <v>290776</v>
      </c>
      <c r="AD54" s="153">
        <f>平成９年度!V54/+平成９年度!AB54</f>
        <v>0.38023110555902562</v>
      </c>
      <c r="AE54" s="151">
        <f>平成９年度!W54/+平成９年度!AC54</f>
        <v>0.26643189259086031</v>
      </c>
      <c r="AF54" s="150">
        <f>平成９年度!Z54/+平成９年度!W54</f>
        <v>0.14418112350268483</v>
      </c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 t="s">
        <v>731</v>
      </c>
      <c r="Y55" s="143"/>
      <c r="Z55" s="144"/>
      <c r="AA55" s="144">
        <f>平成９年度!M12</f>
        <v>8037</v>
      </c>
      <c r="AB55" s="144"/>
      <c r="AC55" s="145"/>
      <c r="AD55" s="146" t="s">
        <v>732</v>
      </c>
      <c r="AE55" s="144" t="s">
        <v>733</v>
      </c>
      <c r="AF55" s="144" t="s">
        <v>734</v>
      </c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735</v>
      </c>
      <c r="V56" s="1">
        <f>平成９年度!C12</f>
        <v>39074</v>
      </c>
      <c r="W56" s="117">
        <f>平成９年度!H12</f>
        <v>77606</v>
      </c>
      <c r="X56" s="134">
        <f>平成９年度!W56-平成９年度!Y56-平成９年度!Z56</f>
        <v>48671</v>
      </c>
      <c r="Y56" s="150">
        <f>平成９年度!K12</f>
        <v>17784</v>
      </c>
      <c r="Z56" s="151">
        <f>平成９年度!AA55+平成９年度!AA56</f>
        <v>11151</v>
      </c>
      <c r="AA56" s="151">
        <f>平成９年度!N12</f>
        <v>3114</v>
      </c>
      <c r="AB56" s="151">
        <f>平成９年度!O12</f>
        <v>102465</v>
      </c>
      <c r="AC56" s="152">
        <f>平成９年度!P12</f>
        <v>290846</v>
      </c>
      <c r="AD56" s="153">
        <f>平成９年度!V56/+平成９年度!AB56</f>
        <v>0.38133996974576684</v>
      </c>
      <c r="AE56" s="151">
        <f>平成９年度!W56/+平成９年度!AC56</f>
        <v>0.26682849342951254</v>
      </c>
      <c r="AF56" s="150">
        <f>平成９年度!Z56/+平成９年度!W56</f>
        <v>0.14368734376208026</v>
      </c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 t="s">
        <v>736</v>
      </c>
      <c r="Y57" s="143"/>
      <c r="Z57" s="144"/>
      <c r="AA57" s="144">
        <f>平成９年度!M13</f>
        <v>8037</v>
      </c>
      <c r="AB57" s="144"/>
      <c r="AC57" s="145"/>
      <c r="AD57" s="146" t="s">
        <v>737</v>
      </c>
      <c r="AE57" s="144" t="s">
        <v>738</v>
      </c>
      <c r="AF57" s="144" t="s">
        <v>739</v>
      </c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 t="s">
        <v>740</v>
      </c>
      <c r="V58" s="1">
        <f>平成９年度!C13</f>
        <v>39207</v>
      </c>
      <c r="W58" s="117">
        <f>平成９年度!H13</f>
        <v>77805</v>
      </c>
      <c r="X58" s="134">
        <f>平成９年度!W58-平成９年度!Y58-平成９年度!Z58</f>
        <v>48738</v>
      </c>
      <c r="Y58" s="150">
        <f>平成９年度!K13</f>
        <v>17902</v>
      </c>
      <c r="Z58" s="151">
        <f>平成９年度!AA57+平成９年度!AA58</f>
        <v>11165</v>
      </c>
      <c r="AA58" s="151">
        <f>平成９年度!N13</f>
        <v>3128</v>
      </c>
      <c r="AB58" s="151">
        <f>平成９年度!O13</f>
        <v>102598</v>
      </c>
      <c r="AC58" s="152">
        <f>平成９年度!P13</f>
        <v>291048</v>
      </c>
      <c r="AD58" s="153">
        <f>平成９年度!V58/+平成９年度!AB58</f>
        <v>0.38214195208483598</v>
      </c>
      <c r="AE58" s="151">
        <f>平成９年度!W58/+平成９年度!AC58</f>
        <v>0.26732703883895442</v>
      </c>
      <c r="AF58" s="150">
        <f>平成９年度!Z58/+平成９年度!W58</f>
        <v>0.14349977507872244</v>
      </c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 t="s">
        <v>741</v>
      </c>
      <c r="T59" s="1"/>
      <c r="U59" s="1"/>
      <c r="V59" s="1"/>
      <c r="W59" s="117"/>
      <c r="X59" s="142" t="s">
        <v>742</v>
      </c>
      <c r="Y59" s="143"/>
      <c r="Z59" s="144"/>
      <c r="AA59" s="144">
        <f>平成９年度!M14</f>
        <v>8076</v>
      </c>
      <c r="AB59" s="144"/>
      <c r="AC59" s="145"/>
      <c r="AD59" s="146" t="s">
        <v>743</v>
      </c>
      <c r="AE59" s="144" t="s">
        <v>744</v>
      </c>
      <c r="AF59" s="144" t="s">
        <v>745</v>
      </c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746</v>
      </c>
      <c r="V60" s="1">
        <f>平成９年度!C14</f>
        <v>39316</v>
      </c>
      <c r="W60" s="117">
        <f>平成９年度!H14</f>
        <v>78018</v>
      </c>
      <c r="X60" s="134">
        <f>平成９年度!W60-平成９年度!Y60-平成９年度!Z60</f>
        <v>48781</v>
      </c>
      <c r="Y60" s="150">
        <f>平成９年度!K14</f>
        <v>18002</v>
      </c>
      <c r="Z60" s="151">
        <f>平成９年度!AA59+平成９年度!AA60</f>
        <v>11235</v>
      </c>
      <c r="AA60" s="151">
        <f>平成９年度!N14</f>
        <v>3159</v>
      </c>
      <c r="AB60" s="151">
        <f>平成９年度!O14</f>
        <v>102749</v>
      </c>
      <c r="AC60" s="152">
        <f>平成９年度!P14</f>
        <v>291188</v>
      </c>
      <c r="AD60" s="153">
        <f>平成９年度!V60/+平成９年度!AB60</f>
        <v>0.38264119358825877</v>
      </c>
      <c r="AE60" s="151">
        <f>平成９年度!W60/+平成９年度!AC60</f>
        <v>0.26792999711526572</v>
      </c>
      <c r="AF60" s="150">
        <f>平成９年度!Z60/+平成９年度!W60</f>
        <v>0.14400522956240869</v>
      </c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 t="s">
        <v>747</v>
      </c>
      <c r="Y61" s="143"/>
      <c r="Z61" s="144"/>
      <c r="AA61" s="144">
        <f>平成９年度!M15</f>
        <v>8088</v>
      </c>
      <c r="AB61" s="144"/>
      <c r="AC61" s="145"/>
      <c r="AD61" s="146" t="s">
        <v>748</v>
      </c>
      <c r="AE61" s="144" t="s">
        <v>749</v>
      </c>
      <c r="AF61" s="144" t="s">
        <v>750</v>
      </c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751</v>
      </c>
      <c r="V62" s="1">
        <f>平成９年度!C15</f>
        <v>39406</v>
      </c>
      <c r="W62" s="117">
        <f>平成９年度!H15</f>
        <v>78148</v>
      </c>
      <c r="X62" s="134">
        <f>平成９年度!W62-平成９年度!Y62-平成９年度!Z62</f>
        <v>48820</v>
      </c>
      <c r="Y62" s="150">
        <f>平成９年度!K15</f>
        <v>18088</v>
      </c>
      <c r="Z62" s="151">
        <f>平成９年度!AA61+平成９年度!AA62</f>
        <v>11240</v>
      </c>
      <c r="AA62" s="151">
        <f>平成９年度!N15</f>
        <v>3152</v>
      </c>
      <c r="AB62" s="151">
        <f>平成９年度!O15</f>
        <v>102919</v>
      </c>
      <c r="AC62" s="152">
        <f>平成９年度!P15</f>
        <v>291391</v>
      </c>
      <c r="AD62" s="153">
        <f>平成９年度!V62/+平成９年度!AB62</f>
        <v>0.38288362692991573</v>
      </c>
      <c r="AE62" s="151">
        <f>平成９年度!W62/+平成９年度!AC62</f>
        <v>0.26818947736889609</v>
      </c>
      <c r="AF62" s="150">
        <f>平成９年度!Z62/+平成９年度!W62</f>
        <v>0.14382965654911195</v>
      </c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 t="s">
        <v>752</v>
      </c>
      <c r="W63" s="117"/>
      <c r="X63" s="142" t="s">
        <v>753</v>
      </c>
      <c r="Y63" s="143"/>
      <c r="Z63" s="144"/>
      <c r="AA63" s="144">
        <f>平成９年度!M16</f>
        <v>8153</v>
      </c>
      <c r="AB63" s="144"/>
      <c r="AC63" s="157"/>
      <c r="AD63" s="146" t="s">
        <v>754</v>
      </c>
      <c r="AE63" s="144" t="s">
        <v>755</v>
      </c>
      <c r="AF63" s="143" t="s">
        <v>756</v>
      </c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757</v>
      </c>
      <c r="V64" s="1">
        <f>平成９年度!C16</f>
        <v>39486</v>
      </c>
      <c r="W64" s="117">
        <f>平成９年度!H16</f>
        <v>78262</v>
      </c>
      <c r="X64" s="134">
        <f>平成９年度!W64-平成９年度!Y64-平成９年度!Z64</f>
        <v>48790</v>
      </c>
      <c r="Y64" s="150">
        <f>平成９年度!K16</f>
        <v>18157</v>
      </c>
      <c r="Z64" s="151">
        <f>平成９年度!AA63+平成９年度!AA64</f>
        <v>11315</v>
      </c>
      <c r="AA64" s="151">
        <f>平成９年度!N16</f>
        <v>3162</v>
      </c>
      <c r="AB64" s="151">
        <f>平成９年度!O16</f>
        <v>102989</v>
      </c>
      <c r="AC64" s="152">
        <f>平成９年度!P16</f>
        <v>291550</v>
      </c>
      <c r="AD64" s="153">
        <f>平成９年度!V64/+平成９年度!AB64</f>
        <v>0.38340016895008205</v>
      </c>
      <c r="AE64" s="151">
        <f>平成９年度!W64/+平成９年度!AC64</f>
        <v>0.26843423083519125</v>
      </c>
      <c r="AF64" s="150">
        <f>平成９年度!Z64/+平成９年度!W64</f>
        <v>0.14457846719991824</v>
      </c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 t="s">
        <v>758</v>
      </c>
      <c r="W65" s="117"/>
      <c r="X65" s="142" t="s">
        <v>759</v>
      </c>
      <c r="Y65" s="143"/>
      <c r="Z65" s="144"/>
      <c r="AA65" s="144">
        <f>平成９年度!M17</f>
        <v>8125</v>
      </c>
      <c r="AB65" s="144"/>
      <c r="AC65" s="157"/>
      <c r="AD65" s="146" t="s">
        <v>760</v>
      </c>
      <c r="AE65" s="144" t="s">
        <v>761</v>
      </c>
      <c r="AF65" s="143" t="s">
        <v>762</v>
      </c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763</v>
      </c>
      <c r="V66" s="1">
        <f>平成９年度!C17</f>
        <v>39616</v>
      </c>
      <c r="W66" s="117">
        <f>平成９年度!H17</f>
        <v>78580</v>
      </c>
      <c r="X66" s="134">
        <f>平成９年度!W66-平成９年度!Y66-平成９年度!Z66</f>
        <v>49102</v>
      </c>
      <c r="Y66" s="150">
        <f>平成９年度!K17</f>
        <v>18194</v>
      </c>
      <c r="Z66" s="151">
        <f>平成９年度!AA65+平成９年度!AA66</f>
        <v>11284</v>
      </c>
      <c r="AA66" s="151">
        <f>平成９年度!N17</f>
        <v>3159</v>
      </c>
      <c r="AB66" s="151">
        <f>平成９年度!O17</f>
        <v>103047</v>
      </c>
      <c r="AC66" s="152">
        <f>平成９年度!P17</f>
        <v>291648</v>
      </c>
      <c r="AD66" s="153">
        <f>平成９年度!V66/+平成９年度!AB66</f>
        <v>0.38444593243859598</v>
      </c>
      <c r="AE66" s="151">
        <f>平成９年度!W66/+平成９年度!AC66</f>
        <v>0.26943438665788894</v>
      </c>
      <c r="AF66" s="150">
        <f>平成９年度!Z66/+平成９年度!W66</f>
        <v>0.14359888012216848</v>
      </c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 t="s">
        <v>764</v>
      </c>
      <c r="W67" s="117" t="s">
        <v>765</v>
      </c>
      <c r="X67" s="142" t="s">
        <v>766</v>
      </c>
      <c r="Y67" s="143"/>
      <c r="Z67" s="144"/>
      <c r="AA67" s="144">
        <f>平成９年度!M18</f>
        <v>8122</v>
      </c>
      <c r="AB67" s="144"/>
      <c r="AC67" s="157"/>
      <c r="AD67" s="146" t="s">
        <v>767</v>
      </c>
      <c r="AE67" s="144" t="s">
        <v>768</v>
      </c>
      <c r="AF67" s="143" t="s">
        <v>769</v>
      </c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770</v>
      </c>
      <c r="V68" s="1">
        <f>平成９年度!C18</f>
        <v>39695</v>
      </c>
      <c r="W68" s="117">
        <f>平成９年度!H18</f>
        <v>78727</v>
      </c>
      <c r="X68" s="134">
        <f>平成９年度!W68-平成９年度!Y68-平成９年度!Z68</f>
        <v>49108</v>
      </c>
      <c r="Y68" s="150">
        <f>平成９年度!K18</f>
        <v>18336</v>
      </c>
      <c r="Z68" s="151">
        <f>平成９年度!AA67+平成９年度!AA68</f>
        <v>11283</v>
      </c>
      <c r="AA68" s="151">
        <f>平成９年度!N18</f>
        <v>3161</v>
      </c>
      <c r="AB68" s="151">
        <f>平成９年度!O18</f>
        <v>103162</v>
      </c>
      <c r="AC68" s="152">
        <f>平成９年度!P18</f>
        <v>291808</v>
      </c>
      <c r="AD68" s="153">
        <f>平成９年度!V68/+平成９年度!AB68</f>
        <v>0.38478315658866635</v>
      </c>
      <c r="AE68" s="151">
        <f>平成９年度!W68/+平成９年度!AC68</f>
        <v>0.26979041013269001</v>
      </c>
      <c r="AF68" s="150">
        <f>平成９年度!Z68/+平成９年度!W68</f>
        <v>0.1433180484458953</v>
      </c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 t="s">
        <v>771</v>
      </c>
      <c r="Y69" s="143"/>
      <c r="Z69" s="144"/>
      <c r="AA69" s="144">
        <f>平成９年度!M19</f>
        <v>8143</v>
      </c>
      <c r="AB69" s="144"/>
      <c r="AC69" s="157"/>
      <c r="AD69" s="146" t="s">
        <v>772</v>
      </c>
      <c r="AE69" s="144" t="s">
        <v>773</v>
      </c>
      <c r="AF69" s="143" t="s">
        <v>774</v>
      </c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775</v>
      </c>
      <c r="V70" s="1">
        <f>平成９年度!C19</f>
        <v>39808</v>
      </c>
      <c r="W70" s="117">
        <f>平成９年度!H19</f>
        <v>78843</v>
      </c>
      <c r="X70" s="134">
        <f>平成９年度!W70-平成９年度!Y70-平成９年度!Z70</f>
        <v>49113</v>
      </c>
      <c r="Y70" s="150">
        <f>平成９年度!K19</f>
        <v>18417</v>
      </c>
      <c r="Z70" s="151">
        <f>平成９年度!AA69+平成９年度!AA70</f>
        <v>11313</v>
      </c>
      <c r="AA70" s="151">
        <f>平成９年度!N19</f>
        <v>3170</v>
      </c>
      <c r="AB70" s="151">
        <f>平成９年度!O19</f>
        <v>103255</v>
      </c>
      <c r="AC70" s="152">
        <f>平成９年度!P19</f>
        <v>291366</v>
      </c>
      <c r="AD70" s="153">
        <f>平成９年度!V70/+平成９年度!AB70</f>
        <v>0.38553096702338868</v>
      </c>
      <c r="AE70" s="151">
        <f>平成９年度!W70/+平成９年度!AC70</f>
        <v>0.27059780482280021</v>
      </c>
      <c r="AF70" s="150">
        <f>平成９年度!Z70/+平成９年度!W70</f>
        <v>0.14348769072714129</v>
      </c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776</v>
      </c>
      <c r="V71" s="1" t="s">
        <v>777</v>
      </c>
      <c r="W71" s="117" t="s">
        <v>778</v>
      </c>
      <c r="X71" s="142" t="s">
        <v>779</v>
      </c>
      <c r="Y71" s="143" t="s">
        <v>780</v>
      </c>
      <c r="Z71" s="144" t="s">
        <v>781</v>
      </c>
      <c r="AA71" s="144">
        <f>平成９年度!AA47+平成９年度!AA49+平成９年度!AA51+平成９年度!AA53+平成９年度!AA55+平成９年度!AA57+平成９年度!AA59+平成９年度!AA61+平成９年度!AA63+平成９年度!AA65+平成９年度!AA67+平成９年度!AA69</f>
        <v>96621</v>
      </c>
      <c r="AB71" s="144" t="s">
        <v>782</v>
      </c>
      <c r="AC71" s="157" t="s">
        <v>783</v>
      </c>
      <c r="AD71" s="146" t="s">
        <v>784</v>
      </c>
      <c r="AE71" s="144" t="s">
        <v>785</v>
      </c>
      <c r="AF71" s="143" t="s">
        <v>786</v>
      </c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787</v>
      </c>
      <c r="V72" s="1">
        <f>SUM(平成９年度!V48:V70)</f>
        <v>470833</v>
      </c>
      <c r="W72" s="117">
        <f>SUM(平成９年度!W48:W70)</f>
        <v>934976</v>
      </c>
      <c r="X72" s="134">
        <f>SUM(平成９年度!X48:X70)</f>
        <v>585727</v>
      </c>
      <c r="Y72" s="150">
        <f>SUM(平成９年度!Y48:Y70)</f>
        <v>215076</v>
      </c>
      <c r="Z72" s="151">
        <f>SUM(平成９年度!Z48:Z70)</f>
        <v>134173</v>
      </c>
      <c r="AA72" s="151">
        <f>平成９年度!AA48+平成９年度!AA50+平成９年度!AA52+平成９年度!AA54+平成９年度!AA56+平成９年度!AA58+平成９年度!AA60+平成９年度!AA62+平成９年度!AA64+平成９年度!AA66+平成９年度!AA68+平成９年度!AA70</f>
        <v>37552</v>
      </c>
      <c r="AB72" s="151">
        <f>SUM(平成９年度!AB48:AB70)</f>
        <v>1232697</v>
      </c>
      <c r="AC72" s="152">
        <f>SUM(平成９年度!AC48:AC70)</f>
        <v>3493507</v>
      </c>
      <c r="AD72" s="153">
        <f>平成９年度!V72/+平成９年度!AB72</f>
        <v>0.38195355387414748</v>
      </c>
      <c r="AE72" s="150">
        <f>平成９年度!W72/+平成９年度!AC72</f>
        <v>0.2676324965142477</v>
      </c>
      <c r="AF72" s="151">
        <f>平成９年度!Z72/+平成９年度!W72</f>
        <v>0.14350421829009516</v>
      </c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788</v>
      </c>
      <c r="V73" s="1" t="s">
        <v>789</v>
      </c>
      <c r="W73" s="117" t="s">
        <v>790</v>
      </c>
      <c r="X73" s="142" t="e">
        <f>平成９年度!X74+平成９年度!Y74</f>
        <v>#VALUE!</v>
      </c>
      <c r="Y73" s="143" t="s">
        <v>791</v>
      </c>
      <c r="Z73" s="144" t="s">
        <v>792</v>
      </c>
      <c r="AA73" s="144" t="e">
        <f>#VALUE!</f>
        <v>#VALUE!</v>
      </c>
      <c r="AB73" s="144" t="s">
        <v>793</v>
      </c>
      <c r="AC73" s="157" t="s">
        <v>794</v>
      </c>
      <c r="AD73" s="146" t="s">
        <v>795</v>
      </c>
      <c r="AE73" s="144" t="s">
        <v>796</v>
      </c>
      <c r="AF73" s="143" t="s">
        <v>797</v>
      </c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798</v>
      </c>
      <c r="V74" s="1" t="e">
        <f>#VALUE!</f>
        <v>#VALUE!</v>
      </c>
      <c r="W74" s="117" t="e">
        <f>#VALUE!</f>
        <v>#VALUE!</v>
      </c>
      <c r="X74" s="164" t="e">
        <f>#VALUE!</f>
        <v>#VALUE!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平成９年度!V74/+平成９年度!AB74</f>
        <v>#VALUE!</v>
      </c>
      <c r="AE74" s="165" t="e">
        <f>平成９年度!W74/+平成９年度!AC74</f>
        <v>#VALUE!</v>
      </c>
      <c r="AF74" s="166" t="e">
        <f>平成９年度!Z74/+平成９年度!W74</f>
        <v>#VALUE!</v>
      </c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 t="s">
        <v>799</v>
      </c>
      <c r="U75" s="1" t="s">
        <v>800</v>
      </c>
      <c r="V75" s="1"/>
      <c r="W75" s="172"/>
      <c r="X75" s="127"/>
      <c r="Y75" s="173"/>
      <c r="Z75" s="174"/>
      <c r="AA75" s="174">
        <f>平成９年度!M2+平成９年度!AA47+平成９年度!AA49+平成９年度!AA51+平成９年度!AA53+平成９年度!AA55+平成９年度!AA57+平成９年度!AA59+平成９年度!AA61+平成９年度!AA63</f>
        <v>95443</v>
      </c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 t="s">
        <v>801</v>
      </c>
      <c r="U76" s="1" t="s">
        <v>802</v>
      </c>
      <c r="V76" s="1">
        <f>平成９年度!C2+SUM(平成９年度!V48:V64)</f>
        <v>466624</v>
      </c>
      <c r="W76" s="180">
        <f>平成９年度!H2+SUM(平成９年度!W48:W64)</f>
        <v>928826</v>
      </c>
      <c r="X76" s="134">
        <f>平成９年度!J2+SUM(平成９年度!X48:X64)</f>
        <v>584661</v>
      </c>
      <c r="Y76" s="181">
        <f>平成９年度!K2+SUM(平成９年度!Y48:Y64)</f>
        <v>211660</v>
      </c>
      <c r="Z76" s="182">
        <f>平成９年度!L2+SUM(平成９年度!Z48:Z64)</f>
        <v>132505</v>
      </c>
      <c r="AA76" s="182">
        <f>平成９年度!N2+平成９年度!AA48+平成９年度!AA50+平成９年度!AA52+平成９年度!AA54+平成９年度!AA56+平成９年度!AA58+平成９年度!AA60+平成９年度!AA62+平成９年度!AA64</f>
        <v>37062</v>
      </c>
      <c r="AB76" s="182">
        <f>平成９年度!O2+SUM(平成９年度!AB48:AB64)</f>
        <v>1228528</v>
      </c>
      <c r="AC76" s="183">
        <f>平成９年度!P2+SUM(平成９年度!AC48:AC64)</f>
        <v>3489993</v>
      </c>
      <c r="AD76" s="184">
        <f>平成９年度!V76/+平成９年度!AB76</f>
        <v>0.3798236588828256</v>
      </c>
      <c r="AE76" s="181">
        <f>平成９年度!W76/+平成９年度!AC76</f>
        <v>0.26613978881906064</v>
      </c>
      <c r="AF76" s="182">
        <f>平成９年度!Z76/+平成９年度!W76</f>
        <v>0.14265858190877517</v>
      </c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 t="s">
        <v>803</v>
      </c>
      <c r="U77" s="1" t="s">
        <v>804</v>
      </c>
      <c r="V77" s="1"/>
      <c r="W77" s="188"/>
      <c r="X77" s="142" t="e">
        <f>平成９年度!X78+平成９年度!Y78</f>
        <v>#VALUE!</v>
      </c>
      <c r="Y77" s="189"/>
      <c r="Z77" s="190"/>
      <c r="AA77" s="190" t="e">
        <f>#VALUE!</f>
        <v>#VALUE!</v>
      </c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805</v>
      </c>
      <c r="V78" s="1" t="e">
        <f>#VALUE!</f>
        <v>#VALUE!</v>
      </c>
      <c r="W78" s="196" t="e">
        <f>#VALUE!</f>
        <v>#VALUE!</v>
      </c>
      <c r="X78" s="164" t="e">
        <f>#VALUE!</f>
        <v>#VALUE!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平成９年度!V78/+平成９年度!AB78</f>
        <v>#VALUE!</v>
      </c>
      <c r="AE78" s="197" t="e">
        <f>平成９年度!W78/+平成９年度!AC78</f>
        <v>#VALUE!</v>
      </c>
      <c r="AF78" s="198" t="e">
        <f>平成９年度!Z78/+平成９年度!W78</f>
        <v>#VALUE!</v>
      </c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 t="s">
        <v>806</v>
      </c>
      <c r="W79" s="1" t="s">
        <v>807</v>
      </c>
      <c r="X79" s="1" t="s">
        <v>808</v>
      </c>
      <c r="Y79" s="1" t="s">
        <v>809</v>
      </c>
      <c r="Z79" s="1" t="s">
        <v>810</v>
      </c>
      <c r="AA79" s="1" t="s">
        <v>811</v>
      </c>
      <c r="AB79" s="1" t="s">
        <v>812</v>
      </c>
      <c r="AC79" s="1" t="s">
        <v>813</v>
      </c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9" width="9" style="205" customWidth="1"/>
    <col min="10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814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 t="s">
        <v>815</v>
      </c>
      <c r="B2" s="1"/>
      <c r="C2" s="205">
        <f>SUM(平成９年度!C17:C19)</f>
        <v>119119</v>
      </c>
      <c r="D2" s="205">
        <f>SUM(平成９年度!D17:D19)</f>
        <v>102734</v>
      </c>
      <c r="E2" s="205">
        <f>SUM(平成９年度!E17:E19)</f>
        <v>97693</v>
      </c>
      <c r="F2" s="205">
        <f>SUM(平成９年度!F17:F19)</f>
        <v>5041</v>
      </c>
      <c r="G2" s="205">
        <f>SUM(平成９年度!G17:G19)</f>
        <v>16385</v>
      </c>
      <c r="H2" s="205">
        <f>SUM(平成９年度!H17:H19)</f>
        <v>236150</v>
      </c>
      <c r="I2" s="205">
        <f>SUM(平成９年度!I17:I19)</f>
        <v>202270</v>
      </c>
      <c r="J2" s="205">
        <f>SUM(平成９年度!J17:J19)</f>
        <v>147323</v>
      </c>
      <c r="K2" s="205">
        <f>SUM(平成９年度!K17:K19)</f>
        <v>54947</v>
      </c>
      <c r="L2" s="205">
        <f>SUM(平成９年度!L17:L19)</f>
        <v>33880</v>
      </c>
      <c r="M2" s="205">
        <f>SUM(平成９年度!M17:M19)</f>
        <v>24390</v>
      </c>
      <c r="N2" s="205">
        <f>SUM(平成９年度!N17:N19)</f>
        <v>9490</v>
      </c>
      <c r="O2" s="205">
        <f>SUM(平成９年度!O17:O19)</f>
        <v>309464</v>
      </c>
      <c r="P2" s="205">
        <f>SUM(平成９年度!P17:P19)</f>
        <v>874822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 t="s">
        <v>816</v>
      </c>
      <c r="B3" s="3"/>
      <c r="C3" s="3" t="s">
        <v>817</v>
      </c>
      <c r="D3" s="3"/>
      <c r="E3" s="3" t="s">
        <v>818</v>
      </c>
      <c r="F3" s="3" t="s">
        <v>819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/>
      <c r="AL3" s="6"/>
      <c r="AM3" s="7"/>
      <c r="AN3" s="7"/>
      <c r="AO3" s="7"/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 t="s">
        <v>820</v>
      </c>
      <c r="B4" s="9" t="s">
        <v>821</v>
      </c>
      <c r="C4" s="10" t="s">
        <v>822</v>
      </c>
      <c r="D4" s="11"/>
      <c r="E4" s="11"/>
      <c r="F4" s="11"/>
      <c r="G4" s="12"/>
      <c r="H4" s="10" t="s">
        <v>823</v>
      </c>
      <c r="I4" s="11"/>
      <c r="J4" s="11"/>
      <c r="K4" s="11"/>
      <c r="L4" s="11"/>
      <c r="M4" s="11"/>
      <c r="N4" s="11"/>
      <c r="O4" s="10" t="s">
        <v>824</v>
      </c>
      <c r="P4" s="11" t="s">
        <v>825</v>
      </c>
      <c r="Q4" s="12" t="s">
        <v>826</v>
      </c>
      <c r="R4" s="13" t="s">
        <v>827</v>
      </c>
      <c r="S4" s="14" t="s">
        <v>828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/>
      <c r="AK4" s="18"/>
      <c r="AL4" s="19"/>
      <c r="AM4" s="20"/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 t="s">
        <v>829</v>
      </c>
      <c r="B5" s="23"/>
      <c r="C5" s="24" t="s">
        <v>830</v>
      </c>
      <c r="D5" s="25" t="s">
        <v>831</v>
      </c>
      <c r="E5" s="26" t="s">
        <v>832</v>
      </c>
      <c r="F5" s="26" t="s">
        <v>833</v>
      </c>
      <c r="G5" s="27" t="s">
        <v>834</v>
      </c>
      <c r="H5" s="24" t="s">
        <v>835</v>
      </c>
      <c r="I5" s="25" t="s">
        <v>836</v>
      </c>
      <c r="J5" s="26" t="s">
        <v>837</v>
      </c>
      <c r="K5" s="26" t="s">
        <v>838</v>
      </c>
      <c r="L5" s="26" t="s">
        <v>839</v>
      </c>
      <c r="M5" s="26" t="s">
        <v>840</v>
      </c>
      <c r="N5" s="27" t="s">
        <v>841</v>
      </c>
      <c r="O5" s="24" t="s">
        <v>842</v>
      </c>
      <c r="P5" s="25" t="s">
        <v>843</v>
      </c>
      <c r="Q5" s="27" t="s">
        <v>844</v>
      </c>
      <c r="R5" s="24" t="s">
        <v>845</v>
      </c>
      <c r="S5" s="25" t="s">
        <v>846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/>
      <c r="AK5" s="31"/>
      <c r="AL5" s="32"/>
      <c r="AM5" s="33"/>
      <c r="AN5" s="33"/>
      <c r="AO5" s="34"/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 t="s">
        <v>847</v>
      </c>
      <c r="B6" s="37"/>
      <c r="C6" s="13" t="s">
        <v>848</v>
      </c>
      <c r="D6" s="14" t="s">
        <v>849</v>
      </c>
      <c r="E6" s="15" t="s">
        <v>850</v>
      </c>
      <c r="F6" s="15" t="s">
        <v>851</v>
      </c>
      <c r="G6" s="16" t="s">
        <v>852</v>
      </c>
      <c r="H6" s="38" t="s">
        <v>853</v>
      </c>
      <c r="I6" s="14" t="s">
        <v>854</v>
      </c>
      <c r="J6" s="15" t="s">
        <v>855</v>
      </c>
      <c r="K6" s="15" t="s">
        <v>856</v>
      </c>
      <c r="L6" s="15" t="s">
        <v>857</v>
      </c>
      <c r="M6" s="15" t="s">
        <v>858</v>
      </c>
      <c r="N6" s="16" t="s">
        <v>859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/>
      <c r="AK6" s="31"/>
      <c r="AL6" s="32"/>
      <c r="AM6" s="33"/>
      <c r="AN6" s="33"/>
      <c r="AO6" s="34"/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 t="s">
        <v>860</v>
      </c>
      <c r="B8" s="43" t="s">
        <v>861</v>
      </c>
      <c r="C8" s="44">
        <v>40143</v>
      </c>
      <c r="D8" s="45">
        <f>平成10年度!E8+平成10年度!F8</f>
        <v>34571</v>
      </c>
      <c r="E8" s="45">
        <f>平成10年度!C8-平成10年度!G8-平成10年度!F8</f>
        <v>32830</v>
      </c>
      <c r="F8" s="46">
        <v>1741</v>
      </c>
      <c r="G8" s="47">
        <v>5572</v>
      </c>
      <c r="H8" s="48">
        <f>平成10年度!I8+平成10年度!L8</f>
        <v>79448</v>
      </c>
      <c r="I8" s="45">
        <f>平成10年度!J8+平成10年度!K8</f>
        <v>67821</v>
      </c>
      <c r="J8" s="46">
        <f>79448-18601-11627</f>
        <v>49220</v>
      </c>
      <c r="K8" s="49">
        <v>18601</v>
      </c>
      <c r="L8" s="45">
        <f>平成10年度!M8+平成10年度!N8</f>
        <v>11627</v>
      </c>
      <c r="M8" s="46">
        <v>8340</v>
      </c>
      <c r="N8" s="47">
        <v>3287</v>
      </c>
      <c r="O8" s="44">
        <v>103804</v>
      </c>
      <c r="P8" s="45">
        <v>291886</v>
      </c>
      <c r="Q8" s="47">
        <f>平成10年度!C8/平成10年度!O8</f>
        <v>0.38671920157219375</v>
      </c>
      <c r="R8" s="44">
        <f>平成10年度!H8/平成10年度!P8</f>
        <v>0.27218845713737555</v>
      </c>
      <c r="S8" s="46">
        <f>平成10年度!L8/平成10年度!H8</f>
        <v>0.14634729634477897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/>
      <c r="AK8" s="31"/>
      <c r="AL8" s="32"/>
      <c r="AM8" s="33"/>
      <c r="AN8" s="33"/>
      <c r="AO8" s="34"/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 t="s">
        <v>862</v>
      </c>
      <c r="B9" s="43" t="s">
        <v>863</v>
      </c>
      <c r="C9" s="44">
        <v>40271</v>
      </c>
      <c r="D9" s="45">
        <f>平成10年度!E9+平成10年度!F9</f>
        <v>34713</v>
      </c>
      <c r="E9" s="45">
        <f>平成10年度!C9-平成10年度!G9-平成10年度!F9</f>
        <v>32961</v>
      </c>
      <c r="F9" s="46">
        <v>1752</v>
      </c>
      <c r="G9" s="47">
        <v>5558</v>
      </c>
      <c r="H9" s="48">
        <f>平成10年度!I9+平成10年度!L9</f>
        <v>79632</v>
      </c>
      <c r="I9" s="45">
        <f>平成10年度!J9+平成10年度!K9</f>
        <v>68038</v>
      </c>
      <c r="J9" s="46">
        <v>49326</v>
      </c>
      <c r="K9" s="49">
        <v>18712</v>
      </c>
      <c r="L9" s="45">
        <f>平成10年度!M9+平成10年度!N9</f>
        <v>11594</v>
      </c>
      <c r="M9" s="46">
        <v>8325</v>
      </c>
      <c r="N9" s="47">
        <v>3269</v>
      </c>
      <c r="O9" s="44">
        <v>103965</v>
      </c>
      <c r="P9" s="45">
        <v>292117</v>
      </c>
      <c r="Q9" s="47">
        <f>平成10年度!C9/平成10年度!O9</f>
        <v>0.38735151252825473</v>
      </c>
      <c r="R9" s="44">
        <f>平成10年度!H9/平成10年度!P9</f>
        <v>0.27260310081234573</v>
      </c>
      <c r="S9" s="46">
        <f>平成10年度!L9/平成10年度!H9</f>
        <v>0.14559473578460921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/>
      <c r="AK9" s="31"/>
      <c r="AL9" s="32"/>
      <c r="AM9" s="33"/>
      <c r="AN9" s="33"/>
      <c r="AO9" s="34"/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 t="s">
        <v>864</v>
      </c>
      <c r="B10" s="53" t="s">
        <v>865</v>
      </c>
      <c r="C10" s="54">
        <v>40429</v>
      </c>
      <c r="D10" s="55">
        <f>平成10年度!E10+平成10年度!F10</f>
        <v>34835</v>
      </c>
      <c r="E10" s="55">
        <f>平成10年度!C10-平成10年度!G10-平成10年度!F10</f>
        <v>33082</v>
      </c>
      <c r="F10" s="56">
        <v>1753</v>
      </c>
      <c r="G10" s="57">
        <v>5594</v>
      </c>
      <c r="H10" s="58">
        <f>平成10年度!I10+平成10年度!L10</f>
        <v>79889</v>
      </c>
      <c r="I10" s="55">
        <f>平成10年度!J10+平成10年度!K10</f>
        <v>68225</v>
      </c>
      <c r="J10" s="56">
        <v>49395</v>
      </c>
      <c r="K10" s="59">
        <v>18830</v>
      </c>
      <c r="L10" s="55">
        <f>平成10年度!M10+平成10年度!N10</f>
        <v>11664</v>
      </c>
      <c r="M10" s="56">
        <v>8363</v>
      </c>
      <c r="N10" s="57">
        <v>3301</v>
      </c>
      <c r="O10" s="54">
        <v>104033</v>
      </c>
      <c r="P10" s="55">
        <v>292219</v>
      </c>
      <c r="Q10" s="57">
        <f>平成10年度!C10/平成10年度!O10</f>
        <v>0.38861707342862362</v>
      </c>
      <c r="R10" s="54">
        <f>平成10年度!H10/平成10年度!P10</f>
        <v>0.27338742518453624</v>
      </c>
      <c r="S10" s="56">
        <f>平成10年度!L10/平成10年度!H10</f>
        <v>0.14600257857777665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/>
      <c r="AK10" s="64"/>
      <c r="AL10" s="65"/>
      <c r="AM10" s="66"/>
      <c r="AN10" s="66"/>
      <c r="AO10" s="67"/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 t="s">
        <v>866</v>
      </c>
      <c r="B11" s="53" t="s">
        <v>867</v>
      </c>
      <c r="C11" s="54">
        <v>40629</v>
      </c>
      <c r="D11" s="55">
        <f>平成10年度!E11+平成10年度!F11</f>
        <v>34980</v>
      </c>
      <c r="E11" s="55">
        <f>平成10年度!C11-平成10年度!G11-平成10年度!F11</f>
        <v>33196</v>
      </c>
      <c r="F11" s="56">
        <v>1784</v>
      </c>
      <c r="G11" s="57">
        <v>5649</v>
      </c>
      <c r="H11" s="58">
        <f>平成10年度!I11+平成10年度!L11</f>
        <v>80285</v>
      </c>
      <c r="I11" s="55">
        <f>平成10年度!J11+平成10年度!K11</f>
        <v>68502</v>
      </c>
      <c r="J11" s="56">
        <v>49590</v>
      </c>
      <c r="K11" s="59">
        <v>18912</v>
      </c>
      <c r="L11" s="55">
        <f>平成10年度!M11+平成10年度!N11</f>
        <v>11783</v>
      </c>
      <c r="M11" s="56">
        <v>8483</v>
      </c>
      <c r="N11" s="57">
        <v>3300</v>
      </c>
      <c r="O11" s="54">
        <v>104077</v>
      </c>
      <c r="P11" s="55">
        <v>292223</v>
      </c>
      <c r="Q11" s="57">
        <f>平成10年度!C11/平成10年度!O11</f>
        <v>0.39037443431305668</v>
      </c>
      <c r="R11" s="54">
        <f>平成10年度!H11/平成10年度!P11</f>
        <v>0.27473881248224813</v>
      </c>
      <c r="S11" s="56">
        <f>平成10年度!L11/平成10年度!H11</f>
        <v>0.14676465093105812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/>
      <c r="AK11" s="70"/>
      <c r="AL11" s="71"/>
      <c r="AM11" s="72"/>
      <c r="AN11" s="72"/>
      <c r="AO11" s="73"/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 t="s">
        <v>868</v>
      </c>
      <c r="B12" s="53" t="s">
        <v>869</v>
      </c>
      <c r="C12" s="54">
        <v>40746</v>
      </c>
      <c r="D12" s="55">
        <f>平成10年度!E12+平成10年度!F12</f>
        <v>35104</v>
      </c>
      <c r="E12" s="55">
        <f>平成10年度!C12-平成10年度!G12-平成10年度!F12</f>
        <v>33304</v>
      </c>
      <c r="F12" s="56">
        <v>1800</v>
      </c>
      <c r="G12" s="57">
        <v>5642</v>
      </c>
      <c r="H12" s="58">
        <f>平成10年度!I12+平成10年度!L12</f>
        <v>80566</v>
      </c>
      <c r="I12" s="55">
        <f>平成10年度!J12+平成10年度!K12</f>
        <v>68763</v>
      </c>
      <c r="J12" s="56">
        <v>49771</v>
      </c>
      <c r="K12" s="59">
        <v>18992</v>
      </c>
      <c r="L12" s="55">
        <f>平成10年度!M12+平成10年度!N12</f>
        <v>11803</v>
      </c>
      <c r="M12" s="56">
        <v>8488</v>
      </c>
      <c r="N12" s="57">
        <v>3315</v>
      </c>
      <c r="O12" s="54">
        <v>104094</v>
      </c>
      <c r="P12" s="55">
        <v>292290</v>
      </c>
      <c r="Q12" s="57">
        <f>平成10年度!C12/平成10年度!O12</f>
        <v>0.39143466482217998</v>
      </c>
      <c r="R12" s="54">
        <f>平成10年度!H12/平成10年度!P12</f>
        <v>0.2756372096205823</v>
      </c>
      <c r="S12" s="56">
        <f>平成10年度!L12/平成10年度!H12</f>
        <v>0.14650100538688776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 t="s">
        <v>870</v>
      </c>
      <c r="B13" s="43" t="s">
        <v>871</v>
      </c>
      <c r="C13" s="44">
        <v>40913</v>
      </c>
      <c r="D13" s="45">
        <f>平成10年度!E13+平成10年度!F13</f>
        <v>35279</v>
      </c>
      <c r="E13" s="45">
        <f>平成10年度!C13-平成10年度!G13-平成10年度!F13</f>
        <v>33474</v>
      </c>
      <c r="F13" s="46">
        <v>1805</v>
      </c>
      <c r="G13" s="47">
        <v>5634</v>
      </c>
      <c r="H13" s="58">
        <f>平成10年度!I13+平成10年度!L13</f>
        <v>80862</v>
      </c>
      <c r="I13" s="45">
        <f>平成10年度!J13+平成10年度!K13</f>
        <v>69074</v>
      </c>
      <c r="J13" s="46">
        <v>49951</v>
      </c>
      <c r="K13" s="49">
        <v>19123</v>
      </c>
      <c r="L13" s="45">
        <f>平成10年度!M13+平成10年度!N13</f>
        <v>11788</v>
      </c>
      <c r="M13" s="46">
        <v>8480</v>
      </c>
      <c r="N13" s="47">
        <v>3308</v>
      </c>
      <c r="O13" s="44">
        <v>104196</v>
      </c>
      <c r="P13" s="45">
        <v>292379</v>
      </c>
      <c r="Q13" s="47">
        <f>平成10年度!C13/平成10年度!O13</f>
        <v>0.39265422856923493</v>
      </c>
      <c r="R13" s="44">
        <f>平成10年度!H13/平成10年度!P13</f>
        <v>0.27656569042236273</v>
      </c>
      <c r="S13" s="46">
        <f>平成10年度!L13/平成10年度!H13</f>
        <v>0.14577922880957681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/>
      <c r="AK13" s="76"/>
      <c r="AL13" s="77"/>
      <c r="AM13" s="77"/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 t="s">
        <v>872</v>
      </c>
      <c r="B14" s="43" t="s">
        <v>873</v>
      </c>
      <c r="C14" s="44">
        <v>41059</v>
      </c>
      <c r="D14" s="45">
        <f>平成10年度!E14+平成10年度!F14</f>
        <v>35389</v>
      </c>
      <c r="E14" s="45">
        <f>平成10年度!C14-平成10年度!G14-平成10年度!F14</f>
        <v>33584</v>
      </c>
      <c r="F14" s="46">
        <v>1805</v>
      </c>
      <c r="G14" s="47">
        <v>5670</v>
      </c>
      <c r="H14" s="48">
        <f>平成10年度!I14+平成10年度!L14</f>
        <v>81090</v>
      </c>
      <c r="I14" s="45">
        <f>平成10年度!J14+平成10年度!K14</f>
        <v>69231</v>
      </c>
      <c r="J14" s="46">
        <v>49988</v>
      </c>
      <c r="K14" s="49">
        <v>19243</v>
      </c>
      <c r="L14" s="45">
        <f>平成10年度!M14+平成10年度!N14</f>
        <v>11859</v>
      </c>
      <c r="M14" s="46">
        <v>8522</v>
      </c>
      <c r="N14" s="47">
        <v>3337</v>
      </c>
      <c r="O14" s="44">
        <v>104310</v>
      </c>
      <c r="P14" s="45">
        <v>292461</v>
      </c>
      <c r="Q14" s="47">
        <f>平成10年度!C14/平成10年度!O14</f>
        <v>0.3936247723132969</v>
      </c>
      <c r="R14" s="44">
        <f>平成10年度!H14/平成10年度!P14</f>
        <v>0.27726773826253759</v>
      </c>
      <c r="S14" s="46">
        <f>平成10年度!L14/平成10年度!H14</f>
        <v>0.14624491305956344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 t="s">
        <v>874</v>
      </c>
      <c r="B15" s="53" t="s">
        <v>875</v>
      </c>
      <c r="C15" s="54">
        <v>41124</v>
      </c>
      <c r="D15" s="55">
        <f>平成10年度!E15+平成10年度!F15</f>
        <v>35483</v>
      </c>
      <c r="E15" s="55">
        <f>平成10年度!C15-平成10年度!G15-平成10年度!F15</f>
        <v>33672</v>
      </c>
      <c r="F15" s="56">
        <v>1811</v>
      </c>
      <c r="G15" s="57">
        <v>5641</v>
      </c>
      <c r="H15" s="58">
        <f>平成10年度!I15+平成10年度!L15</f>
        <v>81127</v>
      </c>
      <c r="I15" s="55">
        <f>平成10年度!J15+平成10年度!K15</f>
        <v>69307</v>
      </c>
      <c r="J15" s="56">
        <v>49978</v>
      </c>
      <c r="K15" s="59">
        <v>19329</v>
      </c>
      <c r="L15" s="55">
        <f>平成10年度!M15+平成10年度!N15</f>
        <v>11820</v>
      </c>
      <c r="M15" s="56">
        <v>8491</v>
      </c>
      <c r="N15" s="57">
        <v>3329</v>
      </c>
      <c r="O15" s="54">
        <v>104408</v>
      </c>
      <c r="P15" s="55">
        <v>292474</v>
      </c>
      <c r="Q15" s="57">
        <f>平成10年度!C15/平成10年度!O15</f>
        <v>0.39387786376522871</v>
      </c>
      <c r="R15" s="54">
        <f>平成10年度!H15/平成10年度!P15</f>
        <v>0.27738192112803189</v>
      </c>
      <c r="S15" s="56">
        <f>平成10年度!L15/平成10年度!H15</f>
        <v>0.14569748665672341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 t="s">
        <v>876</v>
      </c>
      <c r="B16" s="43" t="s">
        <v>877</v>
      </c>
      <c r="C16" s="44">
        <v>41227</v>
      </c>
      <c r="D16" s="45">
        <f>平成10年度!E16+平成10年度!F16</f>
        <v>35555</v>
      </c>
      <c r="E16" s="45">
        <f>平成10年度!C16-平成10年度!G16-平成10年度!F16</f>
        <v>33719</v>
      </c>
      <c r="F16" s="46">
        <v>1836</v>
      </c>
      <c r="G16" s="47">
        <v>5672</v>
      </c>
      <c r="H16" s="48">
        <f>平成10年度!I16+平成10年度!L16</f>
        <v>81315</v>
      </c>
      <c r="I16" s="45">
        <f>平成10年度!J16+平成10年度!K16</f>
        <v>69409</v>
      </c>
      <c r="J16" s="46">
        <v>49955</v>
      </c>
      <c r="K16" s="49">
        <v>19454</v>
      </c>
      <c r="L16" s="45">
        <f>平成10年度!M16+平成10年度!N16</f>
        <v>11906</v>
      </c>
      <c r="M16" s="46">
        <v>8564</v>
      </c>
      <c r="N16" s="47">
        <v>3342</v>
      </c>
      <c r="O16" s="44">
        <v>104450</v>
      </c>
      <c r="P16" s="45">
        <v>292522</v>
      </c>
      <c r="Q16" s="47">
        <f>平成10年度!C16/平成10年度!O16</f>
        <v>0.39470560076591671</v>
      </c>
      <c r="R16" s="44">
        <f>平成10年度!H16/平成10年度!P16</f>
        <v>0.27797909217084527</v>
      </c>
      <c r="S16" s="46">
        <f>平成10年度!L16/平成10年度!H16</f>
        <v>0.14641825001537231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878</v>
      </c>
      <c r="C17" s="44">
        <v>41392</v>
      </c>
      <c r="D17" s="45">
        <f>平成10年度!E17+平成10年度!F17</f>
        <v>35760</v>
      </c>
      <c r="E17" s="45">
        <f>平成10年度!C17-平成10年度!G17-平成10年度!F17</f>
        <v>33902</v>
      </c>
      <c r="F17" s="46">
        <v>1858</v>
      </c>
      <c r="G17" s="47">
        <v>5632</v>
      </c>
      <c r="H17" s="58">
        <f>平成10年度!I17+平成10年度!L17</f>
        <v>81539</v>
      </c>
      <c r="I17" s="45">
        <f>平成10年度!J17+平成10年度!K17</f>
        <v>69671</v>
      </c>
      <c r="J17" s="46">
        <v>50186</v>
      </c>
      <c r="K17" s="49">
        <v>19485</v>
      </c>
      <c r="L17" s="45">
        <f>平成10年度!M17+平成10年度!N17</f>
        <v>11868</v>
      </c>
      <c r="M17" s="46">
        <v>8526</v>
      </c>
      <c r="N17" s="47">
        <v>3342</v>
      </c>
      <c r="O17" s="44">
        <v>104555</v>
      </c>
      <c r="P17" s="45">
        <v>292538</v>
      </c>
      <c r="Q17" s="47">
        <f>平成10年度!C17/平成10年度!O17</f>
        <v>0.3958873320262063</v>
      </c>
      <c r="R17" s="44">
        <f>平成10年度!H17/平成10年度!P17</f>
        <v>0.27872960094073251</v>
      </c>
      <c r="S17" s="46">
        <f>平成10年度!L17/平成10年度!H17</f>
        <v>0.14554998221709856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/>
      <c r="AL17" s="6"/>
      <c r="AM17" s="7"/>
      <c r="AN17" s="7"/>
      <c r="AO17" s="7"/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879</v>
      </c>
      <c r="C18" s="54">
        <v>41543</v>
      </c>
      <c r="D18" s="55">
        <f>平成10年度!E18+平成10年度!F18</f>
        <v>35924</v>
      </c>
      <c r="E18" s="55">
        <f>平成10年度!C18-平成10年度!G18-平成10年度!F18</f>
        <v>34068</v>
      </c>
      <c r="F18" s="56">
        <v>1856</v>
      </c>
      <c r="G18" s="57">
        <v>5619</v>
      </c>
      <c r="H18" s="58">
        <f>平成10年度!I18+平成10年度!L18</f>
        <v>81777</v>
      </c>
      <c r="I18" s="55">
        <f>平成10年度!J18+平成10年度!K18</f>
        <v>69929</v>
      </c>
      <c r="J18" s="56">
        <v>50288</v>
      </c>
      <c r="K18" s="59">
        <v>19641</v>
      </c>
      <c r="L18" s="55">
        <f>平成10年度!M18+平成10年度!N18</f>
        <v>11848</v>
      </c>
      <c r="M18" s="56">
        <v>8513</v>
      </c>
      <c r="N18" s="57">
        <v>3335</v>
      </c>
      <c r="O18" s="54">
        <v>104623</v>
      </c>
      <c r="P18" s="55">
        <v>292521</v>
      </c>
      <c r="Q18" s="57">
        <f>平成10年度!C18/平成10年度!O18</f>
        <v>0.39707330128174495</v>
      </c>
      <c r="R18" s="54">
        <f>平成10年度!H18/平成10年度!P18</f>
        <v>0.27955941624703867</v>
      </c>
      <c r="S18" s="56">
        <f>平成10年度!L18/平成10年度!H18</f>
        <v>0.14488181273463199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/>
      <c r="AK18" s="18"/>
      <c r="AL18" s="19"/>
      <c r="AM18" s="20"/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880</v>
      </c>
      <c r="C19" s="54">
        <v>41659</v>
      </c>
      <c r="D19" s="55">
        <f>平成10年度!E19+平成10年度!F19</f>
        <v>36022</v>
      </c>
      <c r="E19" s="55">
        <f>平成10年度!C19-平成10年度!G19-平成10年度!F19</f>
        <v>34164</v>
      </c>
      <c r="F19" s="56">
        <v>1858</v>
      </c>
      <c r="G19" s="57">
        <v>5637</v>
      </c>
      <c r="H19" s="58">
        <f>平成10年度!I19+平成10年度!L19</f>
        <v>81903</v>
      </c>
      <c r="I19" s="55">
        <f>平成10年度!J19+平成10年度!K19</f>
        <v>70030</v>
      </c>
      <c r="J19" s="56">
        <v>50246</v>
      </c>
      <c r="K19" s="59">
        <v>19784</v>
      </c>
      <c r="L19" s="55">
        <f>平成10年度!M19+平成10年度!N19</f>
        <v>11873</v>
      </c>
      <c r="M19" s="56">
        <v>8530</v>
      </c>
      <c r="N19" s="57">
        <v>3343</v>
      </c>
      <c r="O19" s="54">
        <v>104651</v>
      </c>
      <c r="P19" s="55">
        <v>291953</v>
      </c>
      <c r="Q19" s="57">
        <f>平成10年度!C19/平成10年度!O19</f>
        <v>0.39807550811745707</v>
      </c>
      <c r="R19" s="54">
        <f>平成10年度!H19/平成10年度!P19</f>
        <v>0.28053488061434545</v>
      </c>
      <c r="S19" s="56">
        <f>平成10年度!L19/平成10年度!H19</f>
        <v>0.14496416492680367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/>
      <c r="AK19" s="31"/>
      <c r="AL19" s="32"/>
      <c r="AM19" s="33"/>
      <c r="AN19" s="33"/>
      <c r="AO19" s="34"/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881</v>
      </c>
      <c r="C20" s="48">
        <f>SUM(平成10年度!C8:C19)</f>
        <v>491135</v>
      </c>
      <c r="D20" s="45">
        <f>SUM(平成10年度!D8:D19)</f>
        <v>423615</v>
      </c>
      <c r="E20" s="79">
        <f>SUM(平成10年度!E8:E19)</f>
        <v>401956</v>
      </c>
      <c r="F20" s="79">
        <f>SUM(平成10年度!F8:F19)</f>
        <v>21659</v>
      </c>
      <c r="G20" s="80">
        <f>SUM(平成10年度!G8:G19)</f>
        <v>67520</v>
      </c>
      <c r="H20" s="48">
        <f>SUM(平成10年度!H8:H19)</f>
        <v>969433</v>
      </c>
      <c r="I20" s="45">
        <f>SUM(平成10年度!I8:I19)</f>
        <v>828000</v>
      </c>
      <c r="J20" s="79">
        <f>SUM(平成10年度!J8:J19)</f>
        <v>597894</v>
      </c>
      <c r="K20" s="79">
        <f>SUM(平成10年度!K8:K19)</f>
        <v>230106</v>
      </c>
      <c r="L20" s="79">
        <f>SUM(平成10年度!L8:L19)</f>
        <v>141433</v>
      </c>
      <c r="M20" s="79">
        <f>SUM(平成10年度!M8:M19)</f>
        <v>101625</v>
      </c>
      <c r="N20" s="80">
        <f>SUM(平成10年度!N8:N19)</f>
        <v>39808</v>
      </c>
      <c r="O20" s="48">
        <f>SUM(平成10年度!O8:O19)</f>
        <v>1251166</v>
      </c>
      <c r="P20" s="45">
        <f>SUM(平成10年度!P8:P19)</f>
        <v>3507583</v>
      </c>
      <c r="Q20" s="80">
        <f>平成10年度!C20/平成10年度!O20</f>
        <v>0.3925418369744702</v>
      </c>
      <c r="R20" s="48">
        <f>平成10年度!H20/平成10年度!P20</f>
        <v>0.27638205567765611</v>
      </c>
      <c r="S20" s="45">
        <f>平成10年度!L20/平成10年度!H20</f>
        <v>0.14589249592287451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/>
      <c r="AK20" s="31"/>
      <c r="AL20" s="32"/>
      <c r="AM20" s="33"/>
      <c r="AN20" s="33"/>
      <c r="AO20" s="34"/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882</v>
      </c>
      <c r="C21" s="48" t="e">
        <f>#VALUE!</f>
        <v>#VALUE!</v>
      </c>
      <c r="D21" s="45" t="e">
        <f>#VALUE!</f>
        <v>#VALUE!</v>
      </c>
      <c r="E21" s="79" t="e">
        <f>#VALUE!</f>
        <v>#VALUE!</v>
      </c>
      <c r="F21" s="79" t="e">
        <f>#VALUE!</f>
        <v>#VALUE!</v>
      </c>
      <c r="G21" s="80" t="e">
        <f>#VALUE!</f>
        <v>#VALUE!</v>
      </c>
      <c r="H21" s="48" t="e">
        <f>#VALUE!</f>
        <v>#VALUE!</v>
      </c>
      <c r="I21" s="45" t="e">
        <f>#VALUE!</f>
        <v>#VALUE!</v>
      </c>
      <c r="J21" s="79" t="e">
        <f>#VALUE!</f>
        <v>#VALUE!</v>
      </c>
      <c r="K21" s="79" t="e">
        <f>#VALUE!</f>
        <v>#VALUE!</v>
      </c>
      <c r="L21" s="79" t="e">
        <f>#VALUE!</f>
        <v>#VALUE!</v>
      </c>
      <c r="M21" s="79" t="e">
        <f>#VALUE!</f>
        <v>#VALUE!</v>
      </c>
      <c r="N21" s="80" t="e">
        <f>#VALUE!</f>
        <v>#VALUE!</v>
      </c>
      <c r="O21" s="48" t="e">
        <f>#VALUE!</f>
        <v>#VALUE!</v>
      </c>
      <c r="P21" s="45" t="e">
        <f>#VALUE!</f>
        <v>#VALUE!</v>
      </c>
      <c r="Q21" s="80" t="e">
        <f>平成10年度!C21/平成10年度!O21</f>
        <v>#VALUE!</v>
      </c>
      <c r="R21" s="48" t="e">
        <f>平成10年度!H21/平成10年度!P21</f>
        <v>#VALUE!</v>
      </c>
      <c r="S21" s="45" t="e">
        <f>平成10年度!L21/平成10年度!H21</f>
        <v>#VALUE!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/>
      <c r="AK21" s="31"/>
      <c r="AL21" s="32"/>
      <c r="AM21" s="33"/>
      <c r="AN21" s="33"/>
      <c r="AO21" s="34"/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 t="s">
        <v>883</v>
      </c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/>
      <c r="AK22" s="31"/>
      <c r="AL22" s="32"/>
      <c r="AM22" s="33"/>
      <c r="AN22" s="33"/>
      <c r="AO22" s="34"/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884</v>
      </c>
      <c r="C23" s="48">
        <f>平成10年度!C8</f>
        <v>40143</v>
      </c>
      <c r="D23" s="45">
        <f>平成10年度!D8</f>
        <v>34571</v>
      </c>
      <c r="E23" s="79">
        <f>平成10年度!E8</f>
        <v>32830</v>
      </c>
      <c r="F23" s="79">
        <f>平成10年度!F8</f>
        <v>1741</v>
      </c>
      <c r="G23" s="80">
        <f>平成10年度!G8</f>
        <v>5572</v>
      </c>
      <c r="H23" s="48">
        <f>平成10年度!H8</f>
        <v>79448</v>
      </c>
      <c r="I23" s="45">
        <f>平成10年度!I8</f>
        <v>67821</v>
      </c>
      <c r="J23" s="79">
        <f>平成10年度!J8</f>
        <v>49220</v>
      </c>
      <c r="K23" s="79">
        <f>平成10年度!K8</f>
        <v>18601</v>
      </c>
      <c r="L23" s="79">
        <f>平成10年度!L8</f>
        <v>11627</v>
      </c>
      <c r="M23" s="79">
        <f>平成10年度!M8</f>
        <v>8340</v>
      </c>
      <c r="N23" s="80">
        <f>平成10年度!N8</f>
        <v>3287</v>
      </c>
      <c r="O23" s="48">
        <f>平成10年度!O8</f>
        <v>103804</v>
      </c>
      <c r="P23" s="45">
        <f>平成10年度!P8</f>
        <v>291886</v>
      </c>
      <c r="Q23" s="80">
        <f>平成10年度!C23/平成10年度!O23</f>
        <v>0.38671920157219375</v>
      </c>
      <c r="R23" s="48">
        <f>平成10年度!H23/平成10年度!P23</f>
        <v>0.27218845713737555</v>
      </c>
      <c r="S23" s="45">
        <f>平成10年度!L23/平成10年度!H23</f>
        <v>0.14634729634477897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/>
      <c r="AK23" s="64"/>
      <c r="AL23" s="65"/>
      <c r="AM23" s="66"/>
      <c r="AN23" s="66"/>
      <c r="AO23" s="67"/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885</v>
      </c>
      <c r="C24" s="58">
        <f>SUM(平成10年度!C8:C9)</f>
        <v>80414</v>
      </c>
      <c r="D24" s="55">
        <f>SUM(平成10年度!D8:D9)</f>
        <v>69284</v>
      </c>
      <c r="E24" s="89">
        <f>SUM(平成10年度!E8:E9)</f>
        <v>65791</v>
      </c>
      <c r="F24" s="89">
        <f>SUM(平成10年度!F8:F9)</f>
        <v>3493</v>
      </c>
      <c r="G24" s="90">
        <f>SUM(平成10年度!G8:G9)</f>
        <v>11130</v>
      </c>
      <c r="H24" s="58">
        <f>SUM(平成10年度!H8:H9)</f>
        <v>159080</v>
      </c>
      <c r="I24" s="55">
        <f>SUM(平成10年度!I8:I9)</f>
        <v>135859</v>
      </c>
      <c r="J24" s="89">
        <f>SUM(平成10年度!J8:J9)</f>
        <v>98546</v>
      </c>
      <c r="K24" s="89">
        <f>SUM(平成10年度!K8:K9)</f>
        <v>37313</v>
      </c>
      <c r="L24" s="89">
        <f>SUM(平成10年度!L8:L9)</f>
        <v>23221</v>
      </c>
      <c r="M24" s="89">
        <f>SUM(平成10年度!M8:M9)</f>
        <v>16665</v>
      </c>
      <c r="N24" s="90">
        <f>SUM(平成10年度!N8:N9)</f>
        <v>6556</v>
      </c>
      <c r="O24" s="58">
        <f>SUM(平成10年度!O8:O9)</f>
        <v>207769</v>
      </c>
      <c r="P24" s="55">
        <f>SUM(平成10年度!P8:P9)</f>
        <v>584003</v>
      </c>
      <c r="Q24" s="90">
        <f>平成10年度!C24/平成10年度!O24</f>
        <v>0.38703560203880272</v>
      </c>
      <c r="R24" s="58">
        <f>平成10年度!H24/平成10年度!P24</f>
        <v>0.27239586098016622</v>
      </c>
      <c r="S24" s="55">
        <f>平成10年度!L24/平成10年度!H24</f>
        <v>0.14597058083982903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/>
      <c r="AK24" s="70"/>
      <c r="AL24" s="71"/>
      <c r="AM24" s="72"/>
      <c r="AN24" s="72"/>
      <c r="AO24" s="73"/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886</v>
      </c>
      <c r="C25" s="58">
        <f>SUM(平成10年度!C8:C10)</f>
        <v>120843</v>
      </c>
      <c r="D25" s="55">
        <f>SUM(平成10年度!D8:D10)</f>
        <v>104119</v>
      </c>
      <c r="E25" s="89">
        <f>SUM(平成10年度!E8:E10)</f>
        <v>98873</v>
      </c>
      <c r="F25" s="89">
        <f>SUM(平成10年度!F8:F10)</f>
        <v>5246</v>
      </c>
      <c r="G25" s="90">
        <f>SUM(平成10年度!G8:G10)</f>
        <v>16724</v>
      </c>
      <c r="H25" s="58">
        <f>SUM(平成10年度!H8:H10)</f>
        <v>238969</v>
      </c>
      <c r="I25" s="55">
        <f>SUM(平成10年度!I8:I10)</f>
        <v>204084</v>
      </c>
      <c r="J25" s="89">
        <f>SUM(平成10年度!J8:J10)</f>
        <v>147941</v>
      </c>
      <c r="K25" s="89">
        <f>SUM(平成10年度!K8:K10)</f>
        <v>56143</v>
      </c>
      <c r="L25" s="89">
        <f>SUM(平成10年度!L8:L10)</f>
        <v>34885</v>
      </c>
      <c r="M25" s="89">
        <f>SUM(平成10年度!M8:M10)</f>
        <v>25028</v>
      </c>
      <c r="N25" s="90">
        <f>SUM(平成10年度!N8:N10)</f>
        <v>9857</v>
      </c>
      <c r="O25" s="58">
        <f>SUM(平成10年度!O8:O10)</f>
        <v>311802</v>
      </c>
      <c r="P25" s="55">
        <f>SUM(平成10年度!P8:P10)</f>
        <v>876222</v>
      </c>
      <c r="Q25" s="90">
        <f>平成10年度!C25/平成10年度!O25</f>
        <v>0.38756326130044066</v>
      </c>
      <c r="R25" s="58">
        <f>平成10年度!H25/平成10年度!P25</f>
        <v>0.27272654646881728</v>
      </c>
      <c r="S25" s="55">
        <f>平成10年度!L25/平成10年度!H25</f>
        <v>0.14598127790633933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887</v>
      </c>
      <c r="C26" s="58">
        <f>SUM(平成10年度!C8:C11)</f>
        <v>161472</v>
      </c>
      <c r="D26" s="55">
        <f>SUM(平成10年度!D8:D11)</f>
        <v>139099</v>
      </c>
      <c r="E26" s="89">
        <f>SUM(平成10年度!E8:E11)</f>
        <v>132069</v>
      </c>
      <c r="F26" s="89">
        <f>SUM(平成10年度!F8:F11)</f>
        <v>7030</v>
      </c>
      <c r="G26" s="90">
        <f>SUM(平成10年度!G8:G11)</f>
        <v>22373</v>
      </c>
      <c r="H26" s="58">
        <f>SUM(平成10年度!H8:H11)</f>
        <v>319254</v>
      </c>
      <c r="I26" s="55">
        <f>SUM(平成10年度!I8:I11)</f>
        <v>272586</v>
      </c>
      <c r="J26" s="89">
        <f>SUM(平成10年度!J8:J11)</f>
        <v>197531</v>
      </c>
      <c r="K26" s="89">
        <f>SUM(平成10年度!K8:K11)</f>
        <v>75055</v>
      </c>
      <c r="L26" s="89">
        <f>SUM(平成10年度!L8:L11)</f>
        <v>46668</v>
      </c>
      <c r="M26" s="89">
        <f>SUM(平成10年度!M8:M11)</f>
        <v>33511</v>
      </c>
      <c r="N26" s="90">
        <f>SUM(平成10年度!N8:N11)</f>
        <v>13157</v>
      </c>
      <c r="O26" s="58">
        <f>SUM(平成10年度!O8:O11)</f>
        <v>415879</v>
      </c>
      <c r="P26" s="55">
        <f>SUM(平成10年度!P8:P11)</f>
        <v>1168445</v>
      </c>
      <c r="Q26" s="90">
        <f>平成10年度!C26/平成10年度!O26</f>
        <v>0.3882667795200046</v>
      </c>
      <c r="R26" s="58">
        <f>平成10年度!H26/平成10年度!P26</f>
        <v>0.27322980542515907</v>
      </c>
      <c r="S26" s="55">
        <f>平成10年度!L26/平成10年度!H26</f>
        <v>0.14617827811084591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/>
      <c r="AK26" s="76"/>
      <c r="AL26" s="77"/>
      <c r="AM26" s="77"/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888</v>
      </c>
      <c r="C27" s="58">
        <f>SUM(平成10年度!C8:C12)</f>
        <v>202218</v>
      </c>
      <c r="D27" s="55">
        <f>SUM(平成10年度!D8:D12)</f>
        <v>174203</v>
      </c>
      <c r="E27" s="89">
        <f>SUM(平成10年度!E8:E12)</f>
        <v>165373</v>
      </c>
      <c r="F27" s="89">
        <f>SUM(平成10年度!F8:F12)</f>
        <v>8830</v>
      </c>
      <c r="G27" s="90">
        <f>SUM(平成10年度!G8:G12)</f>
        <v>28015</v>
      </c>
      <c r="H27" s="58">
        <f>SUM(平成10年度!H8:H12)</f>
        <v>399820</v>
      </c>
      <c r="I27" s="55">
        <f>SUM(平成10年度!I8:I12)</f>
        <v>341349</v>
      </c>
      <c r="J27" s="89">
        <f>SUM(平成10年度!J8:J12)</f>
        <v>247302</v>
      </c>
      <c r="K27" s="89">
        <f>SUM(平成10年度!K8:K12)</f>
        <v>94047</v>
      </c>
      <c r="L27" s="89">
        <f>SUM(平成10年度!L8:L12)</f>
        <v>58471</v>
      </c>
      <c r="M27" s="89">
        <f>SUM(平成10年度!M8:M12)</f>
        <v>41999</v>
      </c>
      <c r="N27" s="90">
        <f>SUM(平成10年度!N8:N12)</f>
        <v>16472</v>
      </c>
      <c r="O27" s="58">
        <f>SUM(平成10年度!O8:O12)</f>
        <v>519973</v>
      </c>
      <c r="P27" s="55">
        <f>SUM(平成10年度!P8:P12)</f>
        <v>1460735</v>
      </c>
      <c r="Q27" s="90">
        <f>平成10年度!C27/平成10年度!O27</f>
        <v>0.3889009621653432</v>
      </c>
      <c r="R27" s="58">
        <f>平成10年度!H27/平成10年度!P27</f>
        <v>0.27371152193929771</v>
      </c>
      <c r="S27" s="55">
        <f>平成10年度!L27/平成10年度!H27</f>
        <v>0.14624330948927017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889</v>
      </c>
      <c r="C28" s="58">
        <f>SUM(平成10年度!C8:C13)</f>
        <v>243131</v>
      </c>
      <c r="D28" s="55">
        <f>SUM(平成10年度!D8:D13)</f>
        <v>209482</v>
      </c>
      <c r="E28" s="89">
        <f>SUM(平成10年度!E8:E13)</f>
        <v>198847</v>
      </c>
      <c r="F28" s="89">
        <f>SUM(平成10年度!F8:F13)</f>
        <v>10635</v>
      </c>
      <c r="G28" s="90">
        <f>SUM(平成10年度!G8:G13)</f>
        <v>33649</v>
      </c>
      <c r="H28" s="58">
        <f>SUM(平成10年度!H8:H13)</f>
        <v>480682</v>
      </c>
      <c r="I28" s="55">
        <f>SUM(平成10年度!I8:I13)</f>
        <v>410423</v>
      </c>
      <c r="J28" s="89">
        <f>SUM(平成10年度!J8:J13)</f>
        <v>297253</v>
      </c>
      <c r="K28" s="89">
        <f>SUM(平成10年度!K8:K13)</f>
        <v>113170</v>
      </c>
      <c r="L28" s="89">
        <f>SUM(平成10年度!L8:L13)</f>
        <v>70259</v>
      </c>
      <c r="M28" s="89">
        <f>SUM(平成10年度!M8:M13)</f>
        <v>50479</v>
      </c>
      <c r="N28" s="90">
        <f>SUM(平成10年度!N8:N13)</f>
        <v>19780</v>
      </c>
      <c r="O28" s="58">
        <f>SUM(平成10年度!O8:O13)</f>
        <v>624169</v>
      </c>
      <c r="P28" s="55">
        <f>SUM(平成10年度!P8:P13)</f>
        <v>1753114</v>
      </c>
      <c r="Q28" s="90">
        <f>平成10年度!C28/平成10年度!O28</f>
        <v>0.38952751578498773</v>
      </c>
      <c r="R28" s="58">
        <f>平成10年度!H28/平成10年度!P28</f>
        <v>0.27418753144404756</v>
      </c>
      <c r="S28" s="55">
        <f>平成10年度!L28/平成10年度!H28</f>
        <v>0.14616524022118574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890</v>
      </c>
      <c r="C29" s="58">
        <f>SUM(平成10年度!C8:C14)</f>
        <v>284190</v>
      </c>
      <c r="D29" s="55">
        <f>SUM(平成10年度!D8:D14)</f>
        <v>244871</v>
      </c>
      <c r="E29" s="89">
        <f>SUM(平成10年度!E8:E14)</f>
        <v>232431</v>
      </c>
      <c r="F29" s="89">
        <f>SUM(平成10年度!F8:F14)</f>
        <v>12440</v>
      </c>
      <c r="G29" s="90">
        <f>SUM(平成10年度!G8:G14)</f>
        <v>39319</v>
      </c>
      <c r="H29" s="58">
        <f>SUM(平成10年度!H8:H14)</f>
        <v>561772</v>
      </c>
      <c r="I29" s="55">
        <f>SUM(平成10年度!I8:I14)</f>
        <v>479654</v>
      </c>
      <c r="J29" s="89">
        <f>SUM(平成10年度!J8:J14)</f>
        <v>347241</v>
      </c>
      <c r="K29" s="89">
        <f>SUM(平成10年度!K8:K14)</f>
        <v>132413</v>
      </c>
      <c r="L29" s="89">
        <f>SUM(平成10年度!L8:L14)</f>
        <v>82118</v>
      </c>
      <c r="M29" s="89">
        <f>SUM(平成10年度!M8:M14)</f>
        <v>59001</v>
      </c>
      <c r="N29" s="90">
        <f>SUM(平成10年度!N8:N14)</f>
        <v>23117</v>
      </c>
      <c r="O29" s="58">
        <f>SUM(平成10年度!O8:O14)</f>
        <v>728479</v>
      </c>
      <c r="P29" s="55">
        <f>SUM(平成10年度!P8:P14)</f>
        <v>2045575</v>
      </c>
      <c r="Q29" s="90">
        <f>平成10年度!C29/平成10年度!O29</f>
        <v>0.39011419684026583</v>
      </c>
      <c r="R29" s="58">
        <f>平成10年度!H29/平成10年度!P29</f>
        <v>0.27462791635603684</v>
      </c>
      <c r="S29" s="55">
        <f>平成10年度!L29/平成10年度!H29</f>
        <v>0.1461767407417956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891</v>
      </c>
      <c r="C30" s="58">
        <f>SUM(平成10年度!C8:C15)</f>
        <v>325314</v>
      </c>
      <c r="D30" s="55">
        <f>SUM(平成10年度!D8:D15)</f>
        <v>280354</v>
      </c>
      <c r="E30" s="89">
        <f>SUM(平成10年度!E8:E15)</f>
        <v>266103</v>
      </c>
      <c r="F30" s="89">
        <f>SUM(平成10年度!F8:F15)</f>
        <v>14251</v>
      </c>
      <c r="G30" s="90">
        <f>SUM(平成10年度!G8:G15)</f>
        <v>44960</v>
      </c>
      <c r="H30" s="58">
        <f>SUM(平成10年度!H8:H15)</f>
        <v>642899</v>
      </c>
      <c r="I30" s="55">
        <f>SUM(平成10年度!I8:I15)</f>
        <v>548961</v>
      </c>
      <c r="J30" s="89">
        <f>SUM(平成10年度!J8:J15)</f>
        <v>397219</v>
      </c>
      <c r="K30" s="89">
        <f>SUM(平成10年度!K8:K15)</f>
        <v>151742</v>
      </c>
      <c r="L30" s="89">
        <f>SUM(平成10年度!L8:L15)</f>
        <v>93938</v>
      </c>
      <c r="M30" s="89">
        <f>SUM(平成10年度!M8:M15)</f>
        <v>67492</v>
      </c>
      <c r="N30" s="90">
        <f>SUM(平成10年度!N8:N15)</f>
        <v>26446</v>
      </c>
      <c r="O30" s="58">
        <f>SUM(平成10年度!O8:O15)</f>
        <v>832887</v>
      </c>
      <c r="P30" s="55">
        <f>SUM(平成10年度!P8:P15)</f>
        <v>2338049</v>
      </c>
      <c r="Q30" s="90">
        <f>平成10年度!C30/平成10年度!O30</f>
        <v>0.39058599786045406</v>
      </c>
      <c r="R30" s="58">
        <f>平成10年度!H30/平成10年度!P30</f>
        <v>0.27497242358906937</v>
      </c>
      <c r="S30" s="55">
        <f>平成10年度!L30/平成10年度!H30</f>
        <v>0.14611626398547828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892</v>
      </c>
      <c r="C31" s="58">
        <f>SUM(平成10年度!C8:C16)</f>
        <v>366541</v>
      </c>
      <c r="D31" s="55">
        <f>SUM(平成10年度!D8:D16)</f>
        <v>315909</v>
      </c>
      <c r="E31" s="89">
        <f>SUM(平成10年度!E8:E16)</f>
        <v>299822</v>
      </c>
      <c r="F31" s="89">
        <f>SUM(平成10年度!F8:F16)</f>
        <v>16087</v>
      </c>
      <c r="G31" s="90">
        <f>SUM(平成10年度!G8:G16)</f>
        <v>50632</v>
      </c>
      <c r="H31" s="58">
        <f>SUM(平成10年度!H8:H16)</f>
        <v>724214</v>
      </c>
      <c r="I31" s="55">
        <f>SUM(平成10年度!I8:I16)</f>
        <v>618370</v>
      </c>
      <c r="J31" s="89">
        <f>SUM(平成10年度!J8:J16)</f>
        <v>447174</v>
      </c>
      <c r="K31" s="89">
        <f>SUM(平成10年度!K8:K16)</f>
        <v>171196</v>
      </c>
      <c r="L31" s="89">
        <f>SUM(平成10年度!L8:L16)</f>
        <v>105844</v>
      </c>
      <c r="M31" s="89">
        <f>SUM(平成10年度!M8:M16)</f>
        <v>76056</v>
      </c>
      <c r="N31" s="90">
        <f>SUM(平成10年度!N8:N16)</f>
        <v>29788</v>
      </c>
      <c r="O31" s="58">
        <f>SUM(平成10年度!O8:O16)</f>
        <v>937337</v>
      </c>
      <c r="P31" s="55">
        <f>SUM(平成10年度!P8:P16)</f>
        <v>2630571</v>
      </c>
      <c r="Q31" s="90">
        <f>平成10年度!C31/平成10年度!O31</f>
        <v>0.39104505636713371</v>
      </c>
      <c r="R31" s="58">
        <f>平成10年度!H31/平成10年度!P31</f>
        <v>0.27530676799827869</v>
      </c>
      <c r="S31" s="55">
        <f>平成10年度!L31/平成10年度!H31</f>
        <v>0.14615017108202824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893</v>
      </c>
      <c r="C32" s="58">
        <f>SUM(平成10年度!C8:C17)</f>
        <v>407933</v>
      </c>
      <c r="D32" s="55">
        <f>SUM(平成10年度!D8:D17)</f>
        <v>351669</v>
      </c>
      <c r="E32" s="89">
        <f>SUM(平成10年度!E8:E17)</f>
        <v>333724</v>
      </c>
      <c r="F32" s="89">
        <f>SUM(平成10年度!F8:F17)</f>
        <v>17945</v>
      </c>
      <c r="G32" s="90">
        <f>SUM(平成10年度!G8:G17)</f>
        <v>56264</v>
      </c>
      <c r="H32" s="58">
        <f>SUM(平成10年度!H8:H17)</f>
        <v>805753</v>
      </c>
      <c r="I32" s="55">
        <f>SUM(平成10年度!I8:I17)</f>
        <v>688041</v>
      </c>
      <c r="J32" s="89">
        <f>SUM(平成10年度!J8:J17)</f>
        <v>497360</v>
      </c>
      <c r="K32" s="89">
        <f>SUM(平成10年度!K8:K17)</f>
        <v>190681</v>
      </c>
      <c r="L32" s="89">
        <f>SUM(平成10年度!L8:L17)</f>
        <v>117712</v>
      </c>
      <c r="M32" s="89">
        <f>SUM(平成10年度!M8:M17)</f>
        <v>84582</v>
      </c>
      <c r="N32" s="90">
        <f>SUM(平成10年度!N8:N17)</f>
        <v>33130</v>
      </c>
      <c r="O32" s="58">
        <f>SUM(平成10年度!O8:O17)</f>
        <v>1041892</v>
      </c>
      <c r="P32" s="55">
        <f>SUM(平成10年度!P8:P17)</f>
        <v>2923109</v>
      </c>
      <c r="Q32" s="90">
        <f>平成10年度!C32/平成10年度!O32</f>
        <v>0.39153098401753733</v>
      </c>
      <c r="R32" s="58">
        <f>平成10年度!H32/平成10年度!P32</f>
        <v>0.27564931721670316</v>
      </c>
      <c r="S32" s="55">
        <f>平成10年度!L32/平成10年度!H32</f>
        <v>0.14608943435519323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894</v>
      </c>
      <c r="C33" s="58">
        <f>SUM(平成10年度!C8:C18)</f>
        <v>449476</v>
      </c>
      <c r="D33" s="55">
        <f>SUM(平成10年度!D8:D18)</f>
        <v>387593</v>
      </c>
      <c r="E33" s="89">
        <f>SUM(平成10年度!E8:E18)</f>
        <v>367792</v>
      </c>
      <c r="F33" s="89">
        <f>SUM(平成10年度!F8:F18)</f>
        <v>19801</v>
      </c>
      <c r="G33" s="90">
        <f>SUM(平成10年度!G8:G18)</f>
        <v>61883</v>
      </c>
      <c r="H33" s="58">
        <f>SUM(平成10年度!H8:H18)</f>
        <v>887530</v>
      </c>
      <c r="I33" s="55">
        <f>SUM(平成10年度!I8:I18)</f>
        <v>757970</v>
      </c>
      <c r="J33" s="89">
        <f>SUM(平成10年度!J8:J18)</f>
        <v>547648</v>
      </c>
      <c r="K33" s="89">
        <f>SUM(平成10年度!K8:K18)</f>
        <v>210322</v>
      </c>
      <c r="L33" s="89">
        <f>SUM(平成10年度!L8:L18)</f>
        <v>129560</v>
      </c>
      <c r="M33" s="89">
        <f>SUM(平成10年度!M8:M18)</f>
        <v>93095</v>
      </c>
      <c r="N33" s="90">
        <f>SUM(平成10年度!N8:N18)</f>
        <v>36465</v>
      </c>
      <c r="O33" s="58">
        <f>SUM(平成10年度!O8:O18)</f>
        <v>1146515</v>
      </c>
      <c r="P33" s="55">
        <f>SUM(平成10年度!P8:P18)</f>
        <v>3215630</v>
      </c>
      <c r="Q33" s="90">
        <f>平成10年度!C33/平成10年度!O33</f>
        <v>0.39203673741730372</v>
      </c>
      <c r="R33" s="58">
        <f>平成10年度!H33/平成10年度!P33</f>
        <v>0.27600501301455704</v>
      </c>
      <c r="S33" s="55">
        <f>平成10年度!L33/平成10年度!H33</f>
        <v>0.14597816411839601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895</v>
      </c>
      <c r="C34" s="58">
        <f>SUM(平成10年度!C8:C19)</f>
        <v>491135</v>
      </c>
      <c r="D34" s="55">
        <f>SUM(平成10年度!D8:D19)</f>
        <v>423615</v>
      </c>
      <c r="E34" s="89">
        <f>SUM(平成10年度!E8:E19)</f>
        <v>401956</v>
      </c>
      <c r="F34" s="89">
        <f>SUM(平成10年度!F8:F19)</f>
        <v>21659</v>
      </c>
      <c r="G34" s="90">
        <f>SUM(平成10年度!G8:G19)</f>
        <v>67520</v>
      </c>
      <c r="H34" s="58">
        <f>SUM(平成10年度!H8:H19)</f>
        <v>969433</v>
      </c>
      <c r="I34" s="55">
        <f>SUM(平成10年度!I8:I19)</f>
        <v>828000</v>
      </c>
      <c r="J34" s="89">
        <f>SUM(平成10年度!J8:J19)</f>
        <v>597894</v>
      </c>
      <c r="K34" s="89">
        <f>SUM(平成10年度!K8:K19)</f>
        <v>230106</v>
      </c>
      <c r="L34" s="89">
        <f>SUM(平成10年度!L8:L19)</f>
        <v>141433</v>
      </c>
      <c r="M34" s="89">
        <f>SUM(平成10年度!M8:M19)</f>
        <v>101625</v>
      </c>
      <c r="N34" s="90">
        <f>SUM(平成10年度!N8:N19)</f>
        <v>39808</v>
      </c>
      <c r="O34" s="58">
        <f>SUM(平成10年度!O8:O19)</f>
        <v>1251166</v>
      </c>
      <c r="P34" s="55">
        <f>SUM(平成10年度!P8:P19)</f>
        <v>3507583</v>
      </c>
      <c r="Q34" s="90">
        <f>平成10年度!C34/平成10年度!O34</f>
        <v>0.3925418369744702</v>
      </c>
      <c r="R34" s="58">
        <f>平成10年度!H34/平成10年度!P34</f>
        <v>0.27638205567765611</v>
      </c>
      <c r="S34" s="55">
        <f>平成10年度!L34/平成10年度!H34</f>
        <v>0.14589249592287451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896</v>
      </c>
      <c r="C35" s="92">
        <f>平成９年度!C19+SUM(平成10年度!C8:C18)</f>
        <v>489284</v>
      </c>
      <c r="D35" s="93">
        <f>平成９年度!D19+SUM(平成10年度!D8:D18)</f>
        <v>421940</v>
      </c>
      <c r="E35" s="94">
        <f>平成９年度!E19+SUM(平成10年度!E8:E18)</f>
        <v>400447</v>
      </c>
      <c r="F35" s="94">
        <f>平成９年度!F19+SUM(平成10年度!F8:F18)</f>
        <v>21493</v>
      </c>
      <c r="G35" s="95">
        <f>平成９年度!G19+SUM(平成10年度!G8:G18)</f>
        <v>67344</v>
      </c>
      <c r="H35" s="92">
        <f>平成９年度!H19+SUM(平成10年度!H8:H18)</f>
        <v>966373</v>
      </c>
      <c r="I35" s="93">
        <f>平成９年度!I19+SUM(平成10年度!I8:I18)</f>
        <v>825500</v>
      </c>
      <c r="J35" s="94">
        <f>平成９年度!J19+SUM(平成10年度!J8:J18)</f>
        <v>596761</v>
      </c>
      <c r="K35" s="94">
        <f>平成９年度!K19+SUM(平成10年度!K8:K18)</f>
        <v>228739</v>
      </c>
      <c r="L35" s="94">
        <f>平成９年度!L19+SUM(平成10年度!L8:L18)</f>
        <v>140873</v>
      </c>
      <c r="M35" s="94">
        <f>平成９年度!M19+SUM(平成10年度!M8:M18)</f>
        <v>101238</v>
      </c>
      <c r="N35" s="95">
        <f>平成９年度!N19+SUM(平成10年度!N8:N18)</f>
        <v>39635</v>
      </c>
      <c r="O35" s="92">
        <f>平成９年度!O19+SUM(平成10年度!O8:O18)</f>
        <v>1249770</v>
      </c>
      <c r="P35" s="93">
        <f>平成９年度!P19+SUM(平成10年度!P8:P18)</f>
        <v>3506996</v>
      </c>
      <c r="Q35" s="95">
        <f>平成10年度!C35/平成10年度!O35</f>
        <v>0.39149923585939811</v>
      </c>
      <c r="R35" s="92">
        <f>平成10年度!H35/平成10年度!P35</f>
        <v>0.27555577479985721</v>
      </c>
      <c r="S35" s="93">
        <f>平成10年度!L35/平成10年度!H35</f>
        <v>0.14577497508725926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平成10年度!K35/12</f>
        <v>19061.583333333332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897</v>
      </c>
      <c r="C37" s="102">
        <f>平成10年度!C2+平成10年度!C31</f>
        <v>485660</v>
      </c>
      <c r="D37" s="103">
        <f>平成10年度!D2+平成10年度!D31</f>
        <v>418643</v>
      </c>
      <c r="E37" s="104">
        <f>平成10年度!E2+平成10年度!E31</f>
        <v>397515</v>
      </c>
      <c r="F37" s="104">
        <f>平成10年度!F2+平成10年度!F31</f>
        <v>21128</v>
      </c>
      <c r="G37" s="105">
        <f>平成10年度!G2+平成10年度!G31</f>
        <v>67017</v>
      </c>
      <c r="H37" s="102">
        <f>平成10年度!H2+平成10年度!H31</f>
        <v>960364</v>
      </c>
      <c r="I37" s="103">
        <f>平成10年度!I2+平成10年度!I31</f>
        <v>820640</v>
      </c>
      <c r="J37" s="104">
        <f>平成10年度!J2+平成10年度!J31</f>
        <v>594497</v>
      </c>
      <c r="K37" s="104">
        <f>平成10年度!K2+平成10年度!K31</f>
        <v>226143</v>
      </c>
      <c r="L37" s="104">
        <f>平成10年度!L2+平成10年度!L31</f>
        <v>139724</v>
      </c>
      <c r="M37" s="104">
        <f>平成10年度!M2+平成10年度!M31</f>
        <v>100446</v>
      </c>
      <c r="N37" s="106">
        <f>平成10年度!N2+平成10年度!N31</f>
        <v>39278</v>
      </c>
      <c r="O37" s="106">
        <f>平成10年度!O2+平成10年度!O31</f>
        <v>1246801</v>
      </c>
      <c r="P37" s="106">
        <f>平成10年度!P2+平成10年度!P31</f>
        <v>3505393</v>
      </c>
      <c r="Q37" s="106">
        <f>平成10年度!C37/平成10年度!O37</f>
        <v>0.38952487205255693</v>
      </c>
      <c r="R37" s="106">
        <f>平成10年度!H37/平成10年度!P37</f>
        <v>0.27396756939949385</v>
      </c>
      <c r="S37" s="103">
        <f>平成10年度!L37/平成10年度!H37</f>
        <v>0.14549066812167052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 t="s">
        <v>898</v>
      </c>
      <c r="CE37" s="1"/>
      <c r="CF37" s="1"/>
      <c r="CG37" s="1"/>
    </row>
    <row r="38" spans="1:85" ht="20.149999999999999" customHeight="1" x14ac:dyDescent="0.2">
      <c r="A38" s="1"/>
      <c r="B38" s="109" t="s">
        <v>899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平成10年度!C38/平成10年度!O38</f>
        <v>#VALUE!</v>
      </c>
      <c r="R38" s="114" t="e">
        <f>平成10年度!H38/平成10年度!P38</f>
        <v>#VALUE!</v>
      </c>
      <c r="S38" s="111" t="e">
        <f>平成10年度!L38/平成10年度!H38</f>
        <v>#VALUE!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 t="s">
        <v>900</v>
      </c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901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902</v>
      </c>
      <c r="D41" s="1" t="s">
        <v>903</v>
      </c>
      <c r="E41" s="1" t="s">
        <v>904</v>
      </c>
      <c r="F41" s="1" t="s">
        <v>905</v>
      </c>
      <c r="G41" s="1" t="s">
        <v>906</v>
      </c>
      <c r="H41" s="1" t="s">
        <v>907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8"/>
      <c r="L42" s="118"/>
      <c r="M42" s="118"/>
      <c r="N42" s="118"/>
      <c r="O42" s="118"/>
      <c r="P42" s="118"/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908</v>
      </c>
      <c r="C43" s="1">
        <f>(+平成5年度!K19+平成6年度!K27)/6</f>
        <v>14204.833333333334</v>
      </c>
      <c r="D43" s="1">
        <f>(+平成6年度!K19+平成7年度!K27)/6</f>
        <v>15238.5</v>
      </c>
      <c r="E43" s="1">
        <f>(+平成7年度!K19+平成８年度!K27)/6</f>
        <v>16433.333333333332</v>
      </c>
      <c r="F43" s="120">
        <f>ROUND((+平成８年度!K19+平成９年度!K27)/6,0)</f>
        <v>17543</v>
      </c>
      <c r="G43" s="120">
        <f>ROUND((+平成９年度!K19+平成10年度!K27)/6,0)</f>
        <v>18744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909</v>
      </c>
      <c r="C44" s="121"/>
      <c r="D44" s="122">
        <f>平成10年度!D43/平成10年度!C43</f>
        <v>1.0727686585551865</v>
      </c>
      <c r="E44" s="122">
        <f>平成10年度!E43/平成10年度!D43</f>
        <v>1.0784088547647952</v>
      </c>
      <c r="F44" s="123">
        <f>ROUND(+平成10年度!F43/平成10年度!E43,4)</f>
        <v>1.0674999999999999</v>
      </c>
      <c r="G44" s="123">
        <f>ROUND(+平成10年度!G43/平成10年度!F43,4)</f>
        <v>1.0685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910</v>
      </c>
      <c r="V44" s="1"/>
      <c r="W44" s="117" t="str">
        <f>平成10年度!C3</f>
        <v>平成10年度</v>
      </c>
      <c r="X44" s="124"/>
      <c r="Y44" s="1"/>
      <c r="Z44" s="125"/>
      <c r="AA44" s="117"/>
      <c r="AB44" s="117"/>
      <c r="AC44" s="117"/>
      <c r="AD44" s="117" t="s">
        <v>911</v>
      </c>
      <c r="AE44" s="117" t="s">
        <v>912</v>
      </c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913</v>
      </c>
      <c r="C45" s="1">
        <f>平成6年度!K36</f>
        <v>14433</v>
      </c>
      <c r="D45" s="1">
        <f>平成7年度!K36</f>
        <v>15516.666666666666</v>
      </c>
      <c r="E45" s="1">
        <f>平成８年度!K36</f>
        <v>16714.583333333332</v>
      </c>
      <c r="F45" s="126">
        <f>平成９年度!K36</f>
        <v>17827.916666666668</v>
      </c>
      <c r="G45" s="126">
        <f>ROUND(+平成10年度!F46*平成10年度!G43,0)</f>
        <v>19048</v>
      </c>
      <c r="H45" s="126">
        <f>平成10年度!G45*平成10年度!G47</f>
        <v>20350.8832</v>
      </c>
      <c r="I45" s="1"/>
      <c r="J45" s="1"/>
      <c r="K45" s="1"/>
      <c r="L45" s="1"/>
      <c r="M45" s="1"/>
      <c r="N45" s="3"/>
      <c r="O45" s="3"/>
      <c r="P45" s="3"/>
      <c r="Q45" s="3"/>
      <c r="R45" s="3"/>
      <c r="S45" s="1"/>
      <c r="T45" s="118"/>
      <c r="U45" s="118"/>
      <c r="V45" s="118" t="s">
        <v>914</v>
      </c>
      <c r="W45" s="118" t="s">
        <v>915</v>
      </c>
      <c r="X45" s="127" t="s">
        <v>916</v>
      </c>
      <c r="Y45" s="128" t="s">
        <v>917</v>
      </c>
      <c r="Z45" s="129" t="s">
        <v>918</v>
      </c>
      <c r="AA45" s="129" t="s">
        <v>919</v>
      </c>
      <c r="AB45" s="129" t="s">
        <v>920</v>
      </c>
      <c r="AC45" s="129" t="s">
        <v>921</v>
      </c>
      <c r="AD45" s="130" t="s">
        <v>922</v>
      </c>
      <c r="AE45" s="130" t="s">
        <v>923</v>
      </c>
      <c r="AF45" s="130" t="s">
        <v>924</v>
      </c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925</v>
      </c>
      <c r="C46" s="122">
        <f>平成10年度!C45/平成10年度!C43</f>
        <v>1.0160626077978152</v>
      </c>
      <c r="D46" s="122">
        <f>平成10年度!D45/平成10年度!D43</f>
        <v>1.0182542026227428</v>
      </c>
      <c r="E46" s="122">
        <f>平成10年度!E45/平成10年度!E43</f>
        <v>1.0171146044624746</v>
      </c>
      <c r="F46" s="122">
        <f>ROUND(+平成10年度!F45/平成10年度!F43,4)</f>
        <v>1.0162</v>
      </c>
      <c r="G46" s="122">
        <f>ROUND((+平成10年度!E46+平成10年度!F46)/2,4)</f>
        <v>1.0166999999999999</v>
      </c>
      <c r="H46" s="1"/>
      <c r="I46" s="1"/>
      <c r="J46" s="1"/>
      <c r="K46" s="118"/>
      <c r="L46" s="118"/>
      <c r="M46" s="118"/>
      <c r="N46" s="1"/>
      <c r="O46" s="1"/>
      <c r="P46" s="1"/>
      <c r="Q46" s="1"/>
      <c r="R46" s="1"/>
      <c r="S46" s="1"/>
      <c r="T46" s="1"/>
      <c r="U46" s="1"/>
      <c r="V46" s="1" t="s">
        <v>926</v>
      </c>
      <c r="W46" s="133" t="s">
        <v>927</v>
      </c>
      <c r="X46" s="134" t="s">
        <v>928</v>
      </c>
      <c r="Y46" s="135" t="s">
        <v>929</v>
      </c>
      <c r="Z46" s="136" t="s">
        <v>930</v>
      </c>
      <c r="AA46" s="137"/>
      <c r="AB46" s="137" t="s">
        <v>931</v>
      </c>
      <c r="AC46" s="138" t="s">
        <v>932</v>
      </c>
      <c r="AD46" s="139" t="s">
        <v>933</v>
      </c>
      <c r="AE46" s="140" t="s">
        <v>934</v>
      </c>
      <c r="AF46" s="140" t="s">
        <v>935</v>
      </c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936</v>
      </c>
      <c r="C47" s="121"/>
      <c r="D47" s="122">
        <f>平成10年度!D45/平成10年度!C45</f>
        <v>1.0750825654172151</v>
      </c>
      <c r="E47" s="122">
        <f>平成10年度!E45/平成10年度!D45</f>
        <v>1.077201933404941</v>
      </c>
      <c r="F47" s="122">
        <f>ROUND(+平成10年度!F45/平成10年度!E45,4)</f>
        <v>1.0666</v>
      </c>
      <c r="G47" s="122">
        <f>ROUND(+平成10年度!G45/平成10年度!F45,4)</f>
        <v>1.0684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>
        <f>平成10年度!M8</f>
        <v>8340</v>
      </c>
      <c r="AB47" s="144" t="s">
        <v>937</v>
      </c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149"/>
      <c r="S48" s="1"/>
      <c r="T48" s="1" t="s">
        <v>938</v>
      </c>
      <c r="U48" s="1" t="s">
        <v>939</v>
      </c>
      <c r="V48" s="1">
        <f>平成10年度!C8</f>
        <v>40143</v>
      </c>
      <c r="W48" s="117">
        <f>平成10年度!H8</f>
        <v>79448</v>
      </c>
      <c r="X48" s="134">
        <f>平成10年度!W48-平成10年度!Y48-平成10年度!Z48</f>
        <v>49220</v>
      </c>
      <c r="Y48" s="150">
        <f>平成10年度!K8</f>
        <v>18601</v>
      </c>
      <c r="Z48" s="151">
        <f>平成10年度!AA47+平成10年度!AA48</f>
        <v>11627</v>
      </c>
      <c r="AA48" s="151">
        <f>平成10年度!N8</f>
        <v>3287</v>
      </c>
      <c r="AB48" s="151">
        <f>平成10年度!O8</f>
        <v>103804</v>
      </c>
      <c r="AC48" s="152">
        <f>平成10年度!P8</f>
        <v>291886</v>
      </c>
      <c r="AD48" s="153">
        <f>平成10年度!V48/+平成10年度!AB48</f>
        <v>0.38671920157219375</v>
      </c>
      <c r="AE48" s="151">
        <f>平成10年度!W48/+平成10年度!AC48</f>
        <v>0.27218845713737555</v>
      </c>
      <c r="AF48" s="150">
        <f>平成10年度!Z48/+平成10年度!W48</f>
        <v>0.14634729634477897</v>
      </c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 t="s">
        <v>940</v>
      </c>
      <c r="H49" s="99" t="s">
        <v>941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 t="s">
        <v>942</v>
      </c>
      <c r="W49" s="117"/>
      <c r="X49" s="142"/>
      <c r="Y49" s="143"/>
      <c r="Z49" s="144"/>
      <c r="AA49" s="144">
        <f>平成10年度!M9</f>
        <v>8325</v>
      </c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>
        <f>IF(+平成10年度!G45&gt;0,ROUNDUP(+平成10年度!G45,-2),ROUNDDOWN(+平成10年度!G45,-2))</f>
        <v>19100</v>
      </c>
      <c r="H50" s="160">
        <f>IF(+平成10年度!H45&gt;0,ROUNDUP(+平成10年度!H45,-2),ROUNDDOWN(+平成10年度!H45,-2))</f>
        <v>20400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943</v>
      </c>
      <c r="V50" s="1">
        <f>平成10年度!C9</f>
        <v>40271</v>
      </c>
      <c r="W50" s="117">
        <f>平成10年度!H9</f>
        <v>79632</v>
      </c>
      <c r="X50" s="134">
        <f>平成10年度!W50-平成10年度!Y50-平成10年度!Z50</f>
        <v>49326</v>
      </c>
      <c r="Y50" s="150">
        <f>平成10年度!K9</f>
        <v>18712</v>
      </c>
      <c r="Z50" s="151">
        <f>平成10年度!AA49+平成10年度!AA50</f>
        <v>11594</v>
      </c>
      <c r="AA50" s="151">
        <f>平成10年度!N9</f>
        <v>3269</v>
      </c>
      <c r="AB50" s="151">
        <f>平成10年度!O9</f>
        <v>103965</v>
      </c>
      <c r="AC50" s="152">
        <f>平成10年度!P9</f>
        <v>292117</v>
      </c>
      <c r="AD50" s="153">
        <f>平成10年度!V50/+平成10年度!AB50</f>
        <v>0.38735151252825473</v>
      </c>
      <c r="AE50" s="151">
        <f>平成10年度!W50/+平成10年度!AC50</f>
        <v>0.27260310081234573</v>
      </c>
      <c r="AF50" s="150">
        <f>平成10年度!Z50/+平成10年度!W50</f>
        <v>0.14559473578460921</v>
      </c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 t="s">
        <v>944</v>
      </c>
      <c r="W51" s="117" t="s">
        <v>945</v>
      </c>
      <c r="X51" s="142" t="s">
        <v>946</v>
      </c>
      <c r="Y51" s="143"/>
      <c r="Z51" s="144"/>
      <c r="AA51" s="144">
        <f>平成10年度!M10</f>
        <v>8363</v>
      </c>
      <c r="AB51" s="144"/>
      <c r="AC51" s="145"/>
      <c r="AD51" s="146" t="s">
        <v>947</v>
      </c>
      <c r="AE51" s="144" t="s">
        <v>948</v>
      </c>
      <c r="AF51" s="144" t="s">
        <v>949</v>
      </c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8"/>
      <c r="L52" s="118"/>
      <c r="M52" s="118"/>
      <c r="N52" s="118"/>
      <c r="O52" s="118"/>
      <c r="P52" s="118"/>
      <c r="Q52" s="118"/>
      <c r="R52" s="1"/>
      <c r="S52" s="1"/>
      <c r="T52" s="1"/>
      <c r="U52" s="1" t="s">
        <v>950</v>
      </c>
      <c r="V52" s="1">
        <f>平成10年度!C10</f>
        <v>40429</v>
      </c>
      <c r="W52" s="117">
        <f>平成10年度!H10</f>
        <v>79889</v>
      </c>
      <c r="X52" s="134">
        <f>平成10年度!W52-平成10年度!Y52-平成10年度!Z52</f>
        <v>49395</v>
      </c>
      <c r="Y52" s="150">
        <f>平成10年度!K10</f>
        <v>18830</v>
      </c>
      <c r="Z52" s="151">
        <f>平成10年度!AA51+平成10年度!AA52</f>
        <v>11664</v>
      </c>
      <c r="AA52" s="151">
        <f>平成10年度!N10</f>
        <v>3301</v>
      </c>
      <c r="AB52" s="151">
        <f>平成10年度!O10</f>
        <v>104033</v>
      </c>
      <c r="AC52" s="152">
        <f>平成10年度!P10</f>
        <v>292219</v>
      </c>
      <c r="AD52" s="153">
        <f>平成10年度!V52/+平成10年度!AB52</f>
        <v>0.38861707342862362</v>
      </c>
      <c r="AE52" s="151">
        <f>平成10年度!W52/+平成10年度!AC52</f>
        <v>0.27338742518453624</v>
      </c>
      <c r="AF52" s="150">
        <f>平成10年度!Z52/+平成10年度!W52</f>
        <v>0.14600257857777665</v>
      </c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42" t="s">
        <v>951</v>
      </c>
      <c r="Y53" s="143"/>
      <c r="Z53" s="144"/>
      <c r="AA53" s="144">
        <f>平成10年度!M11</f>
        <v>8483</v>
      </c>
      <c r="AB53" s="144"/>
      <c r="AC53" s="157"/>
      <c r="AD53" s="146" t="s">
        <v>952</v>
      </c>
      <c r="AE53" s="144" t="s">
        <v>953</v>
      </c>
      <c r="AF53" s="143" t="s">
        <v>954</v>
      </c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/>
      <c r="C54" s="1"/>
      <c r="D54" s="1"/>
      <c r="E54" s="1"/>
      <c r="F54" s="120"/>
      <c r="G54" s="1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955</v>
      </c>
      <c r="V54" s="1">
        <f>平成10年度!C11</f>
        <v>40629</v>
      </c>
      <c r="W54" s="117">
        <f>平成10年度!H11</f>
        <v>80285</v>
      </c>
      <c r="X54" s="134">
        <f>平成10年度!W54-平成10年度!Y54-平成10年度!Z54</f>
        <v>49590</v>
      </c>
      <c r="Y54" s="150">
        <f>平成10年度!K11</f>
        <v>18912</v>
      </c>
      <c r="Z54" s="151">
        <f>平成10年度!AA53+平成10年度!AA54</f>
        <v>11783</v>
      </c>
      <c r="AA54" s="151">
        <f>平成10年度!N11</f>
        <v>3300</v>
      </c>
      <c r="AB54" s="151">
        <f>平成10年度!O11</f>
        <v>104077</v>
      </c>
      <c r="AC54" s="152">
        <f>平成10年度!P11</f>
        <v>292223</v>
      </c>
      <c r="AD54" s="153">
        <f>平成10年度!V54/+平成10年度!AB54</f>
        <v>0.39037443431305668</v>
      </c>
      <c r="AE54" s="151">
        <f>平成10年度!W54/+平成10年度!AC54</f>
        <v>0.27473881248224813</v>
      </c>
      <c r="AF54" s="150">
        <f>平成10年度!Z54/+平成10年度!W54</f>
        <v>0.14676465093105812</v>
      </c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/>
      <c r="C55" s="121"/>
      <c r="D55" s="122"/>
      <c r="E55" s="122"/>
      <c r="F55" s="123"/>
      <c r="G55" s="123"/>
      <c r="H55" s="123"/>
      <c r="I55" s="1"/>
      <c r="J55" s="1"/>
      <c r="K55" s="118"/>
      <c r="L55" s="118"/>
      <c r="M55" s="118"/>
      <c r="N55" s="1"/>
      <c r="O55" s="1"/>
      <c r="P55" s="1"/>
      <c r="Q55" s="1"/>
      <c r="R55" s="1"/>
      <c r="S55" s="1"/>
      <c r="T55" s="1"/>
      <c r="U55" s="1"/>
      <c r="V55" s="1"/>
      <c r="W55" s="117"/>
      <c r="X55" s="142" t="s">
        <v>956</v>
      </c>
      <c r="Y55" s="143"/>
      <c r="Z55" s="144"/>
      <c r="AA55" s="144">
        <f>平成10年度!M12</f>
        <v>8488</v>
      </c>
      <c r="AB55" s="144"/>
      <c r="AC55" s="145"/>
      <c r="AD55" s="146" t="s">
        <v>957</v>
      </c>
      <c r="AE55" s="144" t="s">
        <v>958</v>
      </c>
      <c r="AF55" s="144" t="s">
        <v>959</v>
      </c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/>
      <c r="C56" s="1"/>
      <c r="D56" s="1"/>
      <c r="E56" s="1"/>
      <c r="F56" s="126"/>
      <c r="G56" s="126"/>
      <c r="H56" s="1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960</v>
      </c>
      <c r="V56" s="1">
        <f>平成10年度!C12</f>
        <v>40746</v>
      </c>
      <c r="W56" s="117">
        <f>平成10年度!H12</f>
        <v>80566</v>
      </c>
      <c r="X56" s="134">
        <f>平成10年度!W56-平成10年度!Y56-平成10年度!Z56</f>
        <v>49771</v>
      </c>
      <c r="Y56" s="150">
        <f>平成10年度!K12</f>
        <v>18992</v>
      </c>
      <c r="Z56" s="151">
        <f>平成10年度!AA55+平成10年度!AA56</f>
        <v>11803</v>
      </c>
      <c r="AA56" s="151">
        <f>平成10年度!N12</f>
        <v>3315</v>
      </c>
      <c r="AB56" s="151">
        <f>平成10年度!O12</f>
        <v>104094</v>
      </c>
      <c r="AC56" s="152">
        <f>平成10年度!P12</f>
        <v>292290</v>
      </c>
      <c r="AD56" s="153">
        <f>平成10年度!V56/+平成10年度!AB56</f>
        <v>0.39143466482217998</v>
      </c>
      <c r="AE56" s="151">
        <f>平成10年度!W56/+平成10年度!AC56</f>
        <v>0.2756372096205823</v>
      </c>
      <c r="AF56" s="150">
        <f>平成10年度!Z56/+平成10年度!W56</f>
        <v>0.14650100538688776</v>
      </c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42" t="s">
        <v>961</v>
      </c>
      <c r="Y57" s="143"/>
      <c r="Z57" s="144"/>
      <c r="AA57" s="144">
        <f>平成10年度!M13</f>
        <v>8480</v>
      </c>
      <c r="AB57" s="144"/>
      <c r="AC57" s="145"/>
      <c r="AD57" s="146" t="s">
        <v>962</v>
      </c>
      <c r="AE57" s="144" t="s">
        <v>963</v>
      </c>
      <c r="AF57" s="144" t="s">
        <v>964</v>
      </c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/>
      <c r="C58" s="121"/>
      <c r="D58" s="122"/>
      <c r="E58" s="122"/>
      <c r="F58" s="122"/>
      <c r="G58" s="122"/>
      <c r="H58" s="1"/>
      <c r="I58" s="1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"/>
      <c r="U58" s="1" t="s">
        <v>965</v>
      </c>
      <c r="V58" s="1">
        <f>平成10年度!C13</f>
        <v>40913</v>
      </c>
      <c r="W58" s="117">
        <f>平成10年度!H13</f>
        <v>80862</v>
      </c>
      <c r="X58" s="134">
        <f>平成10年度!W58-平成10年度!Y58-平成10年度!Z58</f>
        <v>49951</v>
      </c>
      <c r="Y58" s="150">
        <f>平成10年度!K13</f>
        <v>19123</v>
      </c>
      <c r="Z58" s="151">
        <f>平成10年度!AA57+平成10年度!AA58</f>
        <v>11788</v>
      </c>
      <c r="AA58" s="151">
        <f>平成10年度!N13</f>
        <v>3308</v>
      </c>
      <c r="AB58" s="151">
        <f>平成10年度!O13</f>
        <v>104196</v>
      </c>
      <c r="AC58" s="152">
        <f>平成10年度!P13</f>
        <v>292379</v>
      </c>
      <c r="AD58" s="153">
        <f>平成10年度!V58/+平成10年度!AB58</f>
        <v>0.39265422856923493</v>
      </c>
      <c r="AE58" s="151">
        <f>平成10年度!W58/+平成10年度!AC58</f>
        <v>0.27656569042236273</v>
      </c>
      <c r="AF58" s="150">
        <f>平成10年度!Z58/+平成10年度!W58</f>
        <v>0.14577922880957681</v>
      </c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/>
      <c r="K59" s="36"/>
      <c r="L59" s="36"/>
      <c r="M59" s="36"/>
      <c r="N59" s="36"/>
      <c r="O59" s="36"/>
      <c r="P59" s="36"/>
      <c r="Q59" s="36"/>
      <c r="R59" s="36"/>
      <c r="S59" s="36" t="s">
        <v>966</v>
      </c>
      <c r="T59" s="1"/>
      <c r="U59" s="1"/>
      <c r="V59" s="1"/>
      <c r="W59" s="117"/>
      <c r="X59" s="142" t="s">
        <v>967</v>
      </c>
      <c r="Y59" s="143"/>
      <c r="Z59" s="144"/>
      <c r="AA59" s="144">
        <f>平成10年度!M14</f>
        <v>8522</v>
      </c>
      <c r="AB59" s="144"/>
      <c r="AC59" s="145"/>
      <c r="AD59" s="146" t="s">
        <v>968</v>
      </c>
      <c r="AE59" s="144" t="s">
        <v>969</v>
      </c>
      <c r="AF59" s="144" t="s">
        <v>970</v>
      </c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/>
      <c r="E60" s="1"/>
      <c r="F60" s="1"/>
      <c r="G60" s="1"/>
      <c r="H60" s="1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971</v>
      </c>
      <c r="V60" s="1">
        <f>平成10年度!C14</f>
        <v>41059</v>
      </c>
      <c r="W60" s="117">
        <f>平成10年度!H14</f>
        <v>81090</v>
      </c>
      <c r="X60" s="134">
        <f>平成10年度!W60-平成10年度!Y60-平成10年度!Z60</f>
        <v>49988</v>
      </c>
      <c r="Y60" s="150">
        <f>平成10年度!K14</f>
        <v>19243</v>
      </c>
      <c r="Z60" s="151">
        <f>平成10年度!AA59+平成10年度!AA60</f>
        <v>11859</v>
      </c>
      <c r="AA60" s="151">
        <f>平成10年度!N14</f>
        <v>3337</v>
      </c>
      <c r="AB60" s="151">
        <f>平成10年度!O14</f>
        <v>104310</v>
      </c>
      <c r="AC60" s="152">
        <f>平成10年度!P14</f>
        <v>292461</v>
      </c>
      <c r="AD60" s="153">
        <f>平成10年度!V60/+平成10年度!AB60</f>
        <v>0.3936247723132969</v>
      </c>
      <c r="AE60" s="151">
        <f>平成10年度!W60/+平成10年度!AC60</f>
        <v>0.27726773826253759</v>
      </c>
      <c r="AF60" s="150">
        <f>平成10年度!Z60/+平成10年度!W60</f>
        <v>0.14624491305956344</v>
      </c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1"/>
      <c r="U61" s="1"/>
      <c r="V61" s="1"/>
      <c r="W61" s="117"/>
      <c r="X61" s="142" t="s">
        <v>972</v>
      </c>
      <c r="Y61" s="143"/>
      <c r="Z61" s="144"/>
      <c r="AA61" s="144">
        <f>平成10年度!M15</f>
        <v>8491</v>
      </c>
      <c r="AB61" s="144"/>
      <c r="AC61" s="145"/>
      <c r="AD61" s="146" t="s">
        <v>973</v>
      </c>
      <c r="AE61" s="144" t="s">
        <v>974</v>
      </c>
      <c r="AF61" s="144" t="s">
        <v>975</v>
      </c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976</v>
      </c>
      <c r="V62" s="1">
        <f>平成10年度!C15</f>
        <v>41124</v>
      </c>
      <c r="W62" s="117">
        <f>平成10年度!H15</f>
        <v>81127</v>
      </c>
      <c r="X62" s="134">
        <f>平成10年度!W62-平成10年度!Y62-平成10年度!Z62</f>
        <v>49978</v>
      </c>
      <c r="Y62" s="150">
        <f>平成10年度!K15</f>
        <v>19329</v>
      </c>
      <c r="Z62" s="151">
        <f>平成10年度!AA61+平成10年度!AA62</f>
        <v>11820</v>
      </c>
      <c r="AA62" s="151">
        <f>平成10年度!N15</f>
        <v>3329</v>
      </c>
      <c r="AB62" s="151">
        <f>平成10年度!O15</f>
        <v>104408</v>
      </c>
      <c r="AC62" s="152">
        <f>平成10年度!P15</f>
        <v>292474</v>
      </c>
      <c r="AD62" s="153">
        <f>平成10年度!V62/+平成10年度!AB62</f>
        <v>0.39387786376522871</v>
      </c>
      <c r="AE62" s="151">
        <f>平成10年度!W62/+平成10年度!AC62</f>
        <v>0.27738192112803189</v>
      </c>
      <c r="AF62" s="150">
        <f>平成10年度!Z62/+平成10年度!W62</f>
        <v>0.14569748665672341</v>
      </c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"/>
      <c r="U63" s="1"/>
      <c r="V63" s="1" t="s">
        <v>977</v>
      </c>
      <c r="W63" s="117"/>
      <c r="X63" s="142" t="s">
        <v>978</v>
      </c>
      <c r="Y63" s="143"/>
      <c r="Z63" s="144"/>
      <c r="AA63" s="144">
        <f>平成10年度!M16</f>
        <v>8564</v>
      </c>
      <c r="AB63" s="144"/>
      <c r="AC63" s="157"/>
      <c r="AD63" s="146" t="s">
        <v>979</v>
      </c>
      <c r="AE63" s="144" t="s">
        <v>980</v>
      </c>
      <c r="AF63" s="143" t="s">
        <v>981</v>
      </c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/>
      <c r="C64" s="1"/>
      <c r="D64" s="1"/>
      <c r="E64" s="1"/>
      <c r="F64" s="120"/>
      <c r="G64" s="1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982</v>
      </c>
      <c r="V64" s="1">
        <f>平成10年度!C16</f>
        <v>41227</v>
      </c>
      <c r="W64" s="117">
        <f>平成10年度!H16</f>
        <v>81315</v>
      </c>
      <c r="X64" s="134">
        <f>平成10年度!W64-平成10年度!Y64-平成10年度!Z64</f>
        <v>49955</v>
      </c>
      <c r="Y64" s="150">
        <f>平成10年度!K16</f>
        <v>19454</v>
      </c>
      <c r="Z64" s="151">
        <f>平成10年度!AA63+平成10年度!AA64</f>
        <v>11906</v>
      </c>
      <c r="AA64" s="151">
        <f>平成10年度!N16</f>
        <v>3342</v>
      </c>
      <c r="AB64" s="151">
        <f>平成10年度!O16</f>
        <v>104450</v>
      </c>
      <c r="AC64" s="152">
        <f>平成10年度!P16</f>
        <v>292522</v>
      </c>
      <c r="AD64" s="153">
        <f>平成10年度!V64/+平成10年度!AB64</f>
        <v>0.39470560076591671</v>
      </c>
      <c r="AE64" s="151">
        <f>平成10年度!W64/+平成10年度!AC64</f>
        <v>0.27797909217084527</v>
      </c>
      <c r="AF64" s="150">
        <f>平成10年度!Z64/+平成10年度!W64</f>
        <v>0.14641825001537231</v>
      </c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/>
      <c r="C65" s="121"/>
      <c r="D65" s="122"/>
      <c r="E65" s="122"/>
      <c r="F65" s="123"/>
      <c r="G65" s="123"/>
      <c r="H65" s="1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 t="s">
        <v>983</v>
      </c>
      <c r="W65" s="117"/>
      <c r="X65" s="142" t="s">
        <v>984</v>
      </c>
      <c r="Y65" s="143"/>
      <c r="Z65" s="144"/>
      <c r="AA65" s="144">
        <f>平成10年度!M17</f>
        <v>8526</v>
      </c>
      <c r="AB65" s="144"/>
      <c r="AC65" s="157"/>
      <c r="AD65" s="146" t="s">
        <v>985</v>
      </c>
      <c r="AE65" s="144" t="s">
        <v>986</v>
      </c>
      <c r="AF65" s="143" t="s">
        <v>987</v>
      </c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/>
      <c r="C66" s="1"/>
      <c r="D66" s="1"/>
      <c r="E66" s="1"/>
      <c r="F66" s="126"/>
      <c r="G66" s="126"/>
      <c r="H66" s="1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988</v>
      </c>
      <c r="V66" s="1">
        <f>平成10年度!C17</f>
        <v>41392</v>
      </c>
      <c r="W66" s="117">
        <f>平成10年度!H17</f>
        <v>81539</v>
      </c>
      <c r="X66" s="134">
        <f>平成10年度!W66-平成10年度!Y66-平成10年度!Z66</f>
        <v>50186</v>
      </c>
      <c r="Y66" s="150">
        <f>平成10年度!K17</f>
        <v>19485</v>
      </c>
      <c r="Z66" s="151">
        <f>平成10年度!AA65+平成10年度!AA66</f>
        <v>11868</v>
      </c>
      <c r="AA66" s="151">
        <f>平成10年度!N17</f>
        <v>3342</v>
      </c>
      <c r="AB66" s="151">
        <f>平成10年度!O17</f>
        <v>104555</v>
      </c>
      <c r="AC66" s="152">
        <f>平成10年度!P17</f>
        <v>292538</v>
      </c>
      <c r="AD66" s="153">
        <f>平成10年度!V66/+平成10年度!AB66</f>
        <v>0.3958873320262063</v>
      </c>
      <c r="AE66" s="151">
        <f>平成10年度!W66/+平成10年度!AC66</f>
        <v>0.27872960094073251</v>
      </c>
      <c r="AF66" s="150">
        <f>平成10年度!Z66/+平成10年度!W66</f>
        <v>0.14554998221709856</v>
      </c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/>
      <c r="C67" s="122"/>
      <c r="D67" s="122"/>
      <c r="E67" s="122"/>
      <c r="F67" s="122"/>
      <c r="G67" s="1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 t="s">
        <v>989</v>
      </c>
      <c r="W67" s="117" t="s">
        <v>990</v>
      </c>
      <c r="X67" s="142" t="s">
        <v>991</v>
      </c>
      <c r="Y67" s="143"/>
      <c r="Z67" s="144"/>
      <c r="AA67" s="144">
        <f>平成10年度!M18</f>
        <v>8513</v>
      </c>
      <c r="AB67" s="144"/>
      <c r="AC67" s="157"/>
      <c r="AD67" s="146" t="s">
        <v>992</v>
      </c>
      <c r="AE67" s="144" t="s">
        <v>993</v>
      </c>
      <c r="AF67" s="143" t="s">
        <v>994</v>
      </c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/>
      <c r="C68" s="121"/>
      <c r="D68" s="122"/>
      <c r="E68" s="122"/>
      <c r="F68" s="122"/>
      <c r="G68" s="1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995</v>
      </c>
      <c r="V68" s="1">
        <f>平成10年度!C18</f>
        <v>41543</v>
      </c>
      <c r="W68" s="117">
        <f>平成10年度!H18</f>
        <v>81777</v>
      </c>
      <c r="X68" s="134">
        <f>平成10年度!W68-平成10年度!Y68-平成10年度!Z68</f>
        <v>50288</v>
      </c>
      <c r="Y68" s="150">
        <f>平成10年度!K18</f>
        <v>19641</v>
      </c>
      <c r="Z68" s="151">
        <f>平成10年度!AA67+平成10年度!AA68</f>
        <v>11848</v>
      </c>
      <c r="AA68" s="151">
        <f>平成10年度!N18</f>
        <v>3335</v>
      </c>
      <c r="AB68" s="151">
        <f>平成10年度!O18</f>
        <v>104623</v>
      </c>
      <c r="AC68" s="152">
        <f>平成10年度!P18</f>
        <v>292521</v>
      </c>
      <c r="AD68" s="153">
        <f>平成10年度!V68/+平成10年度!AB68</f>
        <v>0.39707330128174495</v>
      </c>
      <c r="AE68" s="151">
        <f>平成10年度!W68/+平成10年度!AC68</f>
        <v>0.27955941624703867</v>
      </c>
      <c r="AF68" s="150">
        <f>平成10年度!Z68/+平成10年度!W68</f>
        <v>0.14488181273463199</v>
      </c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 t="s">
        <v>996</v>
      </c>
      <c r="Y69" s="143"/>
      <c r="Z69" s="144"/>
      <c r="AA69" s="144">
        <f>平成10年度!M19</f>
        <v>8530</v>
      </c>
      <c r="AB69" s="144"/>
      <c r="AC69" s="157"/>
      <c r="AD69" s="146" t="s">
        <v>997</v>
      </c>
      <c r="AE69" s="144" t="s">
        <v>998</v>
      </c>
      <c r="AF69" s="143" t="s">
        <v>999</v>
      </c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/>
      <c r="E70" s="1"/>
      <c r="F70" s="1"/>
      <c r="G70" s="1"/>
      <c r="H70" s="16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1000</v>
      </c>
      <c r="V70" s="1">
        <f>平成10年度!C19</f>
        <v>41659</v>
      </c>
      <c r="W70" s="117">
        <f>平成10年度!H19</f>
        <v>81903</v>
      </c>
      <c r="X70" s="134">
        <f>平成10年度!W70-平成10年度!Y70-平成10年度!Z70</f>
        <v>50246</v>
      </c>
      <c r="Y70" s="150">
        <f>平成10年度!K19</f>
        <v>19784</v>
      </c>
      <c r="Z70" s="151">
        <f>平成10年度!AA69+平成10年度!AA70</f>
        <v>11873</v>
      </c>
      <c r="AA70" s="151">
        <f>平成10年度!N19</f>
        <v>3343</v>
      </c>
      <c r="AB70" s="151">
        <f>平成10年度!O19</f>
        <v>104651</v>
      </c>
      <c r="AC70" s="152">
        <f>平成10年度!P19</f>
        <v>291953</v>
      </c>
      <c r="AD70" s="153">
        <f>平成10年度!V70/+平成10年度!AB70</f>
        <v>0.39807550811745707</v>
      </c>
      <c r="AE70" s="151">
        <f>平成10年度!W70/+平成10年度!AC70</f>
        <v>0.28053488061434545</v>
      </c>
      <c r="AF70" s="150">
        <f>平成10年度!Z70/+平成10年度!W70</f>
        <v>0.14496416492680367</v>
      </c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1001</v>
      </c>
      <c r="V71" s="1" t="s">
        <v>1002</v>
      </c>
      <c r="W71" s="117" t="s">
        <v>1003</v>
      </c>
      <c r="X71" s="142" t="s">
        <v>1004</v>
      </c>
      <c r="Y71" s="143" t="s">
        <v>1005</v>
      </c>
      <c r="Z71" s="144" t="s">
        <v>1006</v>
      </c>
      <c r="AA71" s="144">
        <f>平成10年度!AA47+平成10年度!AA49+平成10年度!AA51+平成10年度!AA53+平成10年度!AA55+平成10年度!AA57+平成10年度!AA59+平成10年度!AA61+平成10年度!AA63+平成10年度!AA65+平成10年度!AA67+平成10年度!AA69</f>
        <v>101625</v>
      </c>
      <c r="AB71" s="144" t="s">
        <v>1007</v>
      </c>
      <c r="AC71" s="157" t="s">
        <v>1008</v>
      </c>
      <c r="AD71" s="146" t="s">
        <v>1009</v>
      </c>
      <c r="AE71" s="144" t="s">
        <v>1010</v>
      </c>
      <c r="AF71" s="143" t="s">
        <v>1011</v>
      </c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1012</v>
      </c>
      <c r="V72" s="1">
        <f>SUM(平成10年度!V48:V70)</f>
        <v>491135</v>
      </c>
      <c r="W72" s="117">
        <f>SUM(平成10年度!W48:W70)</f>
        <v>969433</v>
      </c>
      <c r="X72" s="134">
        <f>SUM(平成10年度!X48:X70)</f>
        <v>597894</v>
      </c>
      <c r="Y72" s="150">
        <f>SUM(平成10年度!Y48:Y70)</f>
        <v>230106</v>
      </c>
      <c r="Z72" s="151">
        <f>SUM(平成10年度!Z48:Z70)</f>
        <v>141433</v>
      </c>
      <c r="AA72" s="151">
        <f>平成10年度!AA48+平成10年度!AA50+平成10年度!AA52+平成10年度!AA54+平成10年度!AA56+平成10年度!AA58+平成10年度!AA60+平成10年度!AA62+平成10年度!AA64+平成10年度!AA66+平成10年度!AA68+平成10年度!AA70</f>
        <v>39808</v>
      </c>
      <c r="AB72" s="151">
        <f>SUM(平成10年度!AB48:AB70)</f>
        <v>1251166</v>
      </c>
      <c r="AC72" s="152">
        <f>SUM(平成10年度!AC48:AC70)</f>
        <v>3507583</v>
      </c>
      <c r="AD72" s="153">
        <f>平成10年度!V72/+平成10年度!AB72</f>
        <v>0.3925418369744702</v>
      </c>
      <c r="AE72" s="150">
        <f>平成10年度!W72/+平成10年度!AC72</f>
        <v>0.27638205567765611</v>
      </c>
      <c r="AF72" s="151">
        <f>平成10年度!Z72/+平成10年度!W72</f>
        <v>0.14589249592287451</v>
      </c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1013</v>
      </c>
      <c r="V73" s="1" t="s">
        <v>1014</v>
      </c>
      <c r="W73" s="117" t="s">
        <v>1015</v>
      </c>
      <c r="X73" s="142" t="e">
        <f>平成10年度!X74+平成10年度!Y74</f>
        <v>#VALUE!</v>
      </c>
      <c r="Y73" s="143" t="s">
        <v>1016</v>
      </c>
      <c r="Z73" s="144" t="s">
        <v>1017</v>
      </c>
      <c r="AA73" s="144" t="e">
        <f>#VALUE!</f>
        <v>#VALUE!</v>
      </c>
      <c r="AB73" s="144" t="s">
        <v>1018</v>
      </c>
      <c r="AC73" s="157" t="s">
        <v>1019</v>
      </c>
      <c r="AD73" s="146" t="s">
        <v>1020</v>
      </c>
      <c r="AE73" s="144" t="s">
        <v>1021</v>
      </c>
      <c r="AF73" s="143" t="s">
        <v>1022</v>
      </c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1023</v>
      </c>
      <c r="V74" s="1" t="e">
        <f>#VALUE!</f>
        <v>#VALUE!</v>
      </c>
      <c r="W74" s="117" t="e">
        <f>#VALUE!</f>
        <v>#VALUE!</v>
      </c>
      <c r="X74" s="164" t="e">
        <f>#VALUE!</f>
        <v>#VALUE!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平成10年度!V74/+平成10年度!AB74</f>
        <v>#VALUE!</v>
      </c>
      <c r="AE74" s="165" t="e">
        <f>平成10年度!W74/+平成10年度!AC74</f>
        <v>#VALUE!</v>
      </c>
      <c r="AF74" s="166" t="e">
        <f>平成10年度!Z74/+平成10年度!W74</f>
        <v>#VALUE!</v>
      </c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 t="s">
        <v>1024</v>
      </c>
      <c r="U75" s="1" t="s">
        <v>1025</v>
      </c>
      <c r="V75" s="1"/>
      <c r="W75" s="172"/>
      <c r="X75" s="127"/>
      <c r="Y75" s="173"/>
      <c r="Z75" s="174"/>
      <c r="AA75" s="174">
        <f>平成10年度!M2+平成10年度!AA47+平成10年度!AA49+平成10年度!AA51+平成10年度!AA53+平成10年度!AA55+平成10年度!AA57+平成10年度!AA59+平成10年度!AA61+平成10年度!AA63</f>
        <v>100446</v>
      </c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 t="s">
        <v>1026</v>
      </c>
      <c r="U76" s="1" t="s">
        <v>1027</v>
      </c>
      <c r="V76" s="1">
        <f>平成10年度!C2+SUM(平成10年度!V48:V64)</f>
        <v>485660</v>
      </c>
      <c r="W76" s="180">
        <f>平成10年度!H2+SUM(平成10年度!W48:W64)</f>
        <v>960364</v>
      </c>
      <c r="X76" s="134">
        <f>平成10年度!J2+SUM(平成10年度!X48:X64)</f>
        <v>594497</v>
      </c>
      <c r="Y76" s="181">
        <f>平成10年度!K2+SUM(平成10年度!Y48:Y64)</f>
        <v>226143</v>
      </c>
      <c r="Z76" s="182">
        <f>平成10年度!L2+SUM(平成10年度!Z48:Z64)</f>
        <v>139724</v>
      </c>
      <c r="AA76" s="182">
        <f>平成10年度!N2+平成10年度!AA48+平成10年度!AA50+平成10年度!AA52+平成10年度!AA54+平成10年度!AA56+平成10年度!AA58+平成10年度!AA60+平成10年度!AA62+平成10年度!AA64</f>
        <v>39278</v>
      </c>
      <c r="AB76" s="182">
        <f>平成10年度!O2+SUM(平成10年度!AB48:AB64)</f>
        <v>1246801</v>
      </c>
      <c r="AC76" s="183">
        <f>平成10年度!P2+SUM(平成10年度!AC48:AC64)</f>
        <v>3505393</v>
      </c>
      <c r="AD76" s="184">
        <f>平成10年度!V76/+平成10年度!AB76</f>
        <v>0.38952487205255693</v>
      </c>
      <c r="AE76" s="181">
        <f>平成10年度!W76/+平成10年度!AC76</f>
        <v>0.27396756939949385</v>
      </c>
      <c r="AF76" s="182">
        <f>平成10年度!Z76/+平成10年度!W76</f>
        <v>0.14549066812167052</v>
      </c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 t="s">
        <v>1028</v>
      </c>
      <c r="U77" s="1" t="s">
        <v>1029</v>
      </c>
      <c r="V77" s="1"/>
      <c r="W77" s="188"/>
      <c r="X77" s="142" t="e">
        <f>平成10年度!X78+平成10年度!Y78</f>
        <v>#VALUE!</v>
      </c>
      <c r="Y77" s="189"/>
      <c r="Z77" s="190"/>
      <c r="AA77" s="190" t="e">
        <f>#VALUE!</f>
        <v>#VALUE!</v>
      </c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1030</v>
      </c>
      <c r="V78" s="1" t="e">
        <f>#VALUE!</f>
        <v>#VALUE!</v>
      </c>
      <c r="W78" s="196" t="e">
        <f>#VALUE!</f>
        <v>#VALUE!</v>
      </c>
      <c r="X78" s="164" t="e">
        <f>#VALUE!</f>
        <v>#VALUE!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平成10年度!V78/+平成10年度!AB78</f>
        <v>#VALUE!</v>
      </c>
      <c r="AE78" s="197" t="e">
        <f>平成10年度!W78/+平成10年度!AC78</f>
        <v>#VALUE!</v>
      </c>
      <c r="AF78" s="198" t="e">
        <f>平成10年度!Z78/+平成10年度!W78</f>
        <v>#VALUE!</v>
      </c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/>
      <c r="B80" s="1"/>
      <c r="C80" s="204"/>
      <c r="D80" s="204"/>
      <c r="E80" s="204"/>
      <c r="F80" s="204"/>
      <c r="G80" s="20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/>
      <c r="B81" s="1"/>
      <c r="C81" s="204"/>
      <c r="D81" s="204"/>
      <c r="E81" s="204"/>
      <c r="F81" s="204"/>
      <c r="G81" s="20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/>
      <c r="B82" s="1"/>
      <c r="C82" s="1"/>
      <c r="D82" s="204"/>
      <c r="E82" s="204"/>
      <c r="F82" s="204"/>
      <c r="G82" s="204"/>
      <c r="H82" s="20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86"/>
  <sheetViews>
    <sheetView workbookViewId="0">
      <pane xSplit="2" ySplit="6" topLeftCell="C82" activePane="bottomRight" state="frozen"/>
      <selection activeCell="D13" sqref="D13"/>
      <selection pane="topRight" activeCell="D13" sqref="D13"/>
      <selection pane="bottomLeft" activeCell="D13" sqref="D13"/>
      <selection pane="bottomRight" activeCell="K103" sqref="K103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8" width="10.25" style="205" customWidth="1"/>
    <col min="9" max="9" width="9" style="205" customWidth="1"/>
    <col min="10" max="14" width="8" style="205" customWidth="1"/>
    <col min="15" max="15" width="11.75" style="205" customWidth="1"/>
    <col min="16" max="16" width="10.33203125" style="205" customWidth="1"/>
    <col min="17" max="17" width="8" style="205" customWidth="1"/>
    <col min="18" max="19" width="9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1031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1032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 t="s">
        <v>1033</v>
      </c>
      <c r="B2" s="1"/>
      <c r="C2" s="205">
        <f>SUM(平成10年度!C17:C19)</f>
        <v>124594</v>
      </c>
      <c r="D2" s="205">
        <f>SUM(平成10年度!D17:D19)</f>
        <v>107706</v>
      </c>
      <c r="E2" s="205">
        <f>SUM(平成10年度!E17:E19)</f>
        <v>102134</v>
      </c>
      <c r="F2" s="205">
        <f>SUM(平成10年度!F17:F19)</f>
        <v>5572</v>
      </c>
      <c r="G2" s="205">
        <f>SUM(平成10年度!G17:G19)</f>
        <v>16888</v>
      </c>
      <c r="H2" s="205">
        <f>SUM(平成10年度!H17:H19)</f>
        <v>245219</v>
      </c>
      <c r="I2" s="205">
        <f>SUM(平成10年度!I17:I19)</f>
        <v>209630</v>
      </c>
      <c r="J2" s="205">
        <f>SUM(平成10年度!J17:J19)</f>
        <v>150720</v>
      </c>
      <c r="K2" s="205">
        <f>SUM(平成10年度!K17:K19)</f>
        <v>58910</v>
      </c>
      <c r="L2" s="205">
        <f>SUM(平成10年度!L17:L19)</f>
        <v>35589</v>
      </c>
      <c r="M2" s="205" t="e">
        <f>SUM(+平成10年度!M17:M19)</f>
        <v>#VALUE!</v>
      </c>
      <c r="N2" s="205">
        <f>SUM(平成10年度!N17:N19)</f>
        <v>10020</v>
      </c>
      <c r="O2" s="205">
        <f>SUM(平成10年度!O17:O19)</f>
        <v>313829</v>
      </c>
      <c r="P2" s="205">
        <f>SUM(平成10年度!P17:P19)</f>
        <v>877012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 t="s">
        <v>1034</v>
      </c>
      <c r="B3" s="3"/>
      <c r="C3" s="3" t="s">
        <v>1035</v>
      </c>
      <c r="D3" s="3"/>
      <c r="E3" s="3" t="s">
        <v>1036</v>
      </c>
      <c r="F3" s="3" t="s">
        <v>1037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 t="s">
        <v>1038</v>
      </c>
      <c r="AI3" s="1" t="s">
        <v>1039</v>
      </c>
      <c r="AJ3" s="4" t="s">
        <v>1040</v>
      </c>
      <c r="AK3" s="5" t="s">
        <v>1041</v>
      </c>
      <c r="AL3" s="6" t="s">
        <v>1042</v>
      </c>
      <c r="AM3" s="7" t="s">
        <v>1043</v>
      </c>
      <c r="AN3" s="7" t="s">
        <v>1044</v>
      </c>
      <c r="AO3" s="7" t="s">
        <v>1045</v>
      </c>
      <c r="AP3" s="8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 t="s">
        <v>1046</v>
      </c>
      <c r="B4" s="9" t="s">
        <v>1047</v>
      </c>
      <c r="C4" s="10" t="s">
        <v>1048</v>
      </c>
      <c r="D4" s="11"/>
      <c r="E4" s="11"/>
      <c r="F4" s="11"/>
      <c r="G4" s="12"/>
      <c r="H4" s="10" t="s">
        <v>1049</v>
      </c>
      <c r="I4" s="11"/>
      <c r="J4" s="11"/>
      <c r="K4" s="11"/>
      <c r="L4" s="11"/>
      <c r="M4" s="11"/>
      <c r="N4" s="11"/>
      <c r="O4" s="10" t="s">
        <v>1050</v>
      </c>
      <c r="P4" s="11" t="s">
        <v>1051</v>
      </c>
      <c r="Q4" s="12" t="s">
        <v>1052</v>
      </c>
      <c r="R4" s="13" t="s">
        <v>1053</v>
      </c>
      <c r="S4" s="14" t="s">
        <v>1054</v>
      </c>
      <c r="T4" s="15"/>
      <c r="U4" s="15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 t="s">
        <v>1055</v>
      </c>
      <c r="AH4" s="1">
        <f>平成5年度!H21</f>
        <v>73421.5</v>
      </c>
      <c r="AI4" s="1">
        <f>平成5年度!C21</f>
        <v>34978.25</v>
      </c>
      <c r="AJ4" s="17">
        <f>平成5年度!P21</f>
        <v>284836.58333333331</v>
      </c>
      <c r="AK4" s="18">
        <f>平成5年度!O21</f>
        <v>96045.416666666672</v>
      </c>
      <c r="AL4" s="19">
        <f>ROUND(+平成11年度!AH4/平成11年度!AJ4,4)</f>
        <v>0.25779999999999997</v>
      </c>
      <c r="AM4" s="20">
        <f>ROUND(+平成11年度!AI4/平成11年度!AK4,4)</f>
        <v>0.36420000000000002</v>
      </c>
      <c r="AN4" s="20"/>
      <c r="AO4" s="21"/>
      <c r="AP4" s="2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 t="s">
        <v>1056</v>
      </c>
      <c r="B5" s="23"/>
      <c r="C5" s="24" t="s">
        <v>1057</v>
      </c>
      <c r="D5" s="25" t="s">
        <v>1058</v>
      </c>
      <c r="E5" s="26" t="s">
        <v>1059</v>
      </c>
      <c r="F5" s="26" t="s">
        <v>1060</v>
      </c>
      <c r="G5" s="27" t="s">
        <v>1061</v>
      </c>
      <c r="H5" s="24" t="s">
        <v>1062</v>
      </c>
      <c r="I5" s="25" t="s">
        <v>1063</v>
      </c>
      <c r="J5" s="26" t="s">
        <v>1064</v>
      </c>
      <c r="K5" s="26" t="s">
        <v>1065</v>
      </c>
      <c r="L5" s="26" t="s">
        <v>1066</v>
      </c>
      <c r="M5" s="26" t="s">
        <v>1067</v>
      </c>
      <c r="N5" s="27" t="s">
        <v>1068</v>
      </c>
      <c r="O5" s="24" t="s">
        <v>1069</v>
      </c>
      <c r="P5" s="25" t="s">
        <v>1070</v>
      </c>
      <c r="Q5" s="27" t="s">
        <v>1071</v>
      </c>
      <c r="R5" s="24" t="s">
        <v>1072</v>
      </c>
      <c r="S5" s="25" t="s">
        <v>1073</v>
      </c>
      <c r="T5" s="26"/>
      <c r="U5" s="28"/>
      <c r="V5" s="29"/>
      <c r="W5" s="1"/>
      <c r="X5" s="1"/>
      <c r="Y5" s="1"/>
      <c r="Z5" s="1"/>
      <c r="AA5" s="1"/>
      <c r="AB5" s="1"/>
      <c r="AC5" s="1"/>
      <c r="AD5" s="1"/>
      <c r="AE5" s="1"/>
      <c r="AF5" s="1"/>
      <c r="AG5" s="1" t="s">
        <v>1074</v>
      </c>
      <c r="AH5" s="1">
        <f>平成6年度!H21</f>
        <v>73815.333333333328</v>
      </c>
      <c r="AI5" s="1">
        <f>平成6年度!C21</f>
        <v>35722.5</v>
      </c>
      <c r="AJ5" s="30">
        <f>平成6年度!P21</f>
        <v>286905.41666666669</v>
      </c>
      <c r="AK5" s="31">
        <f>平成6年度!O21</f>
        <v>97801.75</v>
      </c>
      <c r="AL5" s="32">
        <f>ROUND(+平成11年度!AH5/平成11年度!AJ5,4)</f>
        <v>0.25729999999999997</v>
      </c>
      <c r="AM5" s="33">
        <f>ROUND(+平成11年度!AI5/平成11年度!AK5,4)</f>
        <v>0.36530000000000001</v>
      </c>
      <c r="AN5" s="33">
        <f>ROUND((+平成11年度!AL5-平成11年度!AL4),4)</f>
        <v>-5.0000000000000001E-4</v>
      </c>
      <c r="AO5" s="34">
        <f>ROUND((+平成11年度!AM5-平成11年度!AM4),4)</f>
        <v>1.1000000000000001E-3</v>
      </c>
      <c r="AP5" s="35"/>
      <c r="AQ5" s="36"/>
      <c r="AR5" s="3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 t="s">
        <v>1075</v>
      </c>
      <c r="B6" s="37"/>
      <c r="C6" s="13" t="s">
        <v>1076</v>
      </c>
      <c r="D6" s="14" t="s">
        <v>1077</v>
      </c>
      <c r="E6" s="15" t="s">
        <v>1078</v>
      </c>
      <c r="F6" s="15" t="s">
        <v>1079</v>
      </c>
      <c r="G6" s="16" t="s">
        <v>1080</v>
      </c>
      <c r="H6" s="38" t="s">
        <v>1081</v>
      </c>
      <c r="I6" s="14" t="s">
        <v>1082</v>
      </c>
      <c r="J6" s="15" t="s">
        <v>1083</v>
      </c>
      <c r="K6" s="15" t="s">
        <v>1084</v>
      </c>
      <c r="L6" s="15" t="s">
        <v>1085</v>
      </c>
      <c r="M6" s="15" t="s">
        <v>1086</v>
      </c>
      <c r="N6" s="16" t="s">
        <v>1087</v>
      </c>
      <c r="O6" s="13"/>
      <c r="P6" s="14"/>
      <c r="Q6" s="16"/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 t="s">
        <v>1088</v>
      </c>
      <c r="AH6" s="1">
        <f>平成7年度!H21</f>
        <v>74679.75</v>
      </c>
      <c r="AI6" s="1">
        <f>平成7年度!C21</f>
        <v>36668.25</v>
      </c>
      <c r="AJ6" s="30">
        <f>平成7年度!P21</f>
        <v>288695.58333333331</v>
      </c>
      <c r="AK6" s="31">
        <f>平成7年度!O21</f>
        <v>99576.333333333328</v>
      </c>
      <c r="AL6" s="32">
        <f>ROUND(+平成11年度!AH6/平成11年度!AJ6,4)</f>
        <v>0.25869999999999999</v>
      </c>
      <c r="AM6" s="33">
        <f>ROUND(+平成11年度!AI6/平成11年度!AK6,4)</f>
        <v>0.36820000000000003</v>
      </c>
      <c r="AN6" s="33">
        <f>ROUND((+平成11年度!AL6-平成11年度!AL5),4)</f>
        <v>1.4E-3</v>
      </c>
      <c r="AO6" s="34">
        <f>ROUND((+平成11年度!AM6-平成11年度!AM5),4)</f>
        <v>2.8999999999999998E-3</v>
      </c>
      <c r="AP6" s="35"/>
      <c r="AQ6" s="36"/>
      <c r="AR6" s="3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 t="s">
        <v>1089</v>
      </c>
      <c r="B8" s="43" t="s">
        <v>1090</v>
      </c>
      <c r="C8" s="44">
        <v>42099</v>
      </c>
      <c r="D8" s="45">
        <f>平成11年度!E8+平成11年度!F8</f>
        <v>36300</v>
      </c>
      <c r="E8" s="45">
        <f>平成11年度!C8-平成11年度!G8-平成11年度!F8</f>
        <v>34396</v>
      </c>
      <c r="F8" s="46">
        <v>1904</v>
      </c>
      <c r="G8" s="47">
        <v>5799</v>
      </c>
      <c r="H8" s="48">
        <f>平成11年度!I8+平成11年度!L8</f>
        <v>82725</v>
      </c>
      <c r="I8" s="45">
        <f>平成11年度!J8+平成11年度!K8</f>
        <v>70448</v>
      </c>
      <c r="J8" s="46">
        <v>50458</v>
      </c>
      <c r="K8" s="49">
        <v>19990</v>
      </c>
      <c r="L8" s="45">
        <f>平成11年度!M8+平成11年度!N8</f>
        <v>12277</v>
      </c>
      <c r="M8" s="46">
        <v>8778</v>
      </c>
      <c r="N8" s="47">
        <v>3499</v>
      </c>
      <c r="O8" s="44">
        <v>105149</v>
      </c>
      <c r="P8" s="45">
        <v>292461</v>
      </c>
      <c r="Q8" s="47">
        <f>平成11年度!C8/平成11年度!O8</f>
        <v>0.40037470636905725</v>
      </c>
      <c r="R8" s="44">
        <f>平成11年度!H8/平成11年度!P8</f>
        <v>0.28285822725081294</v>
      </c>
      <c r="S8" s="46">
        <f>平成11年度!L8/平成11年度!H8</f>
        <v>0.14840737382895133</v>
      </c>
      <c r="T8" s="50"/>
      <c r="U8" s="51"/>
      <c r="V8" s="52"/>
      <c r="W8" s="1"/>
      <c r="X8" s="1"/>
      <c r="Y8" s="1"/>
      <c r="Z8" s="1"/>
      <c r="AA8" s="1"/>
      <c r="AB8" s="1"/>
      <c r="AC8" s="1"/>
      <c r="AD8" s="1"/>
      <c r="AE8" s="1"/>
      <c r="AF8" s="1"/>
      <c r="AG8" s="1" t="s">
        <v>1091</v>
      </c>
      <c r="AH8" s="1">
        <f>平成８年度!H21</f>
        <v>76218.333333333328</v>
      </c>
      <c r="AI8" s="1">
        <f>平成８年度!C21</f>
        <v>37947.583333333336</v>
      </c>
      <c r="AJ8" s="30">
        <f>平成８年度!P21</f>
        <v>290091.16666666669</v>
      </c>
      <c r="AK8" s="31">
        <f>平成８年度!O21</f>
        <v>101328.25</v>
      </c>
      <c r="AL8" s="32">
        <f>ROUND(+平成11年度!AH8/平成11年度!AJ8,4)</f>
        <v>0.26269999999999999</v>
      </c>
      <c r="AM8" s="33">
        <f>ROUND(+平成11年度!AI8/平成11年度!AK8,4)</f>
        <v>0.3745</v>
      </c>
      <c r="AN8" s="33">
        <f>ROUND((+平成11年度!AL8-平成11年度!AL6),4)</f>
        <v>4.0000000000000001E-3</v>
      </c>
      <c r="AO8" s="34">
        <f>ROUND((+平成11年度!AM8-平成11年度!AM6),4)</f>
        <v>6.3E-3</v>
      </c>
      <c r="AP8" s="35"/>
      <c r="AQ8" s="36"/>
      <c r="AR8" s="36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 t="s">
        <v>1092</v>
      </c>
      <c r="B9" s="43" t="s">
        <v>1093</v>
      </c>
      <c r="C9" s="44">
        <v>42212</v>
      </c>
      <c r="D9" s="45">
        <f>平成11年度!E9+平成11年度!F9</f>
        <v>36415</v>
      </c>
      <c r="E9" s="45">
        <f>平成11年度!C9-平成11年度!G9-平成11年度!F9</f>
        <v>34498</v>
      </c>
      <c r="F9" s="46">
        <v>1917</v>
      </c>
      <c r="G9" s="47">
        <v>5797</v>
      </c>
      <c r="H9" s="48">
        <f>平成11年度!I9+平成11年度!L9</f>
        <v>82818</v>
      </c>
      <c r="I9" s="45">
        <f>平成11年度!J9+平成11年度!K9</f>
        <v>70525</v>
      </c>
      <c r="J9" s="46">
        <v>50451</v>
      </c>
      <c r="K9" s="49">
        <v>20074</v>
      </c>
      <c r="L9" s="45">
        <f>平成11年度!M9+平成11年度!N9</f>
        <v>12293</v>
      </c>
      <c r="M9" s="46">
        <v>8788</v>
      </c>
      <c r="N9" s="47">
        <v>3505</v>
      </c>
      <c r="O9" s="44">
        <v>105245</v>
      </c>
      <c r="P9" s="45">
        <v>292512</v>
      </c>
      <c r="Q9" s="47">
        <f>平成11年度!C9/平成11年度!O9</f>
        <v>0.4010831868497316</v>
      </c>
      <c r="R9" s="44">
        <f>平成11年度!H9/平成11年度!P9</f>
        <v>0.28312684607810962</v>
      </c>
      <c r="S9" s="46">
        <f>平成11年度!L9/平成11年度!H9</f>
        <v>0.14843391533241565</v>
      </c>
      <c r="T9" s="50"/>
      <c r="U9" s="51"/>
      <c r="V9" s="52"/>
      <c r="W9" s="1"/>
      <c r="X9" s="1"/>
      <c r="Y9" s="1"/>
      <c r="Z9" s="1"/>
      <c r="AA9" s="1"/>
      <c r="AB9" s="1"/>
      <c r="AC9" s="1"/>
      <c r="AD9" s="1"/>
      <c r="AE9" s="1"/>
      <c r="AF9" s="1"/>
      <c r="AG9" s="1" t="s">
        <v>1094</v>
      </c>
      <c r="AH9" s="1" t="e">
        <f>平成９年度!H21</f>
        <v>#VALUE!</v>
      </c>
      <c r="AI9" s="1" t="e">
        <f>平成９年度!C21</f>
        <v>#VALUE!</v>
      </c>
      <c r="AJ9" s="30" t="e">
        <f>平成９年度!P21</f>
        <v>#VALUE!</v>
      </c>
      <c r="AK9" s="31" t="e">
        <f>平成９年度!O21</f>
        <v>#VALUE!</v>
      </c>
      <c r="AL9" s="32" t="e">
        <f>ROUND(+平成11年度!AH9/平成11年度!AJ9,4)</f>
        <v>#VALUE!</v>
      </c>
      <c r="AM9" s="33" t="e">
        <f>ROUND(+平成11年度!AI9/平成11年度!AK9,4)</f>
        <v>#VALUE!</v>
      </c>
      <c r="AN9" s="33" t="e">
        <f>ROUND((+平成11年度!AL9-平成11年度!AL8),4)</f>
        <v>#VALUE!</v>
      </c>
      <c r="AO9" s="34" t="e">
        <f>ROUND((+平成11年度!AM9-平成11年度!AM8),4)</f>
        <v>#VALUE!</v>
      </c>
      <c r="AP9" s="35"/>
      <c r="AQ9" s="36"/>
      <c r="AR9" s="36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 t="s">
        <v>1095</v>
      </c>
      <c r="B10" s="53" t="s">
        <v>1096</v>
      </c>
      <c r="C10" s="54">
        <v>42356</v>
      </c>
      <c r="D10" s="55">
        <f>平成11年度!E10+平成11年度!F10</f>
        <v>36539</v>
      </c>
      <c r="E10" s="55">
        <f>平成11年度!C10-平成11年度!G10-平成11年度!F10</f>
        <v>34607</v>
      </c>
      <c r="F10" s="56">
        <v>1932</v>
      </c>
      <c r="G10" s="57">
        <v>5817</v>
      </c>
      <c r="H10" s="58">
        <f>平成11年度!I10+平成11年度!L10</f>
        <v>82995</v>
      </c>
      <c r="I10" s="55">
        <f>平成11年度!J10+平成11年度!K10</f>
        <v>70643</v>
      </c>
      <c r="J10" s="56">
        <v>50493</v>
      </c>
      <c r="K10" s="59">
        <v>20150</v>
      </c>
      <c r="L10" s="55">
        <f>平成11年度!M10+平成11年度!N10</f>
        <v>12352</v>
      </c>
      <c r="M10" s="56">
        <v>8833</v>
      </c>
      <c r="N10" s="57">
        <v>3519</v>
      </c>
      <c r="O10" s="54">
        <v>105378</v>
      </c>
      <c r="P10" s="55">
        <v>292669</v>
      </c>
      <c r="Q10" s="57">
        <f>平成11年度!C10/平成11年度!O10</f>
        <v>0.40194347966368693</v>
      </c>
      <c r="R10" s="54">
        <f>平成11年度!H10/平成11年度!P10</f>
        <v>0.28357974366946959</v>
      </c>
      <c r="S10" s="56">
        <f>平成11年度!L10/平成11年度!H10</f>
        <v>0.14882824266522079</v>
      </c>
      <c r="T10" s="60"/>
      <c r="U10" s="61"/>
      <c r="V10" s="6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 t="s">
        <v>1097</v>
      </c>
      <c r="AH10" s="1" t="e">
        <f>平成10年度!H21</f>
        <v>#VALUE!</v>
      </c>
      <c r="AI10" s="1" t="e">
        <f>平成10年度!C21</f>
        <v>#VALUE!</v>
      </c>
      <c r="AJ10" s="63" t="e">
        <f>平成10年度!P21</f>
        <v>#VALUE!</v>
      </c>
      <c r="AK10" s="64" t="e">
        <f>平成10年度!O21</f>
        <v>#VALUE!</v>
      </c>
      <c r="AL10" s="65" t="e">
        <f>ROUND(+平成11年度!AH10/平成11年度!AJ10,4)</f>
        <v>#VALUE!</v>
      </c>
      <c r="AM10" s="66" t="e">
        <f>ROUND(+平成11年度!AI10/平成11年度!AK10,4)</f>
        <v>#VALUE!</v>
      </c>
      <c r="AN10" s="66" t="e">
        <f>ROUND((+平成11年度!AL10-平成11年度!AL9),4)</f>
        <v>#VALUE!</v>
      </c>
      <c r="AO10" s="67" t="e">
        <f>ROUND((+平成11年度!AM10-平成11年度!AM9),4)</f>
        <v>#VALUE!</v>
      </c>
      <c r="AP10" s="68"/>
      <c r="AQ10" s="36"/>
      <c r="AR10" s="36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 t="s">
        <v>1098</v>
      </c>
      <c r="B11" s="53" t="s">
        <v>1099</v>
      </c>
      <c r="C11" s="54">
        <v>42503</v>
      </c>
      <c r="D11" s="55">
        <f>平成11年度!E11+平成11年度!F11</f>
        <v>36683</v>
      </c>
      <c r="E11" s="55">
        <f>平成11年度!C11-平成11年度!G11-平成11年度!F11</f>
        <v>34729</v>
      </c>
      <c r="F11" s="56">
        <v>1954</v>
      </c>
      <c r="G11" s="57">
        <v>5820</v>
      </c>
      <c r="H11" s="58">
        <f>平成11年度!I11+平成11年度!L11</f>
        <v>83267</v>
      </c>
      <c r="I11" s="55">
        <f>平成11年度!J11+平成11年度!K11</f>
        <v>70868</v>
      </c>
      <c r="J11" s="56">
        <v>50604</v>
      </c>
      <c r="K11" s="59">
        <v>20264</v>
      </c>
      <c r="L11" s="55">
        <f>平成11年度!M11+平成11年度!N11</f>
        <v>12399</v>
      </c>
      <c r="M11" s="56">
        <v>8856</v>
      </c>
      <c r="N11" s="57">
        <v>3543</v>
      </c>
      <c r="O11" s="54">
        <v>105449</v>
      </c>
      <c r="P11" s="55">
        <v>292758</v>
      </c>
      <c r="Q11" s="57">
        <f>平成11年度!C11/平成11年度!O11</f>
        <v>0.40306688541380192</v>
      </c>
      <c r="R11" s="54">
        <f>平成11年度!H11/平成11年度!P11</f>
        <v>0.28442262892901304</v>
      </c>
      <c r="S11" s="56">
        <f>平成11年度!L11/平成11年度!H11</f>
        <v>0.14890652959755965</v>
      </c>
      <c r="T11" s="60"/>
      <c r="U11" s="61"/>
      <c r="V11" s="6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1100</v>
      </c>
      <c r="AH11" s="1">
        <f>平成11年度!H21</f>
        <v>83847.916666666672</v>
      </c>
      <c r="AI11" s="1">
        <f>平成11年度!C21</f>
        <v>42852.25</v>
      </c>
      <c r="AJ11" s="69">
        <f>平成11年度!P21</f>
        <v>292958.75</v>
      </c>
      <c r="AK11" s="70">
        <f>平成11年度!O21</f>
        <v>105725.41666666667</v>
      </c>
      <c r="AL11" s="71">
        <f>ROUND(+平成11年度!AH11/平成11年度!AJ11,4)</f>
        <v>0.28620000000000001</v>
      </c>
      <c r="AM11" s="72">
        <f>ROUND(+平成11年度!AI11/平成11年度!AK11,4)</f>
        <v>0.40529999999999999</v>
      </c>
      <c r="AN11" s="72" t="e">
        <f>ROUND((+平成11年度!AL11-平成11年度!AL10),4)</f>
        <v>#VALUE!</v>
      </c>
      <c r="AO11" s="73" t="e">
        <f>ROUND((+平成11年度!AM11-平成11年度!AM10),4)</f>
        <v>#VALUE!</v>
      </c>
      <c r="AP11" s="74"/>
      <c r="AQ11" s="36"/>
      <c r="AR11" s="36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 t="s">
        <v>1101</v>
      </c>
      <c r="B12" s="53" t="s">
        <v>1102</v>
      </c>
      <c r="C12" s="54">
        <v>42607</v>
      </c>
      <c r="D12" s="55">
        <f>平成11年度!E12+平成11年度!F12</f>
        <v>36758</v>
      </c>
      <c r="E12" s="55">
        <f>平成11年度!C12-平成11年度!G12-平成11年度!F12</f>
        <v>34795</v>
      </c>
      <c r="F12" s="56">
        <v>1963</v>
      </c>
      <c r="G12" s="57">
        <v>5849</v>
      </c>
      <c r="H12" s="58">
        <f>平成11年度!I12+平成11年度!L12</f>
        <v>83410</v>
      </c>
      <c r="I12" s="55">
        <f>平成11年度!J12+平成11年度!K12</f>
        <v>70948</v>
      </c>
      <c r="J12" s="56">
        <v>50573</v>
      </c>
      <c r="K12" s="59">
        <v>20375</v>
      </c>
      <c r="L12" s="55">
        <f>平成11年度!M12+平成11年度!N12</f>
        <v>12462</v>
      </c>
      <c r="M12" s="56">
        <v>8906</v>
      </c>
      <c r="N12" s="57">
        <v>3556</v>
      </c>
      <c r="O12" s="54">
        <v>105556</v>
      </c>
      <c r="P12" s="55">
        <v>292901</v>
      </c>
      <c r="Q12" s="57">
        <f>平成11年度!C12/平成11年度!O12</f>
        <v>0.40364356360604797</v>
      </c>
      <c r="R12" s="54">
        <f>平成11年度!H12/平成11年度!P12</f>
        <v>0.28477198780475316</v>
      </c>
      <c r="S12" s="56">
        <f>平成11年度!L12/平成11年度!H12</f>
        <v>0.14940654597770051</v>
      </c>
      <c r="T12" s="60"/>
      <c r="U12" s="61"/>
      <c r="V12" s="6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 t="s">
        <v>1103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 t="s">
        <v>1104</v>
      </c>
      <c r="B13" s="43" t="s">
        <v>1105</v>
      </c>
      <c r="C13" s="44">
        <v>42772</v>
      </c>
      <c r="D13" s="45">
        <f>平成11年度!E13+平成11年度!F13</f>
        <v>36932</v>
      </c>
      <c r="E13" s="45">
        <f>平成11年度!C13-平成11年度!G13-平成11年度!F13</f>
        <v>34956</v>
      </c>
      <c r="F13" s="46">
        <v>1976</v>
      </c>
      <c r="G13" s="47">
        <v>5840</v>
      </c>
      <c r="H13" s="58">
        <f>平成11年度!I13+平成11年度!L13</f>
        <v>83699</v>
      </c>
      <c r="I13" s="45">
        <f>平成11年度!J13+平成11年度!K13</f>
        <v>71231</v>
      </c>
      <c r="J13" s="46">
        <v>50707</v>
      </c>
      <c r="K13" s="49">
        <v>20524</v>
      </c>
      <c r="L13" s="45">
        <f>平成11年度!M13+平成11年度!N13</f>
        <v>12468</v>
      </c>
      <c r="M13" s="46">
        <v>8905</v>
      </c>
      <c r="N13" s="47">
        <v>3563</v>
      </c>
      <c r="O13" s="44">
        <v>105613</v>
      </c>
      <c r="P13" s="45">
        <v>292910</v>
      </c>
      <c r="Q13" s="47">
        <f>平成11年度!C13/平成11年度!O13</f>
        <v>0.40498802230785985</v>
      </c>
      <c r="R13" s="44">
        <f>平成11年度!H13/平成11年度!P13</f>
        <v>0.28574988904441639</v>
      </c>
      <c r="S13" s="46">
        <f>平成11年度!L13/平成11年度!H13</f>
        <v>0.14896235319418391</v>
      </c>
      <c r="T13" s="50"/>
      <c r="U13" s="51"/>
      <c r="V13" s="5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1106</v>
      </c>
      <c r="AH13" s="1" t="e">
        <f>平成11年度!AH10/平成11年度!AH4</f>
        <v>#VALUE!</v>
      </c>
      <c r="AI13" s="1" t="e">
        <f>平成11年度!AI10/平成11年度!AI4</f>
        <v>#VALUE!</v>
      </c>
      <c r="AJ13" s="69" t="e">
        <f>平成11年度!AJ10/平成11年度!AJ4</f>
        <v>#VALUE!</v>
      </c>
      <c r="AK13" s="76" t="e">
        <f>平成11年度!AK10/平成11年度!AK4</f>
        <v>#VALUE!</v>
      </c>
      <c r="AL13" s="77" t="e">
        <f>平成11年度!AL10/平成11年度!AL4</f>
        <v>#VALUE!</v>
      </c>
      <c r="AM13" s="77" t="e">
        <f>平成11年度!AM10/平成11年度!AM4</f>
        <v>#VALUE!</v>
      </c>
      <c r="AN13" s="77"/>
      <c r="AO13" s="78"/>
      <c r="AP13" s="7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 t="s">
        <v>1107</v>
      </c>
      <c r="B14" s="43" t="s">
        <v>1108</v>
      </c>
      <c r="C14" s="44">
        <v>42979</v>
      </c>
      <c r="D14" s="45">
        <f>平成11年度!E14+平成11年度!F14</f>
        <v>37118</v>
      </c>
      <c r="E14" s="45">
        <f>平成11年度!C14-平成11年度!G14-平成11年度!F14</f>
        <v>35118</v>
      </c>
      <c r="F14" s="46">
        <v>2000</v>
      </c>
      <c r="G14" s="47">
        <v>5861</v>
      </c>
      <c r="H14" s="48">
        <f>平成11年度!I14+平成11年度!L14</f>
        <v>84073</v>
      </c>
      <c r="I14" s="45">
        <f>平成11年度!J14+平成11年度!K14</f>
        <v>71525</v>
      </c>
      <c r="J14" s="46">
        <v>50865</v>
      </c>
      <c r="K14" s="49">
        <v>20660</v>
      </c>
      <c r="L14" s="45">
        <f>平成11年度!M14+平成11年度!N14</f>
        <v>12548</v>
      </c>
      <c r="M14" s="46">
        <v>8940</v>
      </c>
      <c r="N14" s="47">
        <v>3608</v>
      </c>
      <c r="O14" s="44">
        <v>105798</v>
      </c>
      <c r="P14" s="45">
        <v>293107</v>
      </c>
      <c r="Q14" s="47">
        <f>平成11年度!C14/平成11年度!O14</f>
        <v>0.40623641278663114</v>
      </c>
      <c r="R14" s="44">
        <f>平成11年度!H14/平成11年度!P14</f>
        <v>0.28683381836667154</v>
      </c>
      <c r="S14" s="46">
        <f>平成11年度!L14/平成11年度!H14</f>
        <v>0.14925124594102743</v>
      </c>
      <c r="T14" s="50"/>
      <c r="U14" s="51"/>
      <c r="V14" s="5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 t="s">
        <v>1109</v>
      </c>
      <c r="B15" s="53" t="s">
        <v>1110</v>
      </c>
      <c r="C15" s="54">
        <v>43054</v>
      </c>
      <c r="D15" s="55">
        <f>平成11年度!E15+平成11年度!F15</f>
        <v>37197</v>
      </c>
      <c r="E15" s="55">
        <f>平成11年度!C15-平成11年度!G15-平成11年度!F15</f>
        <v>35214</v>
      </c>
      <c r="F15" s="56">
        <v>1983</v>
      </c>
      <c r="G15" s="57">
        <v>5857</v>
      </c>
      <c r="H15" s="58">
        <f>平成11年度!I15+平成11年度!L15</f>
        <v>84171</v>
      </c>
      <c r="I15" s="55">
        <f>平成11年度!J15+平成11年度!K15</f>
        <v>71632</v>
      </c>
      <c r="J15" s="56">
        <v>50870</v>
      </c>
      <c r="K15" s="59">
        <v>20762</v>
      </c>
      <c r="L15" s="55">
        <f>平成11年度!M15+平成11年度!N15</f>
        <v>12539</v>
      </c>
      <c r="M15" s="56">
        <v>8929</v>
      </c>
      <c r="N15" s="57">
        <v>3610</v>
      </c>
      <c r="O15" s="54">
        <v>105972</v>
      </c>
      <c r="P15" s="55">
        <v>293233</v>
      </c>
      <c r="Q15" s="57">
        <f>平成11年度!C15/平成11年度!O15</f>
        <v>0.40627712980787378</v>
      </c>
      <c r="R15" s="54">
        <f>平成11年度!H15/平成11年度!P15</f>
        <v>0.2870447732690386</v>
      </c>
      <c r="S15" s="56">
        <f>平成11年度!L15/平成11年度!H15</f>
        <v>0.14897054805099144</v>
      </c>
      <c r="T15" s="60"/>
      <c r="U15" s="61"/>
      <c r="V15" s="6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 t="s">
        <v>1111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 t="s">
        <v>1112</v>
      </c>
      <c r="B16" s="43" t="s">
        <v>1113</v>
      </c>
      <c r="C16" s="44">
        <v>43204</v>
      </c>
      <c r="D16" s="45">
        <f>平成11年度!E16+平成11年度!F16</f>
        <v>37330</v>
      </c>
      <c r="E16" s="45">
        <f>平成11年度!C16-平成11年度!G16-平成11年度!F16</f>
        <v>35328</v>
      </c>
      <c r="F16" s="46">
        <v>2002</v>
      </c>
      <c r="G16" s="47">
        <v>5874</v>
      </c>
      <c r="H16" s="48">
        <f>平成11年度!I16+平成11年度!L16</f>
        <v>84395</v>
      </c>
      <c r="I16" s="45">
        <f>平成11年度!J16+平成11年度!K16</f>
        <v>71802</v>
      </c>
      <c r="J16" s="46">
        <v>50905</v>
      </c>
      <c r="K16" s="49">
        <v>20897</v>
      </c>
      <c r="L16" s="45">
        <f>平成11年度!M16+平成11年度!N16</f>
        <v>12593</v>
      </c>
      <c r="M16" s="46">
        <v>8956</v>
      </c>
      <c r="N16" s="47">
        <v>3637</v>
      </c>
      <c r="O16" s="44">
        <v>106043</v>
      </c>
      <c r="P16" s="45">
        <v>293316</v>
      </c>
      <c r="Q16" s="47">
        <f>平成11年度!C16/平成11年度!O16</f>
        <v>0.40741963165885536</v>
      </c>
      <c r="R16" s="44">
        <f>平成11年度!H16/平成11年度!P16</f>
        <v>0.28772722933627898</v>
      </c>
      <c r="S16" s="46">
        <f>平成11年度!L16/平成11年度!H16</f>
        <v>0.14921500088867823</v>
      </c>
      <c r="T16" s="50"/>
      <c r="U16" s="51"/>
      <c r="V16" s="5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1114</v>
      </c>
      <c r="C17" s="44">
        <v>43427</v>
      </c>
      <c r="D17" s="45">
        <f>平成11年度!E17+平成11年度!F17</f>
        <v>37579</v>
      </c>
      <c r="E17" s="45">
        <f>平成11年度!C17-平成11年度!G17-平成11年度!F17</f>
        <v>35573</v>
      </c>
      <c r="F17" s="46">
        <v>2006</v>
      </c>
      <c r="G17" s="47">
        <v>5848</v>
      </c>
      <c r="H17" s="58">
        <f>平成11年度!I17+平成11年度!L17</f>
        <v>84788</v>
      </c>
      <c r="I17" s="45">
        <f>平成11年度!J17+平成11年度!K17</f>
        <v>72230</v>
      </c>
      <c r="J17" s="46">
        <v>51196</v>
      </c>
      <c r="K17" s="49">
        <v>21034</v>
      </c>
      <c r="L17" s="45">
        <f>平成11年度!M17+平成11年度!N17</f>
        <v>12558</v>
      </c>
      <c r="M17" s="46">
        <v>8926</v>
      </c>
      <c r="N17" s="47">
        <v>3632</v>
      </c>
      <c r="O17" s="44">
        <v>106189</v>
      </c>
      <c r="P17" s="45">
        <v>293446</v>
      </c>
      <c r="Q17" s="47">
        <f>平成11年度!C17/平成11年度!O17</f>
        <v>0.40895949674636733</v>
      </c>
      <c r="R17" s="44">
        <f>平成11年度!H17/平成11年度!P17</f>
        <v>0.28893902114869519</v>
      </c>
      <c r="S17" s="46">
        <f>平成11年度!L17/平成11年度!H17</f>
        <v>0.14811058168608765</v>
      </c>
      <c r="T17" s="50"/>
      <c r="U17" s="51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 t="s">
        <v>1115</v>
      </c>
      <c r="AI17" s="1" t="s">
        <v>1116</v>
      </c>
      <c r="AJ17" s="4" t="s">
        <v>1117</v>
      </c>
      <c r="AK17" s="5" t="s">
        <v>1118</v>
      </c>
      <c r="AL17" s="6" t="s">
        <v>1119</v>
      </c>
      <c r="AM17" s="7" t="s">
        <v>1120</v>
      </c>
      <c r="AN17" s="7" t="s">
        <v>1121</v>
      </c>
      <c r="AO17" s="7" t="s">
        <v>1122</v>
      </c>
      <c r="AP17" s="8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1123</v>
      </c>
      <c r="C18" s="54">
        <v>43435</v>
      </c>
      <c r="D18" s="55">
        <f>平成11年度!E18+平成11年度!F18</f>
        <v>37583</v>
      </c>
      <c r="E18" s="55">
        <f>平成11年度!C18-平成11年度!G18-平成11年度!F18</f>
        <v>35593</v>
      </c>
      <c r="F18" s="56">
        <v>1990</v>
      </c>
      <c r="G18" s="57">
        <v>5852</v>
      </c>
      <c r="H18" s="58">
        <f>平成11年度!I18+平成11年度!L18</f>
        <v>84828</v>
      </c>
      <c r="I18" s="55">
        <f>平成11年度!J18+平成11年度!K18</f>
        <v>72293</v>
      </c>
      <c r="J18" s="56">
        <v>51101</v>
      </c>
      <c r="K18" s="59">
        <v>21192</v>
      </c>
      <c r="L18" s="55">
        <f>平成11年度!M18+平成11年度!N18</f>
        <v>12535</v>
      </c>
      <c r="M18" s="56">
        <v>8906</v>
      </c>
      <c r="N18" s="57">
        <v>3629</v>
      </c>
      <c r="O18" s="54">
        <v>106143</v>
      </c>
      <c r="P18" s="55">
        <v>293359</v>
      </c>
      <c r="Q18" s="57">
        <f>平成11年度!C18/平成11年度!O18</f>
        <v>0.4092121006566613</v>
      </c>
      <c r="R18" s="54">
        <f>平成11年度!H18/平成11年度!P18</f>
        <v>0.28916106204343484</v>
      </c>
      <c r="S18" s="56">
        <f>平成11年度!L18/平成11年度!H18</f>
        <v>0.1477696043759136</v>
      </c>
      <c r="T18" s="60"/>
      <c r="U18" s="61"/>
      <c r="V18" s="6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 t="s">
        <v>1124</v>
      </c>
      <c r="AH18" s="1">
        <f>平成5年度!H19</f>
        <v>73674</v>
      </c>
      <c r="AI18" s="1">
        <f>平成5年度!C19</f>
        <v>35276</v>
      </c>
      <c r="AJ18" s="17">
        <f>平成5年度!P19</f>
        <v>285325</v>
      </c>
      <c r="AK18" s="18">
        <f>平成5年度!O19</f>
        <v>96552</v>
      </c>
      <c r="AL18" s="19">
        <f>ROUND(+平成11年度!AH18/平成11年度!AJ18,4)</f>
        <v>0.25819999999999999</v>
      </c>
      <c r="AM18" s="20">
        <f>ROUND(+平成11年度!AI18/平成11年度!AK18,4)</f>
        <v>0.3654</v>
      </c>
      <c r="AN18" s="20"/>
      <c r="AO18" s="21"/>
      <c r="AP18" s="2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1125</v>
      </c>
      <c r="C19" s="54">
        <v>43579</v>
      </c>
      <c r="D19" s="55">
        <f>平成11年度!E19+平成11年度!F19</f>
        <v>37609</v>
      </c>
      <c r="E19" s="55">
        <f>平成11年度!C19-平成11年度!G19-平成11年度!F19</f>
        <v>35609</v>
      </c>
      <c r="F19" s="56">
        <v>2000</v>
      </c>
      <c r="G19" s="57">
        <v>5970</v>
      </c>
      <c r="H19" s="58">
        <f>平成11年度!I19+平成11年度!L19</f>
        <v>85006</v>
      </c>
      <c r="I19" s="55">
        <f>平成11年度!J19+平成11年度!K19</f>
        <v>72255</v>
      </c>
      <c r="J19" s="56">
        <v>50943</v>
      </c>
      <c r="K19" s="59">
        <v>21312</v>
      </c>
      <c r="L19" s="55">
        <f>平成11年度!M19+平成11年度!N19</f>
        <v>12751</v>
      </c>
      <c r="M19" s="56">
        <v>9056</v>
      </c>
      <c r="N19" s="57">
        <v>3695</v>
      </c>
      <c r="O19" s="54">
        <v>106170</v>
      </c>
      <c r="P19" s="55">
        <v>292833</v>
      </c>
      <c r="Q19" s="57">
        <f>平成11年度!C19/平成11年度!O19</f>
        <v>0.41046434962795519</v>
      </c>
      <c r="R19" s="54">
        <f>平成11年度!H19/平成11年度!P19</f>
        <v>0.29028832132990473</v>
      </c>
      <c r="S19" s="56">
        <f>平成11年度!L19/平成11年度!H19</f>
        <v>0.15000117638754912</v>
      </c>
      <c r="T19" s="60"/>
      <c r="U19" s="61"/>
      <c r="V19" s="6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 t="s">
        <v>1126</v>
      </c>
      <c r="AH19" s="1">
        <f>平成6年度!H19</f>
        <v>73958</v>
      </c>
      <c r="AI19" s="1">
        <f>平成6年度!C19</f>
        <v>36029</v>
      </c>
      <c r="AJ19" s="30">
        <f>平成6年度!P19</f>
        <v>287580</v>
      </c>
      <c r="AK19" s="31">
        <f>平成6年度!O19</f>
        <v>98491</v>
      </c>
      <c r="AL19" s="32">
        <f>ROUND(+平成11年度!AH19/平成11年度!AJ19,4)</f>
        <v>0.25719999999999998</v>
      </c>
      <c r="AM19" s="33">
        <f>ROUND(+平成11年度!AI19/平成11年度!AK19,4)</f>
        <v>0.36580000000000001</v>
      </c>
      <c r="AN19" s="33">
        <f>ROUND((+平成11年度!AL19-平成11年度!AL18),4)</f>
        <v>-1E-3</v>
      </c>
      <c r="AO19" s="34">
        <f>ROUND((+平成11年度!AM19-平成11年度!AM18),4)</f>
        <v>4.0000000000000002E-4</v>
      </c>
      <c r="AP19" s="35"/>
      <c r="AQ19" s="36"/>
      <c r="AR19" s="36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1127</v>
      </c>
      <c r="C20" s="48">
        <f>SUM(平成11年度!C8:C19)</f>
        <v>514227</v>
      </c>
      <c r="D20" s="45">
        <f>SUM(平成11年度!D8:D19)</f>
        <v>444043</v>
      </c>
      <c r="E20" s="79">
        <f>SUM(平成11年度!E8:E19)</f>
        <v>420416</v>
      </c>
      <c r="F20" s="79">
        <f>SUM(平成11年度!F8:F19)</f>
        <v>23627</v>
      </c>
      <c r="G20" s="80">
        <f>SUM(平成11年度!G8:G19)</f>
        <v>70184</v>
      </c>
      <c r="H20" s="48">
        <f>SUM(平成11年度!H8:H19)</f>
        <v>1006175</v>
      </c>
      <c r="I20" s="45">
        <f>SUM(平成11年度!I8:I19)</f>
        <v>856400</v>
      </c>
      <c r="J20" s="79">
        <f>SUM(平成11年度!J8:J19)</f>
        <v>609166</v>
      </c>
      <c r="K20" s="79">
        <f>SUM(平成11年度!K8:K19)</f>
        <v>247234</v>
      </c>
      <c r="L20" s="79">
        <f>SUM(平成11年度!L8:L19)</f>
        <v>149775</v>
      </c>
      <c r="M20" s="79">
        <f>SUM(平成11年度!M8:M19)</f>
        <v>106779</v>
      </c>
      <c r="N20" s="80">
        <f>SUM(平成11年度!N8:N19)</f>
        <v>42996</v>
      </c>
      <c r="O20" s="48">
        <f>SUM(平成11年度!O8:O19)</f>
        <v>1268705</v>
      </c>
      <c r="P20" s="45">
        <f>SUM(平成11年度!P8:P19)</f>
        <v>3515505</v>
      </c>
      <c r="Q20" s="80">
        <f>平成11年度!C20/平成11年度!O20</f>
        <v>0.4053164447211921</v>
      </c>
      <c r="R20" s="48">
        <f>平成11年度!H20/平成11年度!P20</f>
        <v>0.28621065821268921</v>
      </c>
      <c r="S20" s="45">
        <f>平成11年度!L20/平成11年度!H20</f>
        <v>0.14885581534027381</v>
      </c>
      <c r="T20" s="50"/>
      <c r="U20" s="51"/>
      <c r="V20" s="5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 t="s">
        <v>1128</v>
      </c>
      <c r="AH20" s="1">
        <f>平成7年度!H19</f>
        <v>75303</v>
      </c>
      <c r="AI20" s="1">
        <f>平成7年度!C19</f>
        <v>37108</v>
      </c>
      <c r="AJ20" s="30">
        <f>平成7年度!P19</f>
        <v>288713</v>
      </c>
      <c r="AK20" s="31">
        <f>平成7年度!O19</f>
        <v>99950</v>
      </c>
      <c r="AL20" s="32">
        <f>ROUND(+平成11年度!AH20/平成11年度!AJ20,4)</f>
        <v>0.26079999999999998</v>
      </c>
      <c r="AM20" s="33">
        <f>ROUND(+平成11年度!AI20/平成11年度!AK20,4)</f>
        <v>0.37130000000000002</v>
      </c>
      <c r="AN20" s="33">
        <f>ROUND((+平成11年度!AL20-平成11年度!AL19),4)</f>
        <v>3.5999999999999999E-3</v>
      </c>
      <c r="AO20" s="34">
        <f>ROUND((+平成11年度!AM20-平成11年度!AM19),4)</f>
        <v>5.4999999999999997E-3</v>
      </c>
      <c r="AP20" s="35"/>
      <c r="AQ20" s="36"/>
      <c r="AR20" s="36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1129</v>
      </c>
      <c r="C21" s="48">
        <f t="shared" ref="C21:P21" si="0">C20/COUNTA(C8:C19)</f>
        <v>42852.25</v>
      </c>
      <c r="D21" s="45">
        <f t="shared" si="0"/>
        <v>37003.583333333336</v>
      </c>
      <c r="E21" s="79">
        <f t="shared" si="0"/>
        <v>35034.666666666664</v>
      </c>
      <c r="F21" s="79">
        <f t="shared" si="0"/>
        <v>1968.9166666666667</v>
      </c>
      <c r="G21" s="80">
        <f t="shared" si="0"/>
        <v>5848.666666666667</v>
      </c>
      <c r="H21" s="48">
        <f t="shared" si="0"/>
        <v>83847.916666666672</v>
      </c>
      <c r="I21" s="45">
        <f t="shared" si="0"/>
        <v>71366.666666666672</v>
      </c>
      <c r="J21" s="79">
        <f t="shared" si="0"/>
        <v>50763.833333333336</v>
      </c>
      <c r="K21" s="79">
        <f t="shared" si="0"/>
        <v>20602.833333333332</v>
      </c>
      <c r="L21" s="79">
        <f t="shared" si="0"/>
        <v>12481.25</v>
      </c>
      <c r="M21" s="79">
        <f t="shared" si="0"/>
        <v>8898.25</v>
      </c>
      <c r="N21" s="80">
        <f t="shared" si="0"/>
        <v>3583</v>
      </c>
      <c r="O21" s="48">
        <f t="shared" si="0"/>
        <v>105725.41666666667</v>
      </c>
      <c r="P21" s="45">
        <f t="shared" si="0"/>
        <v>292958.75</v>
      </c>
      <c r="Q21" s="80">
        <f>平成11年度!C21/平成11年度!O21</f>
        <v>0.40531644472119205</v>
      </c>
      <c r="R21" s="48">
        <f>平成11年度!H21/平成11年度!P21</f>
        <v>0.28621065821268921</v>
      </c>
      <c r="S21" s="45">
        <f>平成11年度!L21/平成11年度!H21</f>
        <v>0.14885581534027381</v>
      </c>
      <c r="T21" s="50"/>
      <c r="U21" s="51"/>
      <c r="V21" s="5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 t="s">
        <v>1130</v>
      </c>
      <c r="AH21" s="1">
        <f>平成８年度!H19</f>
        <v>76694</v>
      </c>
      <c r="AI21" s="1">
        <f>平成８年度!C19</f>
        <v>38366</v>
      </c>
      <c r="AJ21" s="30">
        <f>平成８年度!P19</f>
        <v>290105</v>
      </c>
      <c r="AK21" s="31">
        <f>平成８年度!O19</f>
        <v>101745</v>
      </c>
      <c r="AL21" s="32">
        <f>ROUND(+平成11年度!AH21/平成11年度!AJ21,4)</f>
        <v>0.26440000000000002</v>
      </c>
      <c r="AM21" s="33">
        <f>ROUND(+平成11年度!AI21/平成11年度!AK21,4)</f>
        <v>0.37709999999999999</v>
      </c>
      <c r="AN21" s="33">
        <f>ROUND((+平成11年度!AL21-平成11年度!AL20),4)</f>
        <v>3.5999999999999999E-3</v>
      </c>
      <c r="AO21" s="34">
        <f>ROUND((+平成11年度!AM21-平成11年度!AM20),4)</f>
        <v>5.7999999999999996E-3</v>
      </c>
      <c r="AP21" s="35"/>
      <c r="AQ21" s="36"/>
      <c r="AR21" s="36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 t="s">
        <v>1131</v>
      </c>
      <c r="AH22" s="1">
        <f>平成９年度!H19</f>
        <v>78843</v>
      </c>
      <c r="AI22" s="1">
        <f>平成９年度!C19</f>
        <v>39808</v>
      </c>
      <c r="AJ22" s="30">
        <f>平成９年度!P19</f>
        <v>291366</v>
      </c>
      <c r="AK22" s="31">
        <f>平成９年度!O19</f>
        <v>103255</v>
      </c>
      <c r="AL22" s="32">
        <f>ROUND(+平成11年度!AH22/平成11年度!AJ22,4)</f>
        <v>0.27060000000000001</v>
      </c>
      <c r="AM22" s="33">
        <f>ROUND(+平成11年度!AI22/平成11年度!AK22,4)</f>
        <v>0.38550000000000001</v>
      </c>
      <c r="AN22" s="33">
        <f>ROUND((+平成11年度!AL22-平成11年度!AL21),4)</f>
        <v>6.1999999999999998E-3</v>
      </c>
      <c r="AO22" s="34">
        <f>ROUND((+平成11年度!AM22-平成11年度!AM21),4)</f>
        <v>8.3999999999999995E-3</v>
      </c>
      <c r="AP22" s="35"/>
      <c r="AQ22" s="36"/>
      <c r="AR22" s="3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1132</v>
      </c>
      <c r="C23" s="48">
        <f>平成11年度!C8</f>
        <v>42099</v>
      </c>
      <c r="D23" s="45">
        <f>平成11年度!D8</f>
        <v>36300</v>
      </c>
      <c r="E23" s="79">
        <f>平成11年度!E8</f>
        <v>34396</v>
      </c>
      <c r="F23" s="79">
        <f>平成11年度!F8</f>
        <v>1904</v>
      </c>
      <c r="G23" s="80">
        <f>平成11年度!G8</f>
        <v>5799</v>
      </c>
      <c r="H23" s="48">
        <f>平成11年度!H8</f>
        <v>82725</v>
      </c>
      <c r="I23" s="45">
        <f>平成11年度!I8</f>
        <v>70448</v>
      </c>
      <c r="J23" s="79">
        <f>平成11年度!J8</f>
        <v>50458</v>
      </c>
      <c r="K23" s="79">
        <f>平成11年度!K8</f>
        <v>19990</v>
      </c>
      <c r="L23" s="79">
        <f>平成11年度!L8</f>
        <v>12277</v>
      </c>
      <c r="M23" s="79">
        <f>平成11年度!M8</f>
        <v>8778</v>
      </c>
      <c r="N23" s="80">
        <f>平成11年度!N8</f>
        <v>3499</v>
      </c>
      <c r="O23" s="48">
        <f>平成11年度!O8</f>
        <v>105149</v>
      </c>
      <c r="P23" s="45">
        <f>平成11年度!P8</f>
        <v>292461</v>
      </c>
      <c r="Q23" s="80">
        <f>平成11年度!C23/平成11年度!O23</f>
        <v>0.40037470636905725</v>
      </c>
      <c r="R23" s="48">
        <f>平成11年度!H23/平成11年度!P23</f>
        <v>0.28285822725081294</v>
      </c>
      <c r="S23" s="45">
        <f>平成11年度!L23/平成11年度!H23</f>
        <v>0.14840737382895133</v>
      </c>
      <c r="T23" s="50"/>
      <c r="U23" s="51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 t="s">
        <v>1133</v>
      </c>
      <c r="AH23" s="1">
        <f>平成10年度!H19</f>
        <v>81903</v>
      </c>
      <c r="AI23" s="1">
        <f>平成10年度!C19</f>
        <v>41659</v>
      </c>
      <c r="AJ23" s="63">
        <f>平成10年度!P19</f>
        <v>291953</v>
      </c>
      <c r="AK23" s="64">
        <f>平成10年度!O19</f>
        <v>104651</v>
      </c>
      <c r="AL23" s="65">
        <f>ROUND(+平成11年度!AH23/平成11年度!AJ23,4)</f>
        <v>0.28050000000000003</v>
      </c>
      <c r="AM23" s="66">
        <f>ROUND(+平成11年度!AI23/平成11年度!AK23,4)</f>
        <v>0.39810000000000001</v>
      </c>
      <c r="AN23" s="66">
        <f>ROUND((+平成11年度!AL23-平成11年度!AL22),4)</f>
        <v>9.9000000000000008E-3</v>
      </c>
      <c r="AO23" s="67">
        <f>ROUND((+平成11年度!AM23-平成11年度!AM22),4)</f>
        <v>1.26E-2</v>
      </c>
      <c r="AP23" s="68"/>
      <c r="AQ23" s="36"/>
      <c r="AR23" s="36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1134</v>
      </c>
      <c r="C24" s="58">
        <f>SUM(平成11年度!C8:C9)</f>
        <v>84311</v>
      </c>
      <c r="D24" s="55">
        <f>SUM(平成11年度!D8:D9)</f>
        <v>72715</v>
      </c>
      <c r="E24" s="89">
        <f>SUM(平成11年度!E8:E9)</f>
        <v>68894</v>
      </c>
      <c r="F24" s="89">
        <f>SUM(平成11年度!F8:F9)</f>
        <v>3821</v>
      </c>
      <c r="G24" s="90">
        <f>SUM(平成11年度!G8:G9)</f>
        <v>11596</v>
      </c>
      <c r="H24" s="58">
        <f>SUM(平成11年度!H8:H9)</f>
        <v>165543</v>
      </c>
      <c r="I24" s="55">
        <f>SUM(平成11年度!I8:I9)</f>
        <v>140973</v>
      </c>
      <c r="J24" s="89">
        <f>SUM(平成11年度!J8:J9)</f>
        <v>100909</v>
      </c>
      <c r="K24" s="89">
        <f>SUM(平成11年度!K8:K9)</f>
        <v>40064</v>
      </c>
      <c r="L24" s="89">
        <f>SUM(平成11年度!L8:L9)</f>
        <v>24570</v>
      </c>
      <c r="M24" s="89">
        <f>SUM(平成11年度!M8:M9)</f>
        <v>17566</v>
      </c>
      <c r="N24" s="90">
        <f>SUM(平成11年度!N8:N9)</f>
        <v>7004</v>
      </c>
      <c r="O24" s="58">
        <f>SUM(平成11年度!O8:O9)</f>
        <v>210394</v>
      </c>
      <c r="P24" s="55">
        <f>SUM(平成11年度!P8:P9)</f>
        <v>584973</v>
      </c>
      <c r="Q24" s="90">
        <f>平成11年度!C24/平成11年度!O24</f>
        <v>0.40072910824453167</v>
      </c>
      <c r="R24" s="58">
        <f>平成11年度!H24/平成11年度!P24</f>
        <v>0.28299254837402754</v>
      </c>
      <c r="S24" s="55">
        <f>平成11年度!L24/平成11年度!H24</f>
        <v>0.14842065203602689</v>
      </c>
      <c r="T24" s="60"/>
      <c r="U24" s="6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 t="s">
        <v>1135</v>
      </c>
      <c r="AH24" s="1">
        <f>平成11年度!H14</f>
        <v>84073</v>
      </c>
      <c r="AI24" s="1">
        <f>平成11年度!C14</f>
        <v>42979</v>
      </c>
      <c r="AJ24" s="69">
        <f>平成11年度!P14</f>
        <v>293107</v>
      </c>
      <c r="AK24" s="70">
        <f>平成11年度!O14</f>
        <v>105798</v>
      </c>
      <c r="AL24" s="71">
        <f>ROUND(+平成11年度!AH24/平成11年度!AJ24,4)</f>
        <v>0.2868</v>
      </c>
      <c r="AM24" s="72">
        <f>ROUND(+平成11年度!AI24/平成11年度!AK24,4)</f>
        <v>0.40620000000000001</v>
      </c>
      <c r="AN24" s="72">
        <f>ROUND((+平成11年度!AL24-平成11年度!AL23),4)</f>
        <v>6.3E-3</v>
      </c>
      <c r="AO24" s="73">
        <f>ROUND((+平成11年度!AM24-平成11年度!AM23),4)</f>
        <v>8.0999999999999996E-3</v>
      </c>
      <c r="AP24" s="74"/>
      <c r="AQ24" s="36"/>
      <c r="AR24" s="36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1136</v>
      </c>
      <c r="C25" s="58">
        <f>SUM(平成11年度!C8:C10)</f>
        <v>126667</v>
      </c>
      <c r="D25" s="55">
        <f>SUM(平成11年度!D8:D10)</f>
        <v>109254</v>
      </c>
      <c r="E25" s="89">
        <f>SUM(平成11年度!E8:E10)</f>
        <v>103501</v>
      </c>
      <c r="F25" s="89">
        <f>SUM(平成11年度!F8:F10)</f>
        <v>5753</v>
      </c>
      <c r="G25" s="90">
        <f>SUM(平成11年度!G8:G10)</f>
        <v>17413</v>
      </c>
      <c r="H25" s="58">
        <f>SUM(平成11年度!H8:H10)</f>
        <v>248538</v>
      </c>
      <c r="I25" s="55">
        <f>SUM(平成11年度!I8:I10)</f>
        <v>211616</v>
      </c>
      <c r="J25" s="89">
        <f>SUM(平成11年度!J8:J10)</f>
        <v>151402</v>
      </c>
      <c r="K25" s="89">
        <f>SUM(平成11年度!K8:K10)</f>
        <v>60214</v>
      </c>
      <c r="L25" s="89">
        <f>SUM(平成11年度!L8:L10)</f>
        <v>36922</v>
      </c>
      <c r="M25" s="89">
        <f>SUM(平成11年度!M8:M10)</f>
        <v>26399</v>
      </c>
      <c r="N25" s="90">
        <f>SUM(平成11年度!N8:N10)</f>
        <v>10523</v>
      </c>
      <c r="O25" s="58">
        <f>SUM(平成11年度!O8:O10)</f>
        <v>315772</v>
      </c>
      <c r="P25" s="55">
        <f>SUM(平成11年度!P8:P10)</f>
        <v>877642</v>
      </c>
      <c r="Q25" s="90">
        <f>平成11年度!C25/平成11年度!O25</f>
        <v>0.40113436276807318</v>
      </c>
      <c r="R25" s="58">
        <f>平成11年度!H25/平成11年度!P25</f>
        <v>0.28318836154149413</v>
      </c>
      <c r="S25" s="55">
        <f>平成11年度!L25/平成11年度!H25</f>
        <v>0.14855675993208281</v>
      </c>
      <c r="T25" s="60"/>
      <c r="U25" s="6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 t="s">
        <v>1137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1138</v>
      </c>
      <c r="C26" s="58">
        <f>SUM(平成11年度!C8:C11)</f>
        <v>169170</v>
      </c>
      <c r="D26" s="55">
        <f>SUM(平成11年度!D8:D11)</f>
        <v>145937</v>
      </c>
      <c r="E26" s="89">
        <f>SUM(平成11年度!E8:E11)</f>
        <v>138230</v>
      </c>
      <c r="F26" s="89">
        <f>SUM(平成11年度!F8:F11)</f>
        <v>7707</v>
      </c>
      <c r="G26" s="90">
        <f>SUM(平成11年度!G8:G11)</f>
        <v>23233</v>
      </c>
      <c r="H26" s="58">
        <f>SUM(平成11年度!H8:H11)</f>
        <v>331805</v>
      </c>
      <c r="I26" s="55">
        <f>SUM(平成11年度!I8:I11)</f>
        <v>282484</v>
      </c>
      <c r="J26" s="89">
        <f>SUM(平成11年度!J8:J11)</f>
        <v>202006</v>
      </c>
      <c r="K26" s="89">
        <f>SUM(平成11年度!K8:K11)</f>
        <v>80478</v>
      </c>
      <c r="L26" s="89">
        <f>SUM(平成11年度!L8:L11)</f>
        <v>49321</v>
      </c>
      <c r="M26" s="89">
        <f>SUM(平成11年度!M8:M11)</f>
        <v>35255</v>
      </c>
      <c r="N26" s="90">
        <f>SUM(平成11年度!N8:N11)</f>
        <v>14066</v>
      </c>
      <c r="O26" s="58">
        <f>SUM(平成11年度!O8:O11)</f>
        <v>421221</v>
      </c>
      <c r="P26" s="55">
        <f>SUM(平成11年度!P8:P11)</f>
        <v>1170400</v>
      </c>
      <c r="Q26" s="90">
        <f>平成11年度!C26/平成11年度!O26</f>
        <v>0.40161815294109265</v>
      </c>
      <c r="R26" s="58">
        <f>平成11年度!H26/平成11年度!P26</f>
        <v>0.28349709501025289</v>
      </c>
      <c r="S26" s="55">
        <f>平成11年度!L26/平成11年度!H26</f>
        <v>0.14864453519386386</v>
      </c>
      <c r="T26" s="60"/>
      <c r="U26" s="6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 t="s">
        <v>1139</v>
      </c>
      <c r="AH26" s="1">
        <f>平成11年度!AH23/平成11年度!AH18</f>
        <v>1.1116947634172163</v>
      </c>
      <c r="AI26" s="1">
        <f>平成11年度!AI23/平成11年度!AI18</f>
        <v>1.1809445515364554</v>
      </c>
      <c r="AJ26" s="69">
        <f>平成11年度!AJ23/平成11年度!AJ18</f>
        <v>1.0232296503986682</v>
      </c>
      <c r="AK26" s="76">
        <f>平成11年度!AK23/平成11年度!AK18</f>
        <v>1.0838822603363991</v>
      </c>
      <c r="AL26" s="77">
        <f>平成11年度!AL23/平成11年度!AL18</f>
        <v>1.0863671572424478</v>
      </c>
      <c r="AM26" s="77">
        <f>平成11年度!AM23/平成11年度!AM18</f>
        <v>1.0894909688013137</v>
      </c>
      <c r="AN26" s="77"/>
      <c r="AO26" s="78"/>
      <c r="AP26" s="7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1140</v>
      </c>
      <c r="C27" s="58">
        <f>SUM(平成11年度!C8:C12)</f>
        <v>211777</v>
      </c>
      <c r="D27" s="55">
        <f>SUM(平成11年度!D8:D12)</f>
        <v>182695</v>
      </c>
      <c r="E27" s="89">
        <f>SUM(平成11年度!E8:E12)</f>
        <v>173025</v>
      </c>
      <c r="F27" s="89">
        <f>SUM(平成11年度!F8:F12)</f>
        <v>9670</v>
      </c>
      <c r="G27" s="90">
        <f>SUM(平成11年度!G8:G12)</f>
        <v>29082</v>
      </c>
      <c r="H27" s="58">
        <f>SUM(平成11年度!H8:H12)</f>
        <v>415215</v>
      </c>
      <c r="I27" s="55">
        <f>SUM(平成11年度!I8:I12)</f>
        <v>353432</v>
      </c>
      <c r="J27" s="89">
        <f>SUM(平成11年度!J8:J12)</f>
        <v>252579</v>
      </c>
      <c r="K27" s="89">
        <f>SUM(平成11年度!K8:K12)</f>
        <v>100853</v>
      </c>
      <c r="L27" s="89">
        <f>SUM(平成11年度!L8:L12)</f>
        <v>61783</v>
      </c>
      <c r="M27" s="89">
        <f>SUM(平成11年度!M8:M12)</f>
        <v>44161</v>
      </c>
      <c r="N27" s="90">
        <f>SUM(平成11年度!N8:N12)</f>
        <v>17622</v>
      </c>
      <c r="O27" s="58">
        <f>SUM(平成11年度!O8:O12)</f>
        <v>526777</v>
      </c>
      <c r="P27" s="55">
        <f>SUM(平成11年度!P8:P12)</f>
        <v>1463301</v>
      </c>
      <c r="Q27" s="90">
        <f>平成11年度!C27/平成11年度!O27</f>
        <v>0.40202400636322388</v>
      </c>
      <c r="R27" s="58">
        <f>平成11年度!H27/平成11年度!P27</f>
        <v>0.28375228336480329</v>
      </c>
      <c r="S27" s="55">
        <f>平成11年度!L27/平成11年度!H27</f>
        <v>0.14879761087629301</v>
      </c>
      <c r="T27" s="60"/>
      <c r="U27" s="6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1141</v>
      </c>
      <c r="C28" s="58">
        <f>SUM(平成11年度!C8:C13)</f>
        <v>254549</v>
      </c>
      <c r="D28" s="55">
        <f>SUM(平成11年度!D8:D13)</f>
        <v>219627</v>
      </c>
      <c r="E28" s="89">
        <f>SUM(平成11年度!E8:E13)</f>
        <v>207981</v>
      </c>
      <c r="F28" s="89">
        <f>SUM(平成11年度!F8:F13)</f>
        <v>11646</v>
      </c>
      <c r="G28" s="90">
        <f>SUM(平成11年度!G8:G13)</f>
        <v>34922</v>
      </c>
      <c r="H28" s="58">
        <f>SUM(平成11年度!H8:H13)</f>
        <v>498914</v>
      </c>
      <c r="I28" s="55">
        <f>SUM(平成11年度!I8:I13)</f>
        <v>424663</v>
      </c>
      <c r="J28" s="89">
        <f>SUM(平成11年度!J8:J13)</f>
        <v>303286</v>
      </c>
      <c r="K28" s="89">
        <f>SUM(平成11年度!K8:K13)</f>
        <v>121377</v>
      </c>
      <c r="L28" s="89">
        <f>SUM(平成11年度!L8:L13)</f>
        <v>74251</v>
      </c>
      <c r="M28" s="89">
        <f>SUM(平成11年度!M8:M13)</f>
        <v>53066</v>
      </c>
      <c r="N28" s="90">
        <f>SUM(平成11年度!N8:N13)</f>
        <v>21185</v>
      </c>
      <c r="O28" s="58">
        <f>SUM(平成11年度!O8:O13)</f>
        <v>632390</v>
      </c>
      <c r="P28" s="55">
        <f>SUM(平成11年度!P8:P13)</f>
        <v>1756211</v>
      </c>
      <c r="Q28" s="90">
        <f>平成11年度!C28/平成11年度!O28</f>
        <v>0.40251901516469268</v>
      </c>
      <c r="R28" s="58">
        <f>平成11年度!H28/平成11年度!P28</f>
        <v>0.28408545442432603</v>
      </c>
      <c r="S28" s="55">
        <f>平成11年度!L28/平成11年度!H28</f>
        <v>0.14882524843961084</v>
      </c>
      <c r="T28" s="60"/>
      <c r="U28" s="6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1142</v>
      </c>
      <c r="C29" s="58">
        <f>SUM(平成11年度!C8:C14)</f>
        <v>297528</v>
      </c>
      <c r="D29" s="55">
        <f>SUM(平成11年度!D8:D14)</f>
        <v>256745</v>
      </c>
      <c r="E29" s="89">
        <f>SUM(平成11年度!E8:E14)</f>
        <v>243099</v>
      </c>
      <c r="F29" s="89">
        <f>SUM(平成11年度!F8:F14)</f>
        <v>13646</v>
      </c>
      <c r="G29" s="90">
        <f>SUM(平成11年度!G8:G14)</f>
        <v>40783</v>
      </c>
      <c r="H29" s="58">
        <f>SUM(平成11年度!H8:H14)</f>
        <v>582987</v>
      </c>
      <c r="I29" s="55">
        <f>SUM(平成11年度!I8:I14)</f>
        <v>496188</v>
      </c>
      <c r="J29" s="89">
        <f>SUM(平成11年度!J8:J14)</f>
        <v>354151</v>
      </c>
      <c r="K29" s="89">
        <f>SUM(平成11年度!K8:K14)</f>
        <v>142037</v>
      </c>
      <c r="L29" s="89">
        <f>SUM(平成11年度!L8:L14)</f>
        <v>86799</v>
      </c>
      <c r="M29" s="89">
        <f>SUM(平成11年度!M8:M14)</f>
        <v>62006</v>
      </c>
      <c r="N29" s="90">
        <f>SUM(平成11年度!N8:N14)</f>
        <v>24793</v>
      </c>
      <c r="O29" s="58">
        <f>SUM(平成11年度!O8:O14)</f>
        <v>738188</v>
      </c>
      <c r="P29" s="55">
        <f>SUM(平成11年度!P8:P14)</f>
        <v>2049318</v>
      </c>
      <c r="Q29" s="90">
        <f>平成11年度!C29/平成11年度!O29</f>
        <v>0.40305179710317696</v>
      </c>
      <c r="R29" s="58">
        <f>平成11年度!H29/平成11年度!P29</f>
        <v>0.2844785435935272</v>
      </c>
      <c r="S29" s="55">
        <f>平成11年度!L29/平成11年度!H29</f>
        <v>0.14888668186426113</v>
      </c>
      <c r="T29" s="60"/>
      <c r="U29" s="6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1143</v>
      </c>
      <c r="C30" s="58">
        <f>SUM(平成11年度!C8:C15)</f>
        <v>340582</v>
      </c>
      <c r="D30" s="55">
        <f>SUM(平成11年度!D8:D15)</f>
        <v>293942</v>
      </c>
      <c r="E30" s="89">
        <f>SUM(平成11年度!E8:E15)</f>
        <v>278313</v>
      </c>
      <c r="F30" s="89">
        <f>SUM(平成11年度!F8:F15)</f>
        <v>15629</v>
      </c>
      <c r="G30" s="90">
        <f>SUM(平成11年度!G8:G15)</f>
        <v>46640</v>
      </c>
      <c r="H30" s="58">
        <f>SUM(平成11年度!H8:H15)</f>
        <v>667158</v>
      </c>
      <c r="I30" s="55">
        <f>SUM(平成11年度!I8:I15)</f>
        <v>567820</v>
      </c>
      <c r="J30" s="89">
        <f>SUM(平成11年度!J8:J15)</f>
        <v>405021</v>
      </c>
      <c r="K30" s="89">
        <f>SUM(平成11年度!K8:K15)</f>
        <v>162799</v>
      </c>
      <c r="L30" s="89">
        <f>SUM(平成11年度!L8:L15)</f>
        <v>99338</v>
      </c>
      <c r="M30" s="89">
        <f>SUM(平成11年度!M8:M15)</f>
        <v>70935</v>
      </c>
      <c r="N30" s="90">
        <f>SUM(平成11年度!N8:N15)</f>
        <v>28403</v>
      </c>
      <c r="O30" s="58">
        <f>SUM(平成11年度!O8:O15)</f>
        <v>844160</v>
      </c>
      <c r="P30" s="55">
        <f>SUM(平成11年度!P8:P15)</f>
        <v>2342551</v>
      </c>
      <c r="Q30" s="90">
        <f>平成11年度!C30/平成11年度!O30</f>
        <v>0.40345669067475359</v>
      </c>
      <c r="R30" s="58">
        <f>平成11年度!H30/平成11年度!P30</f>
        <v>0.28479977597072592</v>
      </c>
      <c r="S30" s="55">
        <f>平成11年度!L30/平成11年度!H30</f>
        <v>0.1488972627173773</v>
      </c>
      <c r="T30" s="60"/>
      <c r="U30" s="6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1144</v>
      </c>
      <c r="C31" s="58">
        <f>SUM(平成11年度!C8:C16)</f>
        <v>383786</v>
      </c>
      <c r="D31" s="55">
        <f>SUM(平成11年度!D8:D16)</f>
        <v>331272</v>
      </c>
      <c r="E31" s="89">
        <f>SUM(平成11年度!E8:E16)</f>
        <v>313641</v>
      </c>
      <c r="F31" s="89">
        <f>SUM(平成11年度!F8:F16)</f>
        <v>17631</v>
      </c>
      <c r="G31" s="90">
        <f>SUM(平成11年度!G8:G16)</f>
        <v>52514</v>
      </c>
      <c r="H31" s="58">
        <f>SUM(平成11年度!H8:H16)</f>
        <v>751553</v>
      </c>
      <c r="I31" s="55">
        <f>SUM(平成11年度!I8:I16)</f>
        <v>639622</v>
      </c>
      <c r="J31" s="89">
        <f>SUM(平成11年度!J8:J16)</f>
        <v>455926</v>
      </c>
      <c r="K31" s="89">
        <f>SUM(平成11年度!K8:K16)</f>
        <v>183696</v>
      </c>
      <c r="L31" s="89">
        <f>SUM(平成11年度!L8:L16)</f>
        <v>111931</v>
      </c>
      <c r="M31" s="89">
        <f>SUM(平成11年度!M8:M16)</f>
        <v>79891</v>
      </c>
      <c r="N31" s="90">
        <f>SUM(平成11年度!N8:N16)</f>
        <v>32040</v>
      </c>
      <c r="O31" s="58">
        <f>SUM(平成11年度!O8:O16)</f>
        <v>950203</v>
      </c>
      <c r="P31" s="55">
        <f>SUM(平成11年度!P8:P16)</f>
        <v>2635867</v>
      </c>
      <c r="Q31" s="90">
        <f>平成11年度!C31/平成11年度!O31</f>
        <v>0.40389895632827932</v>
      </c>
      <c r="R31" s="58">
        <f>平成11年度!H31/平成11年度!P31</f>
        <v>0.28512553933866919</v>
      </c>
      <c r="S31" s="55">
        <f>平成11年度!L31/平成11年度!H31</f>
        <v>0.14893294285299905</v>
      </c>
      <c r="T31" s="60"/>
      <c r="U31" s="61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1145</v>
      </c>
      <c r="C32" s="58">
        <f>SUM(平成11年度!C8:C17)</f>
        <v>427213</v>
      </c>
      <c r="D32" s="55">
        <f>SUM(平成11年度!D8:D17)</f>
        <v>368851</v>
      </c>
      <c r="E32" s="89">
        <f>SUM(平成11年度!E8:E17)</f>
        <v>349214</v>
      </c>
      <c r="F32" s="89">
        <f>SUM(平成11年度!F8:F17)</f>
        <v>19637</v>
      </c>
      <c r="G32" s="90">
        <f>SUM(平成11年度!G8:G17)</f>
        <v>58362</v>
      </c>
      <c r="H32" s="58">
        <f>SUM(平成11年度!H8:H17)</f>
        <v>836341</v>
      </c>
      <c r="I32" s="55">
        <f>SUM(平成11年度!I8:I17)</f>
        <v>711852</v>
      </c>
      <c r="J32" s="89">
        <f>SUM(平成11年度!J8:J17)</f>
        <v>507122</v>
      </c>
      <c r="K32" s="89">
        <f>SUM(平成11年度!K8:K17)</f>
        <v>204730</v>
      </c>
      <c r="L32" s="89">
        <f>SUM(平成11年度!L8:L17)</f>
        <v>124489</v>
      </c>
      <c r="M32" s="89">
        <f>SUM(平成11年度!M8:M17)</f>
        <v>88817</v>
      </c>
      <c r="N32" s="90">
        <f>SUM(平成11年度!N8:N17)</f>
        <v>35672</v>
      </c>
      <c r="O32" s="58">
        <f>SUM(平成11年度!O8:O17)</f>
        <v>1056392</v>
      </c>
      <c r="P32" s="55">
        <f>SUM(平成11年度!P8:P17)</f>
        <v>2929313</v>
      </c>
      <c r="Q32" s="90">
        <f>平成11年度!C32/平成11年度!O32</f>
        <v>0.40440764413210245</v>
      </c>
      <c r="R32" s="58">
        <f>平成11年度!H32/平成11年度!P32</f>
        <v>0.28550755757407964</v>
      </c>
      <c r="S32" s="55">
        <f>平成11年度!L32/平成11年度!H32</f>
        <v>0.14884957212428901</v>
      </c>
      <c r="T32" s="60"/>
      <c r="U32" s="61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1146</v>
      </c>
      <c r="C33" s="58">
        <f>SUM(平成11年度!C8:C18)</f>
        <v>470648</v>
      </c>
      <c r="D33" s="55">
        <f>SUM(平成11年度!D8:D18)</f>
        <v>406434</v>
      </c>
      <c r="E33" s="89">
        <f>SUM(平成11年度!E8:E18)</f>
        <v>384807</v>
      </c>
      <c r="F33" s="89">
        <f>SUM(平成11年度!F8:F18)</f>
        <v>21627</v>
      </c>
      <c r="G33" s="90">
        <f>SUM(平成11年度!G8:G18)</f>
        <v>64214</v>
      </c>
      <c r="H33" s="58">
        <f>SUM(平成11年度!H8:H18)</f>
        <v>921169</v>
      </c>
      <c r="I33" s="55">
        <f>SUM(平成11年度!I8:I18)</f>
        <v>784145</v>
      </c>
      <c r="J33" s="89">
        <f>SUM(平成11年度!J8:J18)</f>
        <v>558223</v>
      </c>
      <c r="K33" s="89">
        <f>SUM(平成11年度!K8:K18)</f>
        <v>225922</v>
      </c>
      <c r="L33" s="89">
        <f>SUM(平成11年度!L8:L18)</f>
        <v>137024</v>
      </c>
      <c r="M33" s="89">
        <f>SUM(平成11年度!M8:M18)</f>
        <v>97723</v>
      </c>
      <c r="N33" s="90">
        <f>SUM(平成11年度!N8:N18)</f>
        <v>39301</v>
      </c>
      <c r="O33" s="58">
        <f>SUM(平成11年度!O8:O18)</f>
        <v>1162535</v>
      </c>
      <c r="P33" s="55">
        <f>SUM(平成11年度!P8:P18)</f>
        <v>3222672</v>
      </c>
      <c r="Q33" s="90">
        <f>平成11年度!C33/平成11年度!O33</f>
        <v>0.40484630570262403</v>
      </c>
      <c r="R33" s="58">
        <f>平成11年度!H33/平成11年度!P33</f>
        <v>0.28584013514251527</v>
      </c>
      <c r="S33" s="55">
        <f>平成11年度!L33/平成11年度!H33</f>
        <v>0.1487501207704558</v>
      </c>
      <c r="T33" s="60"/>
      <c r="U33" s="61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1147</v>
      </c>
      <c r="C34" s="58">
        <f>SUM(平成11年度!C8:C19)</f>
        <v>514227</v>
      </c>
      <c r="D34" s="55">
        <f>SUM(平成11年度!D8:D19)</f>
        <v>444043</v>
      </c>
      <c r="E34" s="89">
        <f>SUM(平成11年度!E8:E19)</f>
        <v>420416</v>
      </c>
      <c r="F34" s="89">
        <f>SUM(平成11年度!F8:F19)</f>
        <v>23627</v>
      </c>
      <c r="G34" s="90">
        <f>SUM(平成11年度!G8:G19)</f>
        <v>70184</v>
      </c>
      <c r="H34" s="58">
        <f>SUM(平成11年度!H8:H19)</f>
        <v>1006175</v>
      </c>
      <c r="I34" s="55">
        <f>SUM(平成11年度!I8:I19)</f>
        <v>856400</v>
      </c>
      <c r="J34" s="89">
        <f>SUM(平成11年度!J8:J19)</f>
        <v>609166</v>
      </c>
      <c r="K34" s="89">
        <f>SUM(平成11年度!K8:K19)</f>
        <v>247234</v>
      </c>
      <c r="L34" s="89">
        <f>SUM(平成11年度!L8:L19)</f>
        <v>149775</v>
      </c>
      <c r="M34" s="89">
        <f>SUM(平成11年度!M8:M19)</f>
        <v>106779</v>
      </c>
      <c r="N34" s="90">
        <f>SUM(平成11年度!N8:N19)</f>
        <v>42996</v>
      </c>
      <c r="O34" s="58">
        <f>SUM(平成11年度!O8:O19)</f>
        <v>1268705</v>
      </c>
      <c r="P34" s="55">
        <f>SUM(平成11年度!P8:P19)</f>
        <v>3515505</v>
      </c>
      <c r="Q34" s="90">
        <f>平成11年度!C34/平成11年度!O34</f>
        <v>0.4053164447211921</v>
      </c>
      <c r="R34" s="58">
        <f>平成11年度!H34/平成11年度!P34</f>
        <v>0.28621065821268921</v>
      </c>
      <c r="S34" s="55">
        <f>平成11年度!L34/平成11年度!H34</f>
        <v>0.14885581534027381</v>
      </c>
      <c r="T34" s="60"/>
      <c r="U34" s="61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1148</v>
      </c>
      <c r="C35" s="92">
        <f>平成10年度!C19+SUM(平成11年度!C8:C18)</f>
        <v>512307</v>
      </c>
      <c r="D35" s="93">
        <f>平成10年度!D19+SUM(平成11年度!D8:D18)</f>
        <v>442456</v>
      </c>
      <c r="E35" s="94">
        <f>平成10年度!E19+SUM(平成11年度!E8:E18)</f>
        <v>418971</v>
      </c>
      <c r="F35" s="94">
        <f>平成10年度!F19+SUM(平成11年度!F8:F18)</f>
        <v>23485</v>
      </c>
      <c r="G35" s="95">
        <f>平成10年度!G19+SUM(平成11年度!G8:G18)</f>
        <v>69851</v>
      </c>
      <c r="H35" s="92">
        <f>平成10年度!H19+SUM(平成11年度!H8:H18)</f>
        <v>1003072</v>
      </c>
      <c r="I35" s="93">
        <f>平成10年度!I19+SUM(平成11年度!I8:I18)</f>
        <v>854175</v>
      </c>
      <c r="J35" s="94">
        <f>平成10年度!J19+SUM(平成11年度!J8:J18)</f>
        <v>608469</v>
      </c>
      <c r="K35" s="94">
        <f>平成10年度!K19+SUM(平成11年度!K8:K18)</f>
        <v>245706</v>
      </c>
      <c r="L35" s="94">
        <f>平成10年度!L19+SUM(平成11年度!L8:L18)</f>
        <v>148897</v>
      </c>
      <c r="M35" s="94">
        <f>平成10年度!M19+SUM(平成11年度!M8:M18)</f>
        <v>106253</v>
      </c>
      <c r="N35" s="95">
        <f>平成10年度!N19+SUM(平成11年度!N8:N18)</f>
        <v>42644</v>
      </c>
      <c r="O35" s="92">
        <f>平成10年度!O19+SUM(平成11年度!O8:O18)</f>
        <v>1267186</v>
      </c>
      <c r="P35" s="93">
        <f>平成10年度!P19+SUM(平成11年度!P8:P18)</f>
        <v>3514625</v>
      </c>
      <c r="Q35" s="95">
        <f>平成11年度!C35/平成11年度!O35</f>
        <v>0.40428713701066771</v>
      </c>
      <c r="R35" s="92">
        <f>平成11年度!H35/平成11年度!P35</f>
        <v>0.28539943806238222</v>
      </c>
      <c r="S35" s="93">
        <f>平成11年度!L35/平成11年度!H35</f>
        <v>0.148440989280929</v>
      </c>
      <c r="T35" s="96"/>
      <c r="U35" s="97"/>
      <c r="V35" s="98"/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平成11年度!K35/12</f>
        <v>20475.5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1149</v>
      </c>
      <c r="C37" s="102">
        <f>平成11年度!C2+平成11年度!C31</f>
        <v>508380</v>
      </c>
      <c r="D37" s="103">
        <f>平成11年度!D2+平成11年度!D31</f>
        <v>438978</v>
      </c>
      <c r="E37" s="104">
        <f>平成11年度!E2+平成11年度!E31</f>
        <v>415775</v>
      </c>
      <c r="F37" s="104">
        <f>平成11年度!F2+平成11年度!F31</f>
        <v>23203</v>
      </c>
      <c r="G37" s="105">
        <f>平成11年度!G2+平成11年度!G31</f>
        <v>69402</v>
      </c>
      <c r="H37" s="102">
        <f>平成11年度!H2+平成11年度!H31</f>
        <v>996772</v>
      </c>
      <c r="I37" s="103">
        <f>平成11年度!I2+平成11年度!I31</f>
        <v>849252</v>
      </c>
      <c r="J37" s="104">
        <f>平成11年度!J2+平成11年度!J31</f>
        <v>606646</v>
      </c>
      <c r="K37" s="104">
        <f>平成11年度!K2+平成11年度!K31</f>
        <v>242606</v>
      </c>
      <c r="L37" s="104">
        <f>平成11年度!L2+平成11年度!L31</f>
        <v>147520</v>
      </c>
      <c r="M37" s="104" t="e">
        <f>平成11年度!M2+平成11年度!M31</f>
        <v>#VALUE!</v>
      </c>
      <c r="N37" s="106">
        <f>平成11年度!N2+平成11年度!N31</f>
        <v>42060</v>
      </c>
      <c r="O37" s="106">
        <f>平成11年度!O2+平成11年度!O31</f>
        <v>1264032</v>
      </c>
      <c r="P37" s="106">
        <f>平成11年度!P2+平成11年度!P31</f>
        <v>3512879</v>
      </c>
      <c r="Q37" s="106">
        <f>平成11年度!C37/平成11年度!O37</f>
        <v>0.40218918508392193</v>
      </c>
      <c r="R37" s="106">
        <f>平成11年度!H37/平成11年度!P37</f>
        <v>0.28374788883989455</v>
      </c>
      <c r="S37" s="103">
        <f>平成11年度!L37/平成11年度!H37</f>
        <v>0.14799773669404839</v>
      </c>
      <c r="T37" s="107"/>
      <c r="U37" s="107"/>
      <c r="V37" s="108"/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1150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 t="e">
        <f>#VALUE!</f>
        <v>#VALUE!</v>
      </c>
      <c r="P38" s="114" t="e">
        <f>#VALUE!</f>
        <v>#VALUE!</v>
      </c>
      <c r="Q38" s="114" t="e">
        <f>平成11年度!C38/平成11年度!O38</f>
        <v>#VALUE!</v>
      </c>
      <c r="R38" s="114" t="e">
        <f>平成11年度!H38/平成11年度!P38</f>
        <v>#VALUE!</v>
      </c>
      <c r="S38" s="111" t="e">
        <f>平成11年度!L38/平成11年度!H38</f>
        <v>#VALUE!</v>
      </c>
      <c r="T38" s="115"/>
      <c r="U38" s="115"/>
      <c r="V38" s="116"/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1151</v>
      </c>
      <c r="C40" s="1"/>
      <c r="D40" s="1"/>
      <c r="E40" s="1"/>
      <c r="F40" s="1"/>
      <c r="G40" s="1"/>
      <c r="H40" s="1"/>
      <c r="I40" s="1"/>
      <c r="J40" s="1" t="s">
        <v>1152</v>
      </c>
      <c r="K40" s="1"/>
      <c r="L40" s="1"/>
      <c r="M40" s="1"/>
      <c r="N40" s="1"/>
      <c r="O40" s="1">
        <v>29298</v>
      </c>
      <c r="P40" s="1"/>
      <c r="Q40" s="1"/>
      <c r="R40" s="1"/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1153</v>
      </c>
      <c r="D41" s="1" t="s">
        <v>1154</v>
      </c>
      <c r="E41" s="1" t="s">
        <v>1155</v>
      </c>
      <c r="F41" s="1" t="s">
        <v>1156</v>
      </c>
      <c r="G41" s="1" t="s">
        <v>1157</v>
      </c>
      <c r="H41" s="1" t="s">
        <v>1158</v>
      </c>
      <c r="I41" s="1"/>
      <c r="J41" s="1"/>
      <c r="K41" s="1" t="s">
        <v>1159</v>
      </c>
      <c r="L41" s="1" t="s">
        <v>1160</v>
      </c>
      <c r="M41" s="1" t="s">
        <v>1161</v>
      </c>
      <c r="N41" s="1" t="s">
        <v>1162</v>
      </c>
      <c r="O41" s="1" t="s">
        <v>1163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1164</v>
      </c>
      <c r="K42" s="118">
        <v>26128</v>
      </c>
      <c r="L42" s="118">
        <v>26088</v>
      </c>
      <c r="M42" s="118">
        <v>26606</v>
      </c>
      <c r="N42" s="118">
        <v>27066</v>
      </c>
      <c r="O42" s="118">
        <f>ROUND(+平成11年度!O43*平成11年度!N42,0)</f>
        <v>27605</v>
      </c>
      <c r="P42" s="118" t="s">
        <v>1165</v>
      </c>
      <c r="Q42" s="118"/>
      <c r="R42" s="3"/>
      <c r="S42" s="1"/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1166</v>
      </c>
      <c r="C43" s="1">
        <f>(+平成6年度!K19+平成7年度!K27)/6</f>
        <v>15238.5</v>
      </c>
      <c r="D43" s="1">
        <f>(+平成7年度!K19+平成８年度!K27)/6</f>
        <v>16433.333333333332</v>
      </c>
      <c r="E43" s="1">
        <f>(+平成８年度!K19+平成９年度!K27)/6</f>
        <v>17542.666666666668</v>
      </c>
      <c r="F43" s="120">
        <f>ROUND((+平成９年度!K19+平成10年度!K27)/6,0)</f>
        <v>18744</v>
      </c>
      <c r="G43" s="120">
        <f>ROUND((+平成10年度!K19+平成11年度!K27)/6,0)</f>
        <v>20106</v>
      </c>
      <c r="H43" s="1"/>
      <c r="I43" s="1"/>
      <c r="J43" s="1"/>
      <c r="K43" s="1"/>
      <c r="L43" s="1">
        <f>ROUND(+平成11年度!L42/平成11年度!K42,4)</f>
        <v>0.99850000000000005</v>
      </c>
      <c r="M43" s="1">
        <f>ROUND(+平成11年度!M42/平成11年度!L42,4)</f>
        <v>1.0199</v>
      </c>
      <c r="N43" s="1">
        <f>平成11年度!M43</f>
        <v>1.0199</v>
      </c>
      <c r="O43" s="1">
        <f>ROUND((平成11年度!M43+平成11年度!N43)/2,4)</f>
        <v>1.0199</v>
      </c>
      <c r="P43" s="1"/>
      <c r="Q43" s="1"/>
      <c r="R43" s="1"/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1167</v>
      </c>
      <c r="C44" s="121"/>
      <c r="D44" s="122">
        <f>平成11年度!D43/平成11年度!C43</f>
        <v>1.0784088547647952</v>
      </c>
      <c r="E44" s="122">
        <f>平成11年度!E43/平成11年度!D43</f>
        <v>1.0675050709939149</v>
      </c>
      <c r="F44" s="123">
        <f>ROUND(+平成11年度!F43/平成11年度!E43,4)</f>
        <v>1.0685</v>
      </c>
      <c r="G44" s="123">
        <f>ROUND(+平成11年度!G43/平成11年度!F43,4)</f>
        <v>1.0727</v>
      </c>
      <c r="H44" s="1"/>
      <c r="I44" s="1"/>
      <c r="J44" s="1" t="s">
        <v>1168</v>
      </c>
      <c r="K44" s="1">
        <f>ROUND(+平成11年度!K46/平成11年度!K42,4)</f>
        <v>0.99309999999999998</v>
      </c>
      <c r="L44" s="1">
        <f>ROUND(+平成11年度!L46/平成11年度!L42,4)</f>
        <v>0.99739999999999995</v>
      </c>
      <c r="M44" s="1">
        <f>ROUND(+平成11年度!M46/平成11年度!M42,4)</f>
        <v>1.0001</v>
      </c>
      <c r="N44" s="1">
        <f>平成11年度!M44</f>
        <v>1.0001</v>
      </c>
      <c r="O44" s="1">
        <f>ROUND((+平成11年度!N44+平成11年度!M44)/2,4)</f>
        <v>1.0001</v>
      </c>
      <c r="P44" s="1"/>
      <c r="Q44" s="1"/>
      <c r="R44" s="1"/>
      <c r="S44" s="1"/>
      <c r="T44" s="1"/>
      <c r="U44" s="1" t="s">
        <v>1169</v>
      </c>
      <c r="V44" s="1"/>
      <c r="W44" s="117" t="str">
        <f>平成11年度!C3</f>
        <v>平成11年度</v>
      </c>
      <c r="X44" s="124"/>
      <c r="Y44" s="1"/>
      <c r="Z44" s="125"/>
      <c r="AA44" s="117"/>
      <c r="AB44" s="117"/>
      <c r="AC44" s="117"/>
      <c r="AD44" s="117" t="s">
        <v>1170</v>
      </c>
      <c r="AE44" s="117" t="s">
        <v>1171</v>
      </c>
      <c r="AF44" s="117"/>
      <c r="AG44" s="117"/>
      <c r="AH44" s="11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1172</v>
      </c>
      <c r="C45" s="1">
        <f>平成7年度!K36</f>
        <v>15516.666666666666</v>
      </c>
      <c r="D45" s="1">
        <f>平成８年度!K36</f>
        <v>16714.583333333332</v>
      </c>
      <c r="E45" s="1">
        <f>平成９年度!K36</f>
        <v>17827.916666666668</v>
      </c>
      <c r="F45" s="126">
        <f>平成10年度!K36</f>
        <v>19061.583333333332</v>
      </c>
      <c r="G45" s="126">
        <f>ROUND(+平成11年度!F46*平成11年度!G43,0)</f>
        <v>20446</v>
      </c>
      <c r="H45" s="126">
        <f>平成11年度!G45*平成11年度!G47</f>
        <v>21930.3796</v>
      </c>
      <c r="I45" s="1"/>
      <c r="J45" s="1"/>
      <c r="K45" s="1"/>
      <c r="L45" s="1"/>
      <c r="M45" s="1"/>
      <c r="N45" s="3">
        <f>ROUND(+平成11年度!N44*平成11年度!N42,0)</f>
        <v>27069</v>
      </c>
      <c r="O45" s="3">
        <f>ROUND(+平成11年度!O42*平成11年度!O44,0)</f>
        <v>27608</v>
      </c>
      <c r="P45" s="3"/>
      <c r="Q45" s="3"/>
      <c r="R45" s="3"/>
      <c r="S45" s="1"/>
      <c r="T45" s="118"/>
      <c r="U45" s="118"/>
      <c r="V45" s="118" t="s">
        <v>1173</v>
      </c>
      <c r="W45" s="118" t="s">
        <v>1174</v>
      </c>
      <c r="X45" s="127" t="s">
        <v>1175</v>
      </c>
      <c r="Y45" s="128" t="s">
        <v>1176</v>
      </c>
      <c r="Z45" s="129" t="s">
        <v>1177</v>
      </c>
      <c r="AA45" s="129" t="s">
        <v>1178</v>
      </c>
      <c r="AB45" s="129" t="s">
        <v>1179</v>
      </c>
      <c r="AC45" s="129" t="s">
        <v>1180</v>
      </c>
      <c r="AD45" s="130" t="s">
        <v>1181</v>
      </c>
      <c r="AE45" s="130" t="s">
        <v>1182</v>
      </c>
      <c r="AF45" s="130" t="s">
        <v>1183</v>
      </c>
      <c r="AG45" s="131"/>
      <c r="AH45" s="131"/>
      <c r="AI45" s="13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1184</v>
      </c>
      <c r="C46" s="122">
        <f>平成11年度!C45/平成11年度!C43</f>
        <v>1.0182542026227428</v>
      </c>
      <c r="D46" s="122">
        <f>平成11年度!D45/平成11年度!D43</f>
        <v>1.0171146044624746</v>
      </c>
      <c r="E46" s="122">
        <f>平成11年度!E45/平成11年度!E43</f>
        <v>1.0162603557041878</v>
      </c>
      <c r="F46" s="122">
        <f>ROUND(+平成11年度!F45/平成11年度!F43,4)</f>
        <v>1.0168999999999999</v>
      </c>
      <c r="G46" s="122">
        <f>ROUND((+平成11年度!E46+平成11年度!F46)/2,4)</f>
        <v>1.0165999999999999</v>
      </c>
      <c r="H46" s="1"/>
      <c r="I46" s="1"/>
      <c r="J46" s="1" t="s">
        <v>1185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 t="s">
        <v>1186</v>
      </c>
      <c r="W46" s="133" t="s">
        <v>1187</v>
      </c>
      <c r="X46" s="134" t="s">
        <v>1188</v>
      </c>
      <c r="Y46" s="135" t="s">
        <v>1189</v>
      </c>
      <c r="Z46" s="136" t="s">
        <v>1190</v>
      </c>
      <c r="AA46" s="137"/>
      <c r="AB46" s="137" t="s">
        <v>1191</v>
      </c>
      <c r="AC46" s="138" t="s">
        <v>1192</v>
      </c>
      <c r="AD46" s="139" t="s">
        <v>1193</v>
      </c>
      <c r="AE46" s="140" t="s">
        <v>1194</v>
      </c>
      <c r="AF46" s="140" t="s">
        <v>1195</v>
      </c>
      <c r="AG46" s="140"/>
      <c r="AH46" s="140"/>
      <c r="AI46" s="1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1196</v>
      </c>
      <c r="C47" s="121"/>
      <c r="D47" s="122">
        <f>平成11年度!D45/平成11年度!C45</f>
        <v>1.077201933404941</v>
      </c>
      <c r="E47" s="122">
        <f>平成11年度!E45/平成11年度!D45</f>
        <v>1.0666085005608876</v>
      </c>
      <c r="F47" s="122">
        <f>ROUND(+平成11年度!F45/平成11年度!E45,4)</f>
        <v>1.0691999999999999</v>
      </c>
      <c r="G47" s="122">
        <f>ROUND(+平成11年度!G45/平成11年度!F45,4)</f>
        <v>1.0726</v>
      </c>
      <c r="H47" s="1"/>
      <c r="I47" s="1"/>
      <c r="J47" s="1"/>
      <c r="K47" s="1"/>
      <c r="L47" s="1">
        <f>ROUND(+平成11年度!L46/平成11年度!K46,4)</f>
        <v>1.0027999999999999</v>
      </c>
      <c r="M47" s="1">
        <f>ROUND(+平成11年度!M46/平成11年度!L46,4)</f>
        <v>1.0226</v>
      </c>
      <c r="N47" s="1">
        <f>平成11年度!M47</f>
        <v>1.0226</v>
      </c>
      <c r="O47" s="1">
        <f>平成11年度!N47</f>
        <v>1.0226</v>
      </c>
      <c r="P47" s="1"/>
      <c r="Q47" s="1"/>
      <c r="R47" s="1"/>
      <c r="S47" s="1"/>
      <c r="T47" s="1"/>
      <c r="U47" s="1"/>
      <c r="V47" s="1"/>
      <c r="W47" s="117"/>
      <c r="X47" s="142"/>
      <c r="Y47" s="143"/>
      <c r="Z47" s="144"/>
      <c r="AA47" s="144">
        <f>平成11年度!M8</f>
        <v>8778</v>
      </c>
      <c r="AB47" s="144" t="s">
        <v>1197</v>
      </c>
      <c r="AC47" s="145"/>
      <c r="AD47" s="146"/>
      <c r="AE47" s="144"/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1198</v>
      </c>
      <c r="K48" s="1"/>
      <c r="L48" s="1"/>
      <c r="M48" s="1"/>
      <c r="N48" s="3">
        <f>ROUND(+平成11年度!M46*平成11年度!N47,0)</f>
        <v>27209</v>
      </c>
      <c r="O48" s="3">
        <f>ROUND(+平成11年度!N48*平成11年度!O47,0)</f>
        <v>27824</v>
      </c>
      <c r="P48" s="3"/>
      <c r="Q48" s="3"/>
      <c r="R48" s="149"/>
      <c r="S48" s="1"/>
      <c r="T48" s="1" t="s">
        <v>1199</v>
      </c>
      <c r="U48" s="1" t="s">
        <v>1200</v>
      </c>
      <c r="V48" s="1">
        <f>平成11年度!C8</f>
        <v>42099</v>
      </c>
      <c r="W48" s="117">
        <f>平成11年度!H8</f>
        <v>82725</v>
      </c>
      <c r="X48" s="134">
        <f>平成11年度!W48-平成11年度!Y48-平成11年度!Z48</f>
        <v>50458</v>
      </c>
      <c r="Y48" s="150">
        <f>平成11年度!K8</f>
        <v>19990</v>
      </c>
      <c r="Z48" s="151">
        <f>平成11年度!AA47+平成11年度!AA48</f>
        <v>12277</v>
      </c>
      <c r="AA48" s="151">
        <f>平成11年度!N8</f>
        <v>3499</v>
      </c>
      <c r="AB48" s="151">
        <f>平成11年度!O8</f>
        <v>105149</v>
      </c>
      <c r="AC48" s="152">
        <f>平成11年度!P8</f>
        <v>292461</v>
      </c>
      <c r="AD48" s="153">
        <f>平成11年度!V48/+平成11年度!AB48</f>
        <v>0.40037470636905725</v>
      </c>
      <c r="AE48" s="151">
        <f>平成11年度!W48/+平成11年度!AC48</f>
        <v>0.28285822725081294</v>
      </c>
      <c r="AF48" s="150">
        <f>平成11年度!Z48/+平成11年度!W48</f>
        <v>0.14840737382895133</v>
      </c>
      <c r="AG48" s="154"/>
      <c r="AH48" s="155"/>
      <c r="AI48" s="15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 t="s">
        <v>1201</v>
      </c>
      <c r="H49" s="99" t="s">
        <v>1202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 t="s">
        <v>1203</v>
      </c>
      <c r="W49" s="117"/>
      <c r="X49" s="142"/>
      <c r="Y49" s="143"/>
      <c r="Z49" s="144"/>
      <c r="AA49" s="144">
        <f>平成11年度!M9</f>
        <v>8788</v>
      </c>
      <c r="AB49" s="144"/>
      <c r="AC49" s="157"/>
      <c r="AD49" s="146"/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>
        <f>IF(+平成11年度!G45&gt;0,ROUNDUP(+平成11年度!G45,-2),ROUNDDOWN(+平成11年度!G45,-2))</f>
        <v>20500</v>
      </c>
      <c r="H50" s="160">
        <f>IF(+平成11年度!H45&gt;0,ROUNDUP(+平成11年度!H45,-2),ROUNDDOWN(+平成11年度!H45,-2))</f>
        <v>22000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1204</v>
      </c>
      <c r="V50" s="1">
        <f>平成11年度!C9</f>
        <v>42212</v>
      </c>
      <c r="W50" s="117">
        <f>平成11年度!H9</f>
        <v>82818</v>
      </c>
      <c r="X50" s="134">
        <f>平成11年度!W50-平成11年度!Y50-平成11年度!Z50</f>
        <v>50451</v>
      </c>
      <c r="Y50" s="150">
        <f>平成11年度!K9</f>
        <v>20074</v>
      </c>
      <c r="Z50" s="151">
        <f>平成11年度!AA49+平成11年度!AA50</f>
        <v>12293</v>
      </c>
      <c r="AA50" s="151">
        <f>平成11年度!N9</f>
        <v>3505</v>
      </c>
      <c r="AB50" s="151">
        <f>平成11年度!O9</f>
        <v>105245</v>
      </c>
      <c r="AC50" s="152">
        <f>平成11年度!P9</f>
        <v>292512</v>
      </c>
      <c r="AD50" s="153">
        <f>平成11年度!V50/+平成11年度!AB50</f>
        <v>0.4010831868497316</v>
      </c>
      <c r="AE50" s="151">
        <f>平成11年度!W50/+平成11年度!AC50</f>
        <v>0.28312684607810962</v>
      </c>
      <c r="AF50" s="150">
        <f>平成11年度!Z50/+平成11年度!W50</f>
        <v>0.14843391533241565</v>
      </c>
      <c r="AG50" s="154"/>
      <c r="AH50" s="155"/>
      <c r="AI50" s="15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 t="s">
        <v>1205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1206</v>
      </c>
      <c r="L51" s="1" t="s">
        <v>1207</v>
      </c>
      <c r="M51" s="1" t="s">
        <v>1208</v>
      </c>
      <c r="N51" s="1" t="s">
        <v>1209</v>
      </c>
      <c r="O51" s="1" t="s">
        <v>1210</v>
      </c>
      <c r="P51" s="1"/>
      <c r="Q51" s="1"/>
      <c r="R51" s="1"/>
      <c r="S51" s="1"/>
      <c r="T51" s="1"/>
      <c r="U51" s="1"/>
      <c r="V51" s="1" t="s">
        <v>1211</v>
      </c>
      <c r="W51" s="117" t="s">
        <v>1212</v>
      </c>
      <c r="X51" s="142" t="s">
        <v>1213</v>
      </c>
      <c r="Y51" s="143"/>
      <c r="Z51" s="144"/>
      <c r="AA51" s="144">
        <f>平成11年度!M10</f>
        <v>8833</v>
      </c>
      <c r="AB51" s="144"/>
      <c r="AC51" s="145"/>
      <c r="AD51" s="146" t="s">
        <v>1214</v>
      </c>
      <c r="AE51" s="144" t="s">
        <v>1215</v>
      </c>
      <c r="AF51" s="144" t="s">
        <v>1216</v>
      </c>
      <c r="AG51" s="147"/>
      <c r="AH51" s="147"/>
      <c r="AI51" s="148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 t="s">
        <v>1217</v>
      </c>
      <c r="B52" s="1"/>
      <c r="C52" s="1" t="s">
        <v>1218</v>
      </c>
      <c r="D52" s="1" t="s">
        <v>1219</v>
      </c>
      <c r="E52" s="1" t="s">
        <v>1220</v>
      </c>
      <c r="F52" s="1" t="s">
        <v>1221</v>
      </c>
      <c r="G52" s="1" t="s">
        <v>1222</v>
      </c>
      <c r="H52" s="1" t="s">
        <v>1223</v>
      </c>
      <c r="I52" s="1"/>
      <c r="J52" s="1" t="s">
        <v>1224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 t="s">
        <v>1225</v>
      </c>
      <c r="V52" s="1">
        <f>平成11年度!C10</f>
        <v>42356</v>
      </c>
      <c r="W52" s="117">
        <f>平成11年度!H10</f>
        <v>82995</v>
      </c>
      <c r="X52" s="134">
        <f>平成11年度!W52-平成11年度!Y52-平成11年度!Z52</f>
        <v>50493</v>
      </c>
      <c r="Y52" s="150">
        <f>平成11年度!K10</f>
        <v>20150</v>
      </c>
      <c r="Z52" s="151">
        <f>平成11年度!AA51+平成11年度!AA52</f>
        <v>12352</v>
      </c>
      <c r="AA52" s="151">
        <f>平成11年度!N10</f>
        <v>3519</v>
      </c>
      <c r="AB52" s="151">
        <f>平成11年度!O10</f>
        <v>105378</v>
      </c>
      <c r="AC52" s="152">
        <f>平成11年度!P10</f>
        <v>292669</v>
      </c>
      <c r="AD52" s="153">
        <f>平成11年度!V52/+平成11年度!AB52</f>
        <v>0.40194347966368693</v>
      </c>
      <c r="AE52" s="151">
        <f>平成11年度!W52/+平成11年度!AC52</f>
        <v>0.28357974366946959</v>
      </c>
      <c r="AF52" s="150">
        <f>平成11年度!Z52/+平成11年度!W52</f>
        <v>0.14882824266522079</v>
      </c>
      <c r="AG52" s="154"/>
      <c r="AH52" s="155"/>
      <c r="AI52" s="15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 t="s">
        <v>1226</v>
      </c>
      <c r="Y53" s="143"/>
      <c r="Z53" s="144"/>
      <c r="AA53" s="144">
        <f>平成11年度!M11</f>
        <v>8856</v>
      </c>
      <c r="AB53" s="144"/>
      <c r="AC53" s="157"/>
      <c r="AD53" s="146" t="s">
        <v>1227</v>
      </c>
      <c r="AE53" s="144" t="s">
        <v>1228</v>
      </c>
      <c r="AF53" s="143" t="s">
        <v>1229</v>
      </c>
      <c r="AG53" s="158"/>
      <c r="AH53" s="147"/>
      <c r="AI53" s="15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 t="s">
        <v>1230</v>
      </c>
      <c r="C54" s="1" t="e">
        <f>ROUND(SUM(+平成6年度!P8:P12)/5,0)</f>
        <v>#VALUE!</v>
      </c>
      <c r="D54" s="1" t="e">
        <f>ROUND(SUM(+平成7年度!P8:P12)/5,0)</f>
        <v>#VALUE!</v>
      </c>
      <c r="E54" s="1" t="e">
        <f>ROUND(SUM(+平成８年度!P8:P12)/5,0)</f>
        <v>#VALUE!</v>
      </c>
      <c r="F54" s="120" t="e">
        <f>ROUND(SUM(+平成９年度!P8:P12)/5,0)</f>
        <v>#VALUE!</v>
      </c>
      <c r="G54" s="120" t="e">
        <f>ROUND(SUM(+平成10年度!P8:P12)/5,0)</f>
        <v>#VALUE!</v>
      </c>
      <c r="H54" s="1" t="e">
        <f>ROUND(SUM(+平成11年度!P8:P12)/5,0)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1231</v>
      </c>
      <c r="V54" s="1">
        <f>平成11年度!C11</f>
        <v>42503</v>
      </c>
      <c r="W54" s="117">
        <f>平成11年度!H11</f>
        <v>83267</v>
      </c>
      <c r="X54" s="134">
        <f>平成11年度!W54-平成11年度!Y54-平成11年度!Z54</f>
        <v>50604</v>
      </c>
      <c r="Y54" s="150">
        <f>平成11年度!K11</f>
        <v>20264</v>
      </c>
      <c r="Z54" s="151">
        <f>平成11年度!AA53+平成11年度!AA54</f>
        <v>12399</v>
      </c>
      <c r="AA54" s="151">
        <f>平成11年度!N11</f>
        <v>3543</v>
      </c>
      <c r="AB54" s="151">
        <f>平成11年度!O11</f>
        <v>105449</v>
      </c>
      <c r="AC54" s="152">
        <f>平成11年度!P11</f>
        <v>292758</v>
      </c>
      <c r="AD54" s="153">
        <f>平成11年度!V54/+平成11年度!AB54</f>
        <v>0.40306688541380192</v>
      </c>
      <c r="AE54" s="151">
        <f>平成11年度!W54/+平成11年度!AC54</f>
        <v>0.28442262892901304</v>
      </c>
      <c r="AF54" s="150">
        <f>平成11年度!Z54/+平成11年度!W54</f>
        <v>0.14890652959755965</v>
      </c>
      <c r="AG54" s="154"/>
      <c r="AH54" s="155"/>
      <c r="AI54" s="15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 t="s">
        <v>1232</v>
      </c>
      <c r="C55" s="121"/>
      <c r="D55" s="122" t="e">
        <f>平成11年度!D54/平成11年度!C54</f>
        <v>#VALUE!</v>
      </c>
      <c r="E55" s="122" t="e">
        <f>平成11年度!E54/平成11年度!D54</f>
        <v>#VALUE!</v>
      </c>
      <c r="F55" s="123" t="e">
        <f>ROUND(+平成11年度!F54/平成11年度!E54,4)</f>
        <v>#VALUE!</v>
      </c>
      <c r="G55" s="123" t="e">
        <f>ROUND(+平成11年度!G54/平成11年度!F54,4)</f>
        <v>#VALUE!</v>
      </c>
      <c r="H55" s="123" t="e">
        <f>ROUND(+平成11年度!H54/平成11年度!G54,4)</f>
        <v>#VALUE!</v>
      </c>
      <c r="I55" s="1"/>
      <c r="J55" s="1" t="s">
        <v>1233</v>
      </c>
      <c r="K55" s="118">
        <v>25949</v>
      </c>
      <c r="L55" s="118">
        <v>26021</v>
      </c>
      <c r="M55" s="118">
        <v>26608</v>
      </c>
      <c r="N55" s="1">
        <f>ROUND(ROUND(+平成11年度!M55/平成11年度!L55,4)*平成11年度!M55,0)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 t="s">
        <v>1234</v>
      </c>
      <c r="Y55" s="143"/>
      <c r="Z55" s="144"/>
      <c r="AA55" s="144">
        <f>平成11年度!M12</f>
        <v>8906</v>
      </c>
      <c r="AB55" s="144"/>
      <c r="AC55" s="145"/>
      <c r="AD55" s="146" t="s">
        <v>1235</v>
      </c>
      <c r="AE55" s="144" t="s">
        <v>1236</v>
      </c>
      <c r="AF55" s="144" t="s">
        <v>1237</v>
      </c>
      <c r="AG55" s="147"/>
      <c r="AH55" s="147"/>
      <c r="AI55" s="148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 t="s">
        <v>1238</v>
      </c>
      <c r="C56" s="1">
        <f>平成6年度!P21</f>
        <v>286905.41666666669</v>
      </c>
      <c r="D56" s="1">
        <f>平成7年度!P21</f>
        <v>288695.58333333331</v>
      </c>
      <c r="E56" s="1">
        <f>平成８年度!P21</f>
        <v>290091.16666666669</v>
      </c>
      <c r="F56" s="126" t="e">
        <f>平成９年度!P21</f>
        <v>#VALUE!</v>
      </c>
      <c r="G56" s="126" t="e">
        <f>平成10年度!P21</f>
        <v>#VALUE!</v>
      </c>
      <c r="H56" s="126" t="s">
        <v>1239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ROUND(ROUND(+平成11年度!M56/平成11年度!L56,4)*平成11年度!M56,0)</f>
        <v>51407</v>
      </c>
      <c r="O56" s="1"/>
      <c r="P56" s="1"/>
      <c r="Q56" s="1"/>
      <c r="R56" s="1"/>
      <c r="S56" s="1"/>
      <c r="T56" s="1"/>
      <c r="U56" s="1" t="s">
        <v>1240</v>
      </c>
      <c r="V56" s="1">
        <f>平成11年度!C12</f>
        <v>42607</v>
      </c>
      <c r="W56" s="117">
        <f>平成11年度!H12</f>
        <v>83410</v>
      </c>
      <c r="X56" s="134">
        <f>平成11年度!W56-平成11年度!Y56-平成11年度!Z56</f>
        <v>50573</v>
      </c>
      <c r="Y56" s="150">
        <f>平成11年度!K12</f>
        <v>20375</v>
      </c>
      <c r="Z56" s="151">
        <f>平成11年度!AA55+平成11年度!AA56</f>
        <v>12462</v>
      </c>
      <c r="AA56" s="151">
        <f>平成11年度!N12</f>
        <v>3556</v>
      </c>
      <c r="AB56" s="151">
        <f>平成11年度!O12</f>
        <v>105556</v>
      </c>
      <c r="AC56" s="152">
        <f>平成11年度!P12</f>
        <v>292901</v>
      </c>
      <c r="AD56" s="153">
        <f>平成11年度!V56/+平成11年度!AB56</f>
        <v>0.40364356360604797</v>
      </c>
      <c r="AE56" s="151">
        <f>平成11年度!W56/+平成11年度!AC56</f>
        <v>0.28477198780475316</v>
      </c>
      <c r="AF56" s="150">
        <f>平成11年度!Z56/+平成11年度!W56</f>
        <v>0.14940654597770051</v>
      </c>
      <c r="AG56" s="154"/>
      <c r="AH56" s="155"/>
      <c r="AI56" s="15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 t="s">
        <v>1241</v>
      </c>
      <c r="C57" s="122" t="e">
        <f>平成11年度!C56/平成11年度!C54</f>
        <v>#VALUE!</v>
      </c>
      <c r="D57" s="122" t="e">
        <f>平成11年度!D56/平成11年度!D54</f>
        <v>#VALUE!</v>
      </c>
      <c r="E57" s="122" t="e">
        <f>平成11年度!E56/平成11年度!E54</f>
        <v>#VALUE!</v>
      </c>
      <c r="F57" s="122" t="e">
        <f>ROUND(+平成11年度!F56/平成11年度!F54,4)</f>
        <v>#VALUE!</v>
      </c>
      <c r="G57" s="122" t="e">
        <f>ROUND((+平成11年度!E57+平成11年度!F57)/2,4)</f>
        <v>#VALUE!</v>
      </c>
      <c r="H57" s="1"/>
      <c r="I57" s="1"/>
      <c r="J57" s="1" t="s">
        <v>1242</v>
      </c>
      <c r="K57" s="1" t="s">
        <v>1243</v>
      </c>
      <c r="L57" s="1" t="s">
        <v>1244</v>
      </c>
      <c r="M57" s="1" t="s">
        <v>1245</v>
      </c>
      <c r="N57" s="1" t="s">
        <v>1246</v>
      </c>
      <c r="O57" s="1" t="s">
        <v>1247</v>
      </c>
      <c r="P57" s="1" t="s">
        <v>1248</v>
      </c>
      <c r="Q57" s="1"/>
      <c r="R57" s="1"/>
      <c r="S57" s="1"/>
      <c r="T57" s="1"/>
      <c r="U57" s="1"/>
      <c r="V57" s="1"/>
      <c r="W57" s="117"/>
      <c r="X57" s="142" t="s">
        <v>1249</v>
      </c>
      <c r="Y57" s="143"/>
      <c r="Z57" s="144"/>
      <c r="AA57" s="144">
        <f>平成11年度!M13</f>
        <v>8905</v>
      </c>
      <c r="AB57" s="144"/>
      <c r="AC57" s="145"/>
      <c r="AD57" s="146" t="s">
        <v>1250</v>
      </c>
      <c r="AE57" s="144" t="s">
        <v>1251</v>
      </c>
      <c r="AF57" s="144" t="s">
        <v>1252</v>
      </c>
      <c r="AG57" s="147"/>
      <c r="AH57" s="147"/>
      <c r="AI57" s="148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 t="s">
        <v>1253</v>
      </c>
      <c r="C58" s="121"/>
      <c r="D58" s="122">
        <f>平成11年度!D56/平成11年度!C56</f>
        <v>1.006239570822556</v>
      </c>
      <c r="E58" s="122">
        <f>平成11年度!E56/平成11年度!D56</f>
        <v>1.0048341000482921</v>
      </c>
      <c r="F58" s="122" t="e">
        <f>ROUND(+平成11年度!F56/平成11年度!E56,4)</f>
        <v>#VALUE!</v>
      </c>
      <c r="G58" s="122" t="e">
        <f>ROUND(+平成11年度!G56/平成11年度!F56,4)</f>
        <v>#VALUE!</v>
      </c>
      <c r="H58" s="1"/>
      <c r="I58" s="1" t="s">
        <v>1254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>
        <v>26608</v>
      </c>
      <c r="P58" s="118">
        <v>27066</v>
      </c>
      <c r="Q58" s="118"/>
      <c r="R58" s="118"/>
      <c r="S58" s="118"/>
      <c r="T58" s="1"/>
      <c r="U58" s="1" t="s">
        <v>1255</v>
      </c>
      <c r="V58" s="1">
        <f>平成11年度!C13</f>
        <v>42772</v>
      </c>
      <c r="W58" s="117">
        <f>平成11年度!H13</f>
        <v>83699</v>
      </c>
      <c r="X58" s="134">
        <f>平成11年度!W58-平成11年度!Y58-平成11年度!Z58</f>
        <v>50707</v>
      </c>
      <c r="Y58" s="150">
        <f>平成11年度!K13</f>
        <v>20524</v>
      </c>
      <c r="Z58" s="151">
        <f>平成11年度!AA57+平成11年度!AA58</f>
        <v>12468</v>
      </c>
      <c r="AA58" s="151">
        <f>平成11年度!N13</f>
        <v>3563</v>
      </c>
      <c r="AB58" s="151">
        <f>平成11年度!O13</f>
        <v>105613</v>
      </c>
      <c r="AC58" s="152">
        <f>平成11年度!P13</f>
        <v>292910</v>
      </c>
      <c r="AD58" s="153">
        <f>平成11年度!V58/+平成11年度!AB58</f>
        <v>0.40498802230785985</v>
      </c>
      <c r="AE58" s="151">
        <f>平成11年度!W58/+平成11年度!AC58</f>
        <v>0.28574988904441639</v>
      </c>
      <c r="AF58" s="150">
        <f>平成11年度!Z58/+平成11年度!W58</f>
        <v>0.14896235319418391</v>
      </c>
      <c r="AG58" s="154"/>
      <c r="AH58" s="155"/>
      <c r="AI58" s="15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ROUND(+平成11年度!K58/平成11年度!J58,4)</f>
        <v>0.99309999999999998</v>
      </c>
      <c r="L59" s="36">
        <f>ROUND(+平成11年度!L58/平成11年度!K58,4)</f>
        <v>1.0054000000000001</v>
      </c>
      <c r="M59" s="36">
        <f>ROUND(+平成11年度!M58/平成11年度!L58,4)</f>
        <v>0.99739999999999995</v>
      </c>
      <c r="N59" s="36">
        <f>ROUND(+平成11年度!N58/平成11年度!M58,4)</f>
        <v>1.0225</v>
      </c>
      <c r="O59" s="36">
        <f>ROUND(+平成11年度!O58/平成11年度!N58,4)</f>
        <v>1.0001</v>
      </c>
      <c r="P59" s="36">
        <f>ROUND(+平成11年度!P58/平成11年度!O58,4)</f>
        <v>1.0172000000000001</v>
      </c>
      <c r="Q59" s="36"/>
      <c r="R59" s="36"/>
      <c r="S59" s="36" t="s">
        <v>1256</v>
      </c>
      <c r="T59" s="1"/>
      <c r="U59" s="1"/>
      <c r="V59" s="1"/>
      <c r="W59" s="117"/>
      <c r="X59" s="142" t="s">
        <v>1257</v>
      </c>
      <c r="Y59" s="143"/>
      <c r="Z59" s="144"/>
      <c r="AA59" s="144">
        <f>平成11年度!M14</f>
        <v>8940</v>
      </c>
      <c r="AB59" s="144"/>
      <c r="AC59" s="145"/>
      <c r="AD59" s="146" t="s">
        <v>1258</v>
      </c>
      <c r="AE59" s="144" t="s">
        <v>1259</v>
      </c>
      <c r="AF59" s="144" t="s">
        <v>1260</v>
      </c>
      <c r="AG59" s="147"/>
      <c r="AH59" s="147"/>
      <c r="AI59" s="148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 t="e">
        <f>平成11年度!C57*平成11年度!D54</f>
        <v>#VALUE!</v>
      </c>
      <c r="E60" s="1" t="e">
        <f>平成11年度!D57*平成11年度!E54</f>
        <v>#VALUE!</v>
      </c>
      <c r="F60" s="1" t="e">
        <f>平成11年度!E57*平成11年度!F54</f>
        <v>#VALUE!</v>
      </c>
      <c r="G60" s="1" t="e">
        <f>平成11年度!F57*平成11年度!G54</f>
        <v>#VALUE!</v>
      </c>
      <c r="H60" s="162" t="e">
        <f>IF(+平成11年度!G57*平成11年度!H54&gt;0,ROUNDDOWN(+平成11年度!G57*平成11年度!H54,-2),ROUNDUP(+平成11年度!G57*平成11年度!H54,-2))</f>
        <v>#VALUE!</v>
      </c>
      <c r="I60" s="1" t="s">
        <v>1261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>
        <v>50246</v>
      </c>
      <c r="P60" s="1">
        <v>50707</v>
      </c>
      <c r="Q60" s="1"/>
      <c r="R60" s="1"/>
      <c r="S60" s="1"/>
      <c r="T60" s="1"/>
      <c r="U60" s="1" t="s">
        <v>1262</v>
      </c>
      <c r="V60" s="1">
        <f>平成11年度!C14</f>
        <v>42979</v>
      </c>
      <c r="W60" s="117">
        <f>平成11年度!H14</f>
        <v>84073</v>
      </c>
      <c r="X60" s="134">
        <f>平成11年度!W60-平成11年度!Y60-平成11年度!Z60</f>
        <v>50865</v>
      </c>
      <c r="Y60" s="150">
        <f>平成11年度!K14</f>
        <v>20660</v>
      </c>
      <c r="Z60" s="151">
        <f>平成11年度!AA59+平成11年度!AA60</f>
        <v>12548</v>
      </c>
      <c r="AA60" s="151">
        <f>平成11年度!N14</f>
        <v>3608</v>
      </c>
      <c r="AB60" s="151">
        <f>平成11年度!O14</f>
        <v>105798</v>
      </c>
      <c r="AC60" s="152">
        <f>平成11年度!P14</f>
        <v>293107</v>
      </c>
      <c r="AD60" s="153">
        <f>平成11年度!V60/+平成11年度!AB60</f>
        <v>0.40623641278663114</v>
      </c>
      <c r="AE60" s="151">
        <f>平成11年度!W60/+平成11年度!AC60</f>
        <v>0.28683381836667154</v>
      </c>
      <c r="AF60" s="150">
        <f>平成11年度!Z60/+平成11年度!W60</f>
        <v>0.14925124594102743</v>
      </c>
      <c r="AG60" s="154"/>
      <c r="AH60" s="155"/>
      <c r="AI60" s="15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ROUND(+平成11年度!K60/平成11年度!J60,4)</f>
        <v>0.99850000000000005</v>
      </c>
      <c r="L61" s="36">
        <f>ROUND(+平成11年度!L60/平成11年度!K60,4)</f>
        <v>1.0005999999999999</v>
      </c>
      <c r="M61" s="36">
        <f>ROUND(+平成11年度!M60/平成11年度!L60,4)</f>
        <v>1.0077</v>
      </c>
      <c r="N61" s="36">
        <f>ROUND(+平成11年度!N60/平成11年度!M60,4)</f>
        <v>1.0170999999999999</v>
      </c>
      <c r="O61" s="36">
        <f>ROUND(+平成11年度!O60/平成11年度!N60,4)</f>
        <v>1.0059</v>
      </c>
      <c r="P61" s="36">
        <f>ROUND(+平成11年度!P60/平成11年度!O60,4)</f>
        <v>1.0092000000000001</v>
      </c>
      <c r="Q61" s="36"/>
      <c r="R61" s="36"/>
      <c r="S61" s="36"/>
      <c r="T61" s="1"/>
      <c r="U61" s="1"/>
      <c r="V61" s="1"/>
      <c r="W61" s="117"/>
      <c r="X61" s="142" t="s">
        <v>1263</v>
      </c>
      <c r="Y61" s="143"/>
      <c r="Z61" s="144"/>
      <c r="AA61" s="144">
        <f>平成11年度!M15</f>
        <v>8929</v>
      </c>
      <c r="AB61" s="144"/>
      <c r="AC61" s="145"/>
      <c r="AD61" s="146" t="s">
        <v>1264</v>
      </c>
      <c r="AE61" s="144" t="s">
        <v>1265</v>
      </c>
      <c r="AF61" s="144" t="s">
        <v>1266</v>
      </c>
      <c r="AG61" s="147"/>
      <c r="AH61" s="147"/>
      <c r="AI61" s="148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 t="s">
        <v>1267</v>
      </c>
      <c r="B62" s="1"/>
      <c r="C62" s="1" t="s">
        <v>1268</v>
      </c>
      <c r="D62" s="1" t="s">
        <v>1269</v>
      </c>
      <c r="E62" s="1" t="s">
        <v>1270</v>
      </c>
      <c r="F62" s="1" t="s">
        <v>1271</v>
      </c>
      <c r="G62" s="1" t="s">
        <v>1272</v>
      </c>
      <c r="H62" s="1" t="s">
        <v>1273</v>
      </c>
      <c r="I62" s="1" t="s">
        <v>1274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>
        <v>81903</v>
      </c>
      <c r="P62" s="1">
        <v>83699</v>
      </c>
      <c r="Q62" s="1"/>
      <c r="R62" s="1"/>
      <c r="S62" s="1"/>
      <c r="T62" s="1"/>
      <c r="U62" s="1" t="s">
        <v>1275</v>
      </c>
      <c r="V62" s="1">
        <f>平成11年度!C15</f>
        <v>43054</v>
      </c>
      <c r="W62" s="117">
        <f>平成11年度!H15</f>
        <v>84171</v>
      </c>
      <c r="X62" s="134">
        <f>平成11年度!W62-平成11年度!Y62-平成11年度!Z62</f>
        <v>50870</v>
      </c>
      <c r="Y62" s="150">
        <f>平成11年度!K15</f>
        <v>20762</v>
      </c>
      <c r="Z62" s="151">
        <f>平成11年度!AA61+平成11年度!AA62</f>
        <v>12539</v>
      </c>
      <c r="AA62" s="151">
        <f>平成11年度!N15</f>
        <v>3610</v>
      </c>
      <c r="AB62" s="151">
        <f>平成11年度!O15</f>
        <v>105972</v>
      </c>
      <c r="AC62" s="152">
        <f>平成11年度!P15</f>
        <v>293233</v>
      </c>
      <c r="AD62" s="153">
        <f>平成11年度!V62/+平成11年度!AB62</f>
        <v>0.40627712980787378</v>
      </c>
      <c r="AE62" s="151">
        <f>平成11年度!W62/+平成11年度!AC62</f>
        <v>0.2870447732690386</v>
      </c>
      <c r="AF62" s="150">
        <f>平成11年度!Z62/+平成11年度!W62</f>
        <v>0.14897054805099144</v>
      </c>
      <c r="AG62" s="154"/>
      <c r="AH62" s="155"/>
      <c r="AI62" s="15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ROUND(+平成11年度!K62/平成11年度!J62,4)</f>
        <v>1.0068999999999999</v>
      </c>
      <c r="L63" s="36">
        <f>ROUND(+平成11年度!L62/平成11年度!K62,4)</f>
        <v>1.0145</v>
      </c>
      <c r="M63" s="36">
        <f>ROUND(+平成11年度!M62/平成11年度!L62,4)</f>
        <v>1.0133000000000001</v>
      </c>
      <c r="N63" s="36">
        <f>ROUND(+平成11年度!N62/平成11年度!M62,4)</f>
        <v>1.0256000000000001</v>
      </c>
      <c r="O63" s="36">
        <f>ROUND(+平成11年度!O62/平成11年度!N62,4)</f>
        <v>1.0128999999999999</v>
      </c>
      <c r="P63" s="36">
        <f>ROUND(+平成11年度!P62/平成11年度!O62,4)</f>
        <v>1.0219</v>
      </c>
      <c r="Q63" s="36"/>
      <c r="R63" s="36"/>
      <c r="S63" s="36"/>
      <c r="T63" s="1"/>
      <c r="U63" s="1"/>
      <c r="V63" s="1" t="s">
        <v>1276</v>
      </c>
      <c r="W63" s="117"/>
      <c r="X63" s="142" t="s">
        <v>1277</v>
      </c>
      <c r="Y63" s="143"/>
      <c r="Z63" s="144"/>
      <c r="AA63" s="144">
        <f>平成11年度!M16</f>
        <v>8956</v>
      </c>
      <c r="AB63" s="144"/>
      <c r="AC63" s="157"/>
      <c r="AD63" s="146" t="s">
        <v>1278</v>
      </c>
      <c r="AE63" s="144" t="s">
        <v>1279</v>
      </c>
      <c r="AF63" s="143" t="s">
        <v>1280</v>
      </c>
      <c r="AG63" s="158"/>
      <c r="AH63" s="147"/>
      <c r="AI63" s="15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 t="s">
        <v>1281</v>
      </c>
      <c r="C64" s="1" t="e">
        <f>ROUND(SUM(+平成6年度!O8:O12)/5,0)</f>
        <v>#VALUE!</v>
      </c>
      <c r="D64" s="1" t="e">
        <f>ROUND(SUM(+平成7年度!O8:O12)/5,0)</f>
        <v>#VALUE!</v>
      </c>
      <c r="E64" s="1" t="e">
        <f>ROUND(SUM(+平成８年度!O8:O12)/5,0)</f>
        <v>#VALUE!</v>
      </c>
      <c r="F64" s="120" t="e">
        <f>ROUND(SUM(+平成９年度!O8:O12)/5,0)</f>
        <v>#VALUE!</v>
      </c>
      <c r="G64" s="120" t="e">
        <f>ROUND(SUM(+平成10年度!O8:O12)/5,0)</f>
        <v>#VALUE!</v>
      </c>
      <c r="H64" s="1" t="e">
        <f>ROUND(SUM(+平成11年度!O8:O12)/5,0)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1282</v>
      </c>
      <c r="V64" s="1">
        <f>平成11年度!C16</f>
        <v>43204</v>
      </c>
      <c r="W64" s="117">
        <f>平成11年度!H16</f>
        <v>84395</v>
      </c>
      <c r="X64" s="134">
        <f>平成11年度!W64-平成11年度!Y64-平成11年度!Z64</f>
        <v>50905</v>
      </c>
      <c r="Y64" s="150">
        <f>平成11年度!K16</f>
        <v>20897</v>
      </c>
      <c r="Z64" s="151">
        <f>平成11年度!AA63+平成11年度!AA64</f>
        <v>12593</v>
      </c>
      <c r="AA64" s="151">
        <f>平成11年度!N16</f>
        <v>3637</v>
      </c>
      <c r="AB64" s="151">
        <f>平成11年度!O16</f>
        <v>106043</v>
      </c>
      <c r="AC64" s="152">
        <f>平成11年度!P16</f>
        <v>293316</v>
      </c>
      <c r="AD64" s="153">
        <f>平成11年度!V64/+平成11年度!AB64</f>
        <v>0.40741963165885536</v>
      </c>
      <c r="AE64" s="151">
        <f>平成11年度!W64/+平成11年度!AC64</f>
        <v>0.28772722933627898</v>
      </c>
      <c r="AF64" s="150">
        <f>平成11年度!Z64/+平成11年度!W64</f>
        <v>0.14921500088867823</v>
      </c>
      <c r="AG64" s="154"/>
      <c r="AH64" s="155"/>
      <c r="AI64" s="15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 t="s">
        <v>1283</v>
      </c>
      <c r="C65" s="121"/>
      <c r="D65" s="122" t="e">
        <f>平成11年度!D64/平成11年度!C64</f>
        <v>#VALUE!</v>
      </c>
      <c r="E65" s="122" t="e">
        <f>平成11年度!E64/平成11年度!D64</f>
        <v>#VALUE!</v>
      </c>
      <c r="F65" s="123" t="e">
        <f>ROUND(+平成11年度!F64/平成11年度!E64,4)</f>
        <v>#VALUE!</v>
      </c>
      <c r="G65" s="123" t="e">
        <f>ROUND(+平成11年度!G64/平成11年度!F64,4)</f>
        <v>#VALUE!</v>
      </c>
      <c r="H65" s="123" t="e">
        <f>ROUND(+平成11年度!H64/平成11年度!G64,4)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 t="s">
        <v>1284</v>
      </c>
      <c r="W65" s="117"/>
      <c r="X65" s="142" t="s">
        <v>1285</v>
      </c>
      <c r="Y65" s="143"/>
      <c r="Z65" s="144"/>
      <c r="AA65" s="144">
        <f>平成11年度!M17</f>
        <v>8926</v>
      </c>
      <c r="AB65" s="144"/>
      <c r="AC65" s="157"/>
      <c r="AD65" s="146" t="s">
        <v>1286</v>
      </c>
      <c r="AE65" s="144" t="s">
        <v>1287</v>
      </c>
      <c r="AF65" s="143" t="s">
        <v>1288</v>
      </c>
      <c r="AG65" s="158"/>
      <c r="AH65" s="147"/>
      <c r="AI65" s="15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 t="s">
        <v>1289</v>
      </c>
      <c r="C66" s="1">
        <f>平成6年度!O21</f>
        <v>97801.75</v>
      </c>
      <c r="D66" s="1">
        <f>平成7年度!O21</f>
        <v>99576.333333333328</v>
      </c>
      <c r="E66" s="1">
        <f>平成８年度!O21</f>
        <v>101328.25</v>
      </c>
      <c r="F66" s="126" t="e">
        <f>平成９年度!O21</f>
        <v>#VALUE!</v>
      </c>
      <c r="G66" s="126" t="e">
        <f>平成10年度!O21</f>
        <v>#VALUE!</v>
      </c>
      <c r="H66" s="126" t="s">
        <v>1290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1291</v>
      </c>
      <c r="V66" s="1">
        <f>平成11年度!C17</f>
        <v>43427</v>
      </c>
      <c r="W66" s="117">
        <f>平成11年度!H17</f>
        <v>84788</v>
      </c>
      <c r="X66" s="134">
        <f>平成11年度!W66-平成11年度!Y66-平成11年度!Z66</f>
        <v>51196</v>
      </c>
      <c r="Y66" s="150">
        <f>平成11年度!K17</f>
        <v>21034</v>
      </c>
      <c r="Z66" s="151">
        <f>平成11年度!AA65+平成11年度!AA66</f>
        <v>12558</v>
      </c>
      <c r="AA66" s="151">
        <f>平成11年度!N17</f>
        <v>3632</v>
      </c>
      <c r="AB66" s="151">
        <f>平成11年度!O17</f>
        <v>106189</v>
      </c>
      <c r="AC66" s="152">
        <f>平成11年度!P17</f>
        <v>293446</v>
      </c>
      <c r="AD66" s="153">
        <f>平成11年度!V66/+平成11年度!AB66</f>
        <v>0.40895949674636733</v>
      </c>
      <c r="AE66" s="151">
        <f>平成11年度!W66/+平成11年度!AC66</f>
        <v>0.28893902114869519</v>
      </c>
      <c r="AF66" s="150">
        <f>平成11年度!Z66/+平成11年度!W66</f>
        <v>0.14811058168608765</v>
      </c>
      <c r="AG66" s="154"/>
      <c r="AH66" s="155"/>
      <c r="AI66" s="15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 t="s">
        <v>1292</v>
      </c>
      <c r="C67" s="122" t="e">
        <f>平成11年度!C66/平成11年度!C64</f>
        <v>#VALUE!</v>
      </c>
      <c r="D67" s="122" t="e">
        <f>平成11年度!D66/平成11年度!D64</f>
        <v>#VALUE!</v>
      </c>
      <c r="E67" s="122" t="e">
        <f>平成11年度!E66/平成11年度!E64</f>
        <v>#VALUE!</v>
      </c>
      <c r="F67" s="122" t="e">
        <f>ROUND(+平成11年度!F66/平成11年度!F64,4)</f>
        <v>#VALUE!</v>
      </c>
      <c r="G67" s="122" t="e">
        <f>ROUND((+平成11年度!E67+平成11年度!F67)/2,4)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 t="s">
        <v>1293</v>
      </c>
      <c r="W67" s="117" t="s">
        <v>1294</v>
      </c>
      <c r="X67" s="142" t="s">
        <v>1295</v>
      </c>
      <c r="Y67" s="143"/>
      <c r="Z67" s="144"/>
      <c r="AA67" s="144">
        <f>平成11年度!M18</f>
        <v>8906</v>
      </c>
      <c r="AB67" s="144"/>
      <c r="AC67" s="157"/>
      <c r="AD67" s="146" t="s">
        <v>1296</v>
      </c>
      <c r="AE67" s="144" t="s">
        <v>1297</v>
      </c>
      <c r="AF67" s="143" t="s">
        <v>1298</v>
      </c>
      <c r="AG67" s="158"/>
      <c r="AH67" s="147"/>
      <c r="AI67" s="15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 t="s">
        <v>1299</v>
      </c>
      <c r="C68" s="121"/>
      <c r="D68" s="122">
        <f>平成11年度!D66/平成11年度!C66</f>
        <v>1.0181446991831264</v>
      </c>
      <c r="E68" s="122">
        <f>平成11年度!E66/平成11年度!D66</f>
        <v>1.0175937053315882</v>
      </c>
      <c r="F68" s="122" t="e">
        <f>ROUND(+平成11年度!F66/平成11年度!E66,4)</f>
        <v>#VALUE!</v>
      </c>
      <c r="G68" s="122" t="e">
        <f>ROUND(+平成11年度!G66/平成11年度!F66,4)</f>
        <v>#VALUE!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1300</v>
      </c>
      <c r="V68" s="1">
        <f>平成11年度!C18</f>
        <v>43435</v>
      </c>
      <c r="W68" s="117">
        <f>平成11年度!H18</f>
        <v>84828</v>
      </c>
      <c r="X68" s="134">
        <f>平成11年度!W68-平成11年度!Y68-平成11年度!Z68</f>
        <v>51101</v>
      </c>
      <c r="Y68" s="150">
        <f>平成11年度!K18</f>
        <v>21192</v>
      </c>
      <c r="Z68" s="151">
        <f>平成11年度!AA67+平成11年度!AA68</f>
        <v>12535</v>
      </c>
      <c r="AA68" s="151">
        <f>平成11年度!N18</f>
        <v>3629</v>
      </c>
      <c r="AB68" s="151">
        <f>平成11年度!O18</f>
        <v>106143</v>
      </c>
      <c r="AC68" s="152">
        <f>平成11年度!P18</f>
        <v>293359</v>
      </c>
      <c r="AD68" s="153">
        <f>平成11年度!V68/+平成11年度!AB68</f>
        <v>0.4092121006566613</v>
      </c>
      <c r="AE68" s="151">
        <f>平成11年度!W68/+平成11年度!AC68</f>
        <v>0.28916106204343484</v>
      </c>
      <c r="AF68" s="150">
        <f>平成11年度!Z68/+平成11年度!W68</f>
        <v>0.1477696043759136</v>
      </c>
      <c r="AG68" s="154"/>
      <c r="AH68" s="155"/>
      <c r="AI68" s="15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 t="s">
        <v>1301</v>
      </c>
      <c r="Y69" s="143"/>
      <c r="Z69" s="144"/>
      <c r="AA69" s="144">
        <f>平成11年度!M19</f>
        <v>9056</v>
      </c>
      <c r="AB69" s="144"/>
      <c r="AC69" s="157"/>
      <c r="AD69" s="146" t="s">
        <v>1302</v>
      </c>
      <c r="AE69" s="144" t="s">
        <v>1303</v>
      </c>
      <c r="AF69" s="143" t="s">
        <v>1304</v>
      </c>
      <c r="AG69" s="158"/>
      <c r="AH69" s="147"/>
      <c r="AI69" s="15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 t="e">
        <f>平成11年度!C67*平成11年度!D64</f>
        <v>#VALUE!</v>
      </c>
      <c r="E70" s="1" t="e">
        <f>平成11年度!D67*平成11年度!E64</f>
        <v>#VALUE!</v>
      </c>
      <c r="F70" s="1" t="e">
        <f>平成11年度!E67*平成11年度!F64</f>
        <v>#VALUE!</v>
      </c>
      <c r="G70" s="1" t="e">
        <f>平成11年度!F67*平成11年度!G64</f>
        <v>#VALUE!</v>
      </c>
      <c r="H70" s="162" t="e">
        <f>IF(+平成11年度!G67*平成11年度!H64&gt;0,ROUNDDOWN(+平成11年度!G67*平成11年度!H64,-2),ROUNDUP(+平成11年度!G67*平成11年度!H64,-2))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1305</v>
      </c>
      <c r="V70" s="1">
        <f>平成11年度!C19</f>
        <v>43579</v>
      </c>
      <c r="W70" s="117">
        <f>平成11年度!H19</f>
        <v>85006</v>
      </c>
      <c r="X70" s="134">
        <f>平成11年度!W70-平成11年度!Y70-平成11年度!Z70</f>
        <v>50943</v>
      </c>
      <c r="Y70" s="150">
        <f>平成11年度!K19</f>
        <v>21312</v>
      </c>
      <c r="Z70" s="151">
        <f>平成11年度!AA69+平成11年度!AA70</f>
        <v>12751</v>
      </c>
      <c r="AA70" s="151">
        <f>平成11年度!N19</f>
        <v>3695</v>
      </c>
      <c r="AB70" s="151">
        <f>平成11年度!O19</f>
        <v>106170</v>
      </c>
      <c r="AC70" s="152">
        <f>平成11年度!P19</f>
        <v>292833</v>
      </c>
      <c r="AD70" s="153">
        <f>平成11年度!V70/+平成11年度!AB70</f>
        <v>0.41046434962795519</v>
      </c>
      <c r="AE70" s="151">
        <f>平成11年度!W70/+平成11年度!AC70</f>
        <v>0.29028832132990473</v>
      </c>
      <c r="AF70" s="150">
        <f>平成11年度!Z70/+平成11年度!W70</f>
        <v>0.15000117638754912</v>
      </c>
      <c r="AG70" s="154"/>
      <c r="AH70" s="155"/>
      <c r="AI70" s="15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1306</v>
      </c>
      <c r="V71" s="1" t="s">
        <v>1307</v>
      </c>
      <c r="W71" s="117" t="s">
        <v>1308</v>
      </c>
      <c r="X71" s="142" t="s">
        <v>1309</v>
      </c>
      <c r="Y71" s="143" t="s">
        <v>1310</v>
      </c>
      <c r="Z71" s="144" t="s">
        <v>1311</v>
      </c>
      <c r="AA71" s="144">
        <f>平成11年度!AA47+平成11年度!AA49+平成11年度!AA51+平成11年度!AA53+平成11年度!AA55+平成11年度!AA57+平成11年度!AA59+平成11年度!AA61+平成11年度!AA63+平成11年度!AA65+平成11年度!AA67+平成11年度!AA69</f>
        <v>106779</v>
      </c>
      <c r="AB71" s="144" t="s">
        <v>1312</v>
      </c>
      <c r="AC71" s="157" t="s">
        <v>1313</v>
      </c>
      <c r="AD71" s="146" t="s">
        <v>1314</v>
      </c>
      <c r="AE71" s="144" t="s">
        <v>1315</v>
      </c>
      <c r="AF71" s="143" t="s">
        <v>1316</v>
      </c>
      <c r="AG71" s="158"/>
      <c r="AH71" s="147"/>
      <c r="AI71" s="15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1317</v>
      </c>
      <c r="V72" s="1">
        <f>SUM(平成11年度!V48:V70)</f>
        <v>514227</v>
      </c>
      <c r="W72" s="117">
        <f>SUM(平成11年度!W48:W70)</f>
        <v>1006175</v>
      </c>
      <c r="X72" s="134">
        <f>SUM(平成11年度!X48:X70)</f>
        <v>609166</v>
      </c>
      <c r="Y72" s="150">
        <f>SUM(平成11年度!Y48:Y70)</f>
        <v>247234</v>
      </c>
      <c r="Z72" s="151">
        <f>SUM(平成11年度!Z48:Z70)</f>
        <v>149775</v>
      </c>
      <c r="AA72" s="151">
        <f>平成11年度!AA48+平成11年度!AA50+平成11年度!AA52+平成11年度!AA54+平成11年度!AA56+平成11年度!AA58+平成11年度!AA60+平成11年度!AA62+平成11年度!AA64+平成11年度!AA66+平成11年度!AA68+平成11年度!AA70</f>
        <v>42996</v>
      </c>
      <c r="AB72" s="151">
        <f>SUM(平成11年度!AB48:AB70)</f>
        <v>1268705</v>
      </c>
      <c r="AC72" s="152">
        <f>SUM(平成11年度!AC48:AC70)</f>
        <v>3515505</v>
      </c>
      <c r="AD72" s="153">
        <f>平成11年度!V72/+平成11年度!AB72</f>
        <v>0.4053164447211921</v>
      </c>
      <c r="AE72" s="150">
        <f>平成11年度!W72/+平成11年度!AC72</f>
        <v>0.28621065821268921</v>
      </c>
      <c r="AF72" s="151">
        <f>平成11年度!Z72/+平成11年度!W72</f>
        <v>0.14885581534027381</v>
      </c>
      <c r="AG72" s="154"/>
      <c r="AH72" s="155"/>
      <c r="AI72" s="15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1318</v>
      </c>
      <c r="V73" s="1" t="s">
        <v>1319</v>
      </c>
      <c r="W73" s="117" t="s">
        <v>1320</v>
      </c>
      <c r="X73" s="142" t="e">
        <f>平成11年度!X74+平成11年度!Y74</f>
        <v>#VALUE!</v>
      </c>
      <c r="Y73" s="143" t="s">
        <v>1321</v>
      </c>
      <c r="Z73" s="144" t="s">
        <v>1322</v>
      </c>
      <c r="AA73" s="144" t="e">
        <f>#VALUE!</f>
        <v>#VALUE!</v>
      </c>
      <c r="AB73" s="144" t="s">
        <v>1323</v>
      </c>
      <c r="AC73" s="157" t="s">
        <v>1324</v>
      </c>
      <c r="AD73" s="146" t="s">
        <v>1325</v>
      </c>
      <c r="AE73" s="144" t="s">
        <v>1326</v>
      </c>
      <c r="AF73" s="143" t="s">
        <v>1327</v>
      </c>
      <c r="AG73" s="158"/>
      <c r="AH73" s="147"/>
      <c r="AI73" s="15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 t="s">
        <v>1328</v>
      </c>
      <c r="D74" s="1" t="s">
        <v>1329</v>
      </c>
      <c r="E74" s="1" t="s">
        <v>1330</v>
      </c>
      <c r="F74" s="1" t="s">
        <v>1331</v>
      </c>
      <c r="G74" s="1" t="s">
        <v>1332</v>
      </c>
      <c r="H74" s="1" t="s">
        <v>1333</v>
      </c>
      <c r="I74" s="1" t="s">
        <v>1334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1335</v>
      </c>
      <c r="V74" s="1" t="e">
        <f>#VALUE!</f>
        <v>#VALUE!</v>
      </c>
      <c r="W74" s="117" t="e">
        <f>#VALUE!</f>
        <v>#VALUE!</v>
      </c>
      <c r="X74" s="164" t="e">
        <f>#VALUE!</f>
        <v>#VALUE!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平成11年度!V74/+平成11年度!AB74</f>
        <v>#VALUE!</v>
      </c>
      <c r="AE74" s="165" t="e">
        <f>平成11年度!W74/+平成11年度!AC74</f>
        <v>#VALUE!</v>
      </c>
      <c r="AF74" s="166" t="e">
        <f>平成11年度!Z74/+平成11年度!W74</f>
        <v>#VALUE!</v>
      </c>
      <c r="AG74" s="169"/>
      <c r="AH74" s="170"/>
      <c r="AI74" s="17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 t="s">
        <v>1336</v>
      </c>
      <c r="B75" s="1">
        <v>1</v>
      </c>
      <c r="C75" s="1">
        <f>平成5年度!H19</f>
        <v>73674</v>
      </c>
      <c r="D75" s="1">
        <f>平成6年度!H19</f>
        <v>73958</v>
      </c>
      <c r="E75" s="1">
        <f>平成7年度!H19</f>
        <v>75303</v>
      </c>
      <c r="F75" s="1">
        <f>平成８年度!H19</f>
        <v>76694</v>
      </c>
      <c r="G75" s="1">
        <f>平成９年度!H19</f>
        <v>78843</v>
      </c>
      <c r="H75" s="1">
        <f>平成10年度!H19</f>
        <v>81903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 t="s">
        <v>1337</v>
      </c>
      <c r="U75" s="1" t="s">
        <v>1338</v>
      </c>
      <c r="V75" s="1"/>
      <c r="W75" s="172"/>
      <c r="X75" s="127"/>
      <c r="Y75" s="173"/>
      <c r="Z75" s="174"/>
      <c r="AA75" s="174" t="e">
        <f>平成11年度!M2+平成11年度!AA47+平成11年度!AA49+平成11年度!AA51+平成11年度!AA53+平成11年度!AA55+平成11年度!AA57+平成11年度!AA59+平成11年度!AA61+平成11年度!AA63</f>
        <v>#VALUE!</v>
      </c>
      <c r="AB75" s="174"/>
      <c r="AC75" s="175"/>
      <c r="AD75" s="176"/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 t="s">
        <v>1339</v>
      </c>
      <c r="B76" s="1">
        <v>2</v>
      </c>
      <c r="C76" s="1">
        <f>平成11年度!C75+平成11年度!C77</f>
        <v>442128</v>
      </c>
      <c r="D76" s="1">
        <f>平成11年度!D75+平成11年度!D77</f>
        <v>445299</v>
      </c>
      <c r="E76" s="1">
        <f>平成11年度!E75+平成11年度!E77</f>
        <v>454413</v>
      </c>
      <c r="F76" s="1">
        <f>平成11年度!F75+平成11年度!F77</f>
        <v>463287</v>
      </c>
      <c r="G76" s="1">
        <f>平成11年度!G75+平成11年度!G77</f>
        <v>478663</v>
      </c>
      <c r="H76" s="1">
        <f>平成11年度!H75+平成11年度!H77</f>
        <v>497118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 t="s">
        <v>1340</v>
      </c>
      <c r="U76" s="1" t="s">
        <v>1341</v>
      </c>
      <c r="V76" s="1">
        <f>平成11年度!C2+SUM(平成11年度!V48:V64)</f>
        <v>508380</v>
      </c>
      <c r="W76" s="180">
        <f>平成11年度!H2+SUM(平成11年度!W48:W64)</f>
        <v>996772</v>
      </c>
      <c r="X76" s="134">
        <f>平成11年度!J2+SUM(平成11年度!X48:X64)</f>
        <v>606646</v>
      </c>
      <c r="Y76" s="181">
        <f>平成11年度!K2+SUM(平成11年度!Y48:Y64)</f>
        <v>242606</v>
      </c>
      <c r="Z76" s="182">
        <f>平成11年度!L2+SUM(平成11年度!Z48:Z64)</f>
        <v>147520</v>
      </c>
      <c r="AA76" s="182">
        <f>平成11年度!N2+平成11年度!AA48+平成11年度!AA50+平成11年度!AA52+平成11年度!AA54+平成11年度!AA56+平成11年度!AA58+平成11年度!AA60+平成11年度!AA62+平成11年度!AA64</f>
        <v>42060</v>
      </c>
      <c r="AB76" s="182">
        <f>平成11年度!O2+SUM(平成11年度!AB48:AB64)</f>
        <v>1264032</v>
      </c>
      <c r="AC76" s="183">
        <f>平成11年度!P2+SUM(平成11年度!AC48:AC64)</f>
        <v>3512879</v>
      </c>
      <c r="AD76" s="184">
        <f>平成11年度!V76/+平成11年度!AB76</f>
        <v>0.40218918508392193</v>
      </c>
      <c r="AE76" s="181">
        <f>平成11年度!W76/+平成11年度!AC76</f>
        <v>0.28374788883989455</v>
      </c>
      <c r="AF76" s="182">
        <f>平成11年度!Z76/+平成11年度!W76</f>
        <v>0.14799773669404839</v>
      </c>
      <c r="AG76" s="185"/>
      <c r="AH76" s="186"/>
      <c r="AI76" s="187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 t="s">
        <v>1342</v>
      </c>
      <c r="B77" s="1">
        <v>3</v>
      </c>
      <c r="C77" s="1">
        <f>平成6年度!H27</f>
        <v>368454</v>
      </c>
      <c r="D77" s="1">
        <f>平成7年度!H27</f>
        <v>371341</v>
      </c>
      <c r="E77" s="1">
        <f>平成８年度!H27</f>
        <v>379110</v>
      </c>
      <c r="F77" s="1">
        <f>平成９年度!H27</f>
        <v>386593</v>
      </c>
      <c r="G77" s="1">
        <f>平成10年度!H27</f>
        <v>399820</v>
      </c>
      <c r="H77" s="1">
        <f>平成11年度!H27</f>
        <v>415215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 t="s">
        <v>1343</v>
      </c>
      <c r="U77" s="1" t="s">
        <v>1344</v>
      </c>
      <c r="V77" s="1"/>
      <c r="W77" s="188"/>
      <c r="X77" s="142" t="e">
        <f>平成11年度!X78+平成11年度!Y78</f>
        <v>#VALUE!</v>
      </c>
      <c r="Y77" s="189"/>
      <c r="Z77" s="190"/>
      <c r="AA77" s="190" t="e">
        <f>#VALUE!</f>
        <v>#VALUE!</v>
      </c>
      <c r="AB77" s="190"/>
      <c r="AC77" s="191"/>
      <c r="AD77" s="192"/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 t="s">
        <v>1345</v>
      </c>
      <c r="B78" s="1">
        <v>4</v>
      </c>
      <c r="C78" s="1">
        <f>平成6年度!H20</f>
        <v>885784</v>
      </c>
      <c r="D78" s="1">
        <f>平成7年度!H20</f>
        <v>896157</v>
      </c>
      <c r="E78" s="1">
        <f>平成８年度!H20</f>
        <v>914620</v>
      </c>
      <c r="F78" s="1">
        <f>平成９年度!H20</f>
        <v>934976</v>
      </c>
      <c r="G78" s="1">
        <f>平成10年度!H20</f>
        <v>969433</v>
      </c>
      <c r="H78" s="1">
        <f>平成11年度!H20</f>
        <v>1006175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1346</v>
      </c>
      <c r="V78" s="1" t="e">
        <f>#VALUE!</f>
        <v>#VALUE!</v>
      </c>
      <c r="W78" s="196" t="e">
        <f>#VALUE!</f>
        <v>#VALUE!</v>
      </c>
      <c r="X78" s="164" t="e">
        <f>#VALUE!</f>
        <v>#VALUE!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平成11年度!V78/+平成11年度!AB78</f>
        <v>#VALUE!</v>
      </c>
      <c r="AE78" s="197" t="e">
        <f>平成11年度!W78/+平成11年度!AC78</f>
        <v>#VALUE!</v>
      </c>
      <c r="AF78" s="198" t="e">
        <f>平成11年度!Z78/+平成11年度!W78</f>
        <v>#VALUE!</v>
      </c>
      <c r="AG78" s="201"/>
      <c r="AH78" s="202"/>
      <c r="AI78" s="203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>
        <f>平成6年度!H21</f>
        <v>73815.333333333328</v>
      </c>
      <c r="D79" s="1">
        <f>平成7年度!H21</f>
        <v>74679.75</v>
      </c>
      <c r="E79" s="1">
        <f>平成８年度!H21</f>
        <v>76218.333333333328</v>
      </c>
      <c r="F79" s="1" t="e">
        <f>平成９年度!H21</f>
        <v>#VALUE!</v>
      </c>
      <c r="G79" s="1" t="e">
        <f>平成10年度!H21</f>
        <v>#VALUE!</v>
      </c>
      <c r="H79" s="1">
        <f>平成11年度!H21</f>
        <v>83847.916666666672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 t="s">
        <v>1347</v>
      </c>
      <c r="B80" s="1"/>
      <c r="C80" s="204">
        <f>ROUND(+平成11年度!C78/平成11年度!C76,8)</f>
        <v>2.0034560099999998</v>
      </c>
      <c r="D80" s="204">
        <f>ROUND(+平成11年度!D78/平成11年度!D76,8)</f>
        <v>2.0124837499999999</v>
      </c>
      <c r="E80" s="204">
        <f>ROUND(+平成11年度!E78/平成11年度!E76,8)</f>
        <v>2.01275052</v>
      </c>
      <c r="F80" s="204">
        <f>ROUND(+平成11年度!F78/平成11年度!F76,8)</f>
        <v>2.0181356300000002</v>
      </c>
      <c r="G80" s="204">
        <f>ROUND(+平成11年度!G78/平成11年度!G76,8)</f>
        <v>2.02529337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 t="s">
        <v>1348</v>
      </c>
      <c r="B81" s="1"/>
      <c r="C81" s="204">
        <f>ROUND(+平成11年度!C78/平成11年度!C77,8)</f>
        <v>2.4040558700000001</v>
      </c>
      <c r="D81" s="204">
        <f>ROUND(+平成11年度!D78/平成11年度!D77,8)</f>
        <v>2.4132993699999998</v>
      </c>
      <c r="E81" s="204">
        <f>ROUND(+平成11年度!E78/平成11年度!E77,8)</f>
        <v>2.41254517</v>
      </c>
      <c r="F81" s="204">
        <f>ROUND(+平成11年度!F78/平成11年度!F77,8)</f>
        <v>2.4185021500000001</v>
      </c>
      <c r="G81" s="204">
        <f>ROUND(+平成11年度!G78/平成11年度!G77,8)</f>
        <v>2.4246736000000002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 t="s">
        <v>1349</v>
      </c>
      <c r="B82" s="1"/>
      <c r="C82" s="1"/>
      <c r="D82" s="204">
        <f>ROUND(+平成11年度!D78/平成11年度!C78,8)</f>
        <v>1.01171053</v>
      </c>
      <c r="E82" s="204">
        <f>ROUND(+平成11年度!E78/平成11年度!D78,8)</f>
        <v>1.0206024199999999</v>
      </c>
      <c r="F82" s="204">
        <f>ROUND(+平成11年度!F78/平成11年度!E78,8)</f>
        <v>1.0222562399999999</v>
      </c>
      <c r="G82" s="204">
        <f>ROUND(+平成11年度!G78/平成11年度!F78,8)</f>
        <v>1.0368533499999999</v>
      </c>
      <c r="H82" s="204" t="s">
        <v>1350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 t="s">
        <v>1351</v>
      </c>
      <c r="B83" s="1"/>
      <c r="C83" s="1"/>
      <c r="D83" s="1"/>
      <c r="E83" s="1">
        <f>(+平成11年度!C81+平成11年度!D81)/2*平成11年度!E77/12</f>
        <v>76096.147709849989</v>
      </c>
      <c r="F83" s="1">
        <f>(+平成11年度!D81+平成11年度!E81)/2*平成11年度!F77/12</f>
        <v>77734.904927175841</v>
      </c>
      <c r="G83" s="1">
        <f>(+平成11年度!E81+平成11年度!F81)/2*平成11年度!G77/12</f>
        <v>80481.222478433323</v>
      </c>
      <c r="H83" s="1">
        <f>(+平成11年度!F81+平成11年度!G81)/2*平成11年度!H77/12</f>
        <v>83789.967459843756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>
        <f>(+平成11年度!D82+平成11年度!E82)/2*平成11年度!E79</f>
        <v>77449.752930374976</v>
      </c>
      <c r="G86" s="1" t="e">
        <f>(+平成11年度!E82+平成11年度!F82)/2*平成11年度!F79</f>
        <v>#VALUE!</v>
      </c>
      <c r="H86" s="1" t="e">
        <f>(+平成11年度!F82+平成11年度!G82)/2*平成11年度!G79</f>
        <v>#VALUE!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G86"/>
  <sheetViews>
    <sheetView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 activeCell="A2" sqref="A2"/>
    </sheetView>
  </sheetViews>
  <sheetFormatPr defaultColWidth="10" defaultRowHeight="14" x14ac:dyDescent="0.2"/>
  <cols>
    <col min="1" max="1" width="10" style="205" customWidth="1"/>
    <col min="2" max="5" width="8" style="205" customWidth="1"/>
    <col min="6" max="7" width="7" style="205" customWidth="1"/>
    <col min="8" max="8" width="10.08203125" style="205" customWidth="1"/>
    <col min="9" max="9" width="9" style="205" customWidth="1"/>
    <col min="10" max="17" width="8" style="205" customWidth="1"/>
    <col min="18" max="18" width="10.33203125" style="205" customWidth="1"/>
    <col min="19" max="19" width="10.83203125" style="205" customWidth="1"/>
    <col min="20" max="21" width="10" style="205" customWidth="1"/>
    <col min="22" max="22" width="9" style="205" customWidth="1"/>
    <col min="23" max="24" width="5" style="205" customWidth="1"/>
    <col min="25" max="30" width="8" style="205" customWidth="1"/>
    <col min="31" max="32" width="11" style="205" customWidth="1"/>
    <col min="33" max="35" width="8" style="205" customWidth="1"/>
    <col min="36" max="16384" width="10" style="205"/>
  </cols>
  <sheetData>
    <row r="1" spans="1:85" ht="20.149999999999999" customHeight="1" x14ac:dyDescent="0.2">
      <c r="A1" s="1"/>
      <c r="B1" s="1" t="s">
        <v>1352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1353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ht="20.149999999999999" customHeight="1" x14ac:dyDescent="0.2">
      <c r="A2" s="2" t="s">
        <v>1354</v>
      </c>
      <c r="B2" s="1"/>
      <c r="C2" s="205">
        <f>SUM(平成11年度!C17:C19)</f>
        <v>130441</v>
      </c>
      <c r="D2" s="205">
        <f>SUM(平成11年度!D17:D19)</f>
        <v>112771</v>
      </c>
      <c r="E2" s="205">
        <f>SUM(平成11年度!E17:E19)</f>
        <v>106775</v>
      </c>
      <c r="F2" s="205">
        <f>SUM(平成11年度!F17:F19)</f>
        <v>5996</v>
      </c>
      <c r="G2" s="205">
        <f>SUM(平成11年度!G17:G19)</f>
        <v>17670</v>
      </c>
      <c r="H2" s="205">
        <f>SUM(平成11年度!H17:H19)</f>
        <v>254622</v>
      </c>
      <c r="I2" s="205">
        <f>SUM(平成11年度!I17:I19)</f>
        <v>216778</v>
      </c>
      <c r="J2" s="205">
        <f>SUM(平成11年度!J17:J19)</f>
        <v>153240</v>
      </c>
      <c r="K2" s="205">
        <f>SUM(平成11年度!K17:K19)</f>
        <v>63538</v>
      </c>
      <c r="L2" s="205">
        <f>SUM(平成11年度!L17:L19)</f>
        <v>37844</v>
      </c>
      <c r="M2" s="205">
        <f>SUM(平成11年度!M17:M19)</f>
        <v>26888</v>
      </c>
      <c r="N2" s="205">
        <f>SUM(平成11年度!N17:N19)</f>
        <v>10956</v>
      </c>
      <c r="O2" s="1"/>
      <c r="P2" s="1"/>
      <c r="Q2" s="1"/>
      <c r="R2" s="205">
        <f>SUM(平成11年度!O17:O19)</f>
        <v>318502</v>
      </c>
      <c r="S2" s="205">
        <f>SUM(平成11年度!P17:P19)</f>
        <v>879638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0.149999999999999" customHeight="1" x14ac:dyDescent="0.2">
      <c r="A3" s="2" t="s">
        <v>1355</v>
      </c>
      <c r="B3" s="3"/>
      <c r="C3" s="3" t="s">
        <v>1356</v>
      </c>
      <c r="D3" s="3"/>
      <c r="E3" s="3" t="s">
        <v>1357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5" t="s">
        <v>1358</v>
      </c>
      <c r="AL3" s="6" t="s">
        <v>1359</v>
      </c>
      <c r="AM3" s="7" t="s">
        <v>1360</v>
      </c>
      <c r="AN3" s="7" t="s">
        <v>1361</v>
      </c>
      <c r="AO3" s="7" t="s">
        <v>1362</v>
      </c>
      <c r="AP3" s="8" t="s">
        <v>1363</v>
      </c>
      <c r="AQ3" s="1" t="s">
        <v>1364</v>
      </c>
      <c r="AR3" s="1" t="s">
        <v>1365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20.149999999999999" customHeight="1" x14ac:dyDescent="0.2">
      <c r="A4" s="2" t="s">
        <v>1366</v>
      </c>
      <c r="B4" s="9" t="s">
        <v>1367</v>
      </c>
      <c r="C4" s="10" t="s">
        <v>1368</v>
      </c>
      <c r="D4" s="11"/>
      <c r="E4" s="11"/>
      <c r="F4" s="11"/>
      <c r="G4" s="12"/>
      <c r="H4" s="10" t="s">
        <v>1369</v>
      </c>
      <c r="I4" s="11"/>
      <c r="J4" s="11"/>
      <c r="K4" s="11"/>
      <c r="L4" s="11"/>
      <c r="M4" s="11"/>
      <c r="N4" s="11"/>
      <c r="O4" s="10" t="s">
        <v>1370</v>
      </c>
      <c r="P4" s="11"/>
      <c r="Q4" s="12"/>
      <c r="R4" s="13" t="s">
        <v>1371</v>
      </c>
      <c r="S4" s="14" t="s">
        <v>1372</v>
      </c>
      <c r="T4" s="15" t="s">
        <v>1373</v>
      </c>
      <c r="U4" s="15" t="s">
        <v>1374</v>
      </c>
      <c r="V4" s="16" t="s">
        <v>1375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7" t="s">
        <v>1376</v>
      </c>
      <c r="AK4" s="18">
        <f>平成6年度!H21</f>
        <v>73815.333333333328</v>
      </c>
      <c r="AL4" s="19">
        <f>平成6年度!C21</f>
        <v>35722.5</v>
      </c>
      <c r="AM4" s="20">
        <f>平成6年度!P21</f>
        <v>286905.41666666669</v>
      </c>
      <c r="AN4" s="20">
        <f>平成6年度!O21</f>
        <v>97801.75</v>
      </c>
      <c r="AO4" s="21">
        <f>ROUND(+平成12年度!AK4/平成12年度!AM4,4)</f>
        <v>0.25729999999999997</v>
      </c>
      <c r="AP4" s="22">
        <f>ROUND(+平成12年度!AL4/平成12年度!AN4,4)</f>
        <v>0.36530000000000001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20.149999999999999" customHeight="1" x14ac:dyDescent="0.2">
      <c r="A5" s="2" t="s">
        <v>1377</v>
      </c>
      <c r="B5" s="23"/>
      <c r="C5" s="24" t="s">
        <v>1378</v>
      </c>
      <c r="D5" s="25" t="s">
        <v>1379</v>
      </c>
      <c r="E5" s="26" t="s">
        <v>1380</v>
      </c>
      <c r="F5" s="26" t="s">
        <v>1381</v>
      </c>
      <c r="G5" s="27" t="s">
        <v>1382</v>
      </c>
      <c r="H5" s="24" t="s">
        <v>1383</v>
      </c>
      <c r="I5" s="25" t="s">
        <v>1384</v>
      </c>
      <c r="J5" s="26" t="s">
        <v>1385</v>
      </c>
      <c r="K5" s="26" t="s">
        <v>1386</v>
      </c>
      <c r="L5" s="26" t="s">
        <v>1387</v>
      </c>
      <c r="M5" s="26" t="s">
        <v>1388</v>
      </c>
      <c r="N5" s="27" t="s">
        <v>1389</v>
      </c>
      <c r="O5" s="24" t="s">
        <v>1390</v>
      </c>
      <c r="P5" s="25" t="s">
        <v>1391</v>
      </c>
      <c r="Q5" s="27" t="s">
        <v>1392</v>
      </c>
      <c r="R5" s="24" t="s">
        <v>1393</v>
      </c>
      <c r="S5" s="25" t="s">
        <v>1394</v>
      </c>
      <c r="T5" s="26" t="s">
        <v>1395</v>
      </c>
      <c r="U5" s="28" t="s">
        <v>1396</v>
      </c>
      <c r="V5" s="29" t="s">
        <v>1397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0" t="s">
        <v>1398</v>
      </c>
      <c r="AK5" s="31">
        <f>平成7年度!H21</f>
        <v>74679.75</v>
      </c>
      <c r="AL5" s="32">
        <f>平成7年度!C21</f>
        <v>36668.25</v>
      </c>
      <c r="AM5" s="33">
        <f>平成7年度!P21</f>
        <v>288695.58333333331</v>
      </c>
      <c r="AN5" s="33">
        <f>平成7年度!O21</f>
        <v>99576.333333333328</v>
      </c>
      <c r="AO5" s="34">
        <f>ROUND(+平成12年度!AK5/平成12年度!AM5,4)</f>
        <v>0.25869999999999999</v>
      </c>
      <c r="AP5" s="35">
        <f>ROUND(+平成12年度!AL5/平成12年度!AN5,4)</f>
        <v>0.36820000000000003</v>
      </c>
      <c r="AQ5" s="36">
        <f>ROUND((+平成12年度!AO5-平成12年度!AO4),4)</f>
        <v>1.4E-3</v>
      </c>
      <c r="AR5" s="36">
        <f>ROUND((+平成12年度!AP5-平成12年度!AP4),4)</f>
        <v>2.8999999999999998E-3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0.149999999999999" customHeight="1" x14ac:dyDescent="0.2">
      <c r="A6" s="2" t="s">
        <v>1399</v>
      </c>
      <c r="B6" s="37"/>
      <c r="C6" s="13" t="s">
        <v>1400</v>
      </c>
      <c r="D6" s="14" t="s">
        <v>1401</v>
      </c>
      <c r="E6" s="15" t="s">
        <v>1402</v>
      </c>
      <c r="F6" s="15" t="s">
        <v>1403</v>
      </c>
      <c r="G6" s="16" t="s">
        <v>1404</v>
      </c>
      <c r="H6" s="38" t="s">
        <v>1405</v>
      </c>
      <c r="I6" s="14" t="s">
        <v>1406</v>
      </c>
      <c r="J6" s="15" t="s">
        <v>1407</v>
      </c>
      <c r="K6" s="15" t="s">
        <v>1408</v>
      </c>
      <c r="L6" s="15" t="s">
        <v>1409</v>
      </c>
      <c r="M6" s="15" t="s">
        <v>1410</v>
      </c>
      <c r="N6" s="16" t="s">
        <v>1411</v>
      </c>
      <c r="O6" s="13" t="s">
        <v>1412</v>
      </c>
      <c r="P6" s="14" t="s">
        <v>1413</v>
      </c>
      <c r="Q6" s="16" t="s">
        <v>1414</v>
      </c>
      <c r="R6" s="39"/>
      <c r="S6" s="40"/>
      <c r="T6" s="41"/>
      <c r="U6" s="4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0" t="s">
        <v>1415</v>
      </c>
      <c r="AK6" s="31">
        <f>平成８年度!H21</f>
        <v>76218.333333333328</v>
      </c>
      <c r="AL6" s="32">
        <f>平成８年度!C21</f>
        <v>37947.583333333336</v>
      </c>
      <c r="AM6" s="33">
        <f>平成８年度!P21</f>
        <v>290091.16666666669</v>
      </c>
      <c r="AN6" s="33">
        <f>平成８年度!O21</f>
        <v>101328.25</v>
      </c>
      <c r="AO6" s="34">
        <f>ROUND(+平成12年度!AK6/平成12年度!AM6,4)</f>
        <v>0.26269999999999999</v>
      </c>
      <c r="AP6" s="35">
        <f>ROUND(+平成12年度!AL6/平成12年度!AN6,4)</f>
        <v>0.3745</v>
      </c>
      <c r="AQ6" s="36">
        <f>ROUND((+平成12年度!AO6-平成12年度!AO5),4)</f>
        <v>4.0000000000000001E-3</v>
      </c>
      <c r="AR6" s="36">
        <f>ROUND((+平成12年度!AP6-平成12年度!AP5),4)</f>
        <v>6.3E-3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0.149999999999999" customHeight="1" x14ac:dyDescent="0.2">
      <c r="A7" s="2"/>
      <c r="B7" s="389"/>
      <c r="C7" s="390"/>
      <c r="D7" s="335"/>
      <c r="E7" s="336"/>
      <c r="F7" s="336"/>
      <c r="G7" s="337"/>
      <c r="H7" s="392"/>
      <c r="I7" s="335"/>
      <c r="J7" s="336"/>
      <c r="K7" s="336"/>
      <c r="L7" s="336"/>
      <c r="M7" s="336"/>
      <c r="N7" s="337"/>
      <c r="O7" s="390"/>
      <c r="P7" s="335"/>
      <c r="Q7" s="337"/>
      <c r="R7" s="339"/>
      <c r="S7" s="340"/>
      <c r="T7" s="341"/>
      <c r="U7" s="341"/>
      <c r="V7" s="3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0"/>
      <c r="AK7" s="31"/>
      <c r="AL7" s="32"/>
      <c r="AM7" s="33"/>
      <c r="AN7" s="33"/>
      <c r="AO7" s="34"/>
      <c r="AP7" s="35"/>
      <c r="AQ7" s="36"/>
      <c r="AR7" s="3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ht="20.149999999999999" customHeight="1" x14ac:dyDescent="0.2">
      <c r="A8" s="2" t="s">
        <v>1416</v>
      </c>
      <c r="B8" s="43" t="s">
        <v>1417</v>
      </c>
      <c r="C8" s="44">
        <v>44010</v>
      </c>
      <c r="D8" s="45">
        <f>平成12年度!E8+平成12年度!F8</f>
        <v>37936</v>
      </c>
      <c r="E8" s="45">
        <f>平成12年度!C8-平成12年度!G8-平成12年度!F8</f>
        <v>35893</v>
      </c>
      <c r="F8" s="46">
        <v>2043</v>
      </c>
      <c r="G8" s="47">
        <v>6074</v>
      </c>
      <c r="H8" s="48">
        <f>平成12年度!I8+平成12年度!L8</f>
        <v>85763</v>
      </c>
      <c r="I8" s="45">
        <f>平成12年度!J8+平成12年度!K8</f>
        <v>72742</v>
      </c>
      <c r="J8" s="46">
        <v>51186</v>
      </c>
      <c r="K8" s="49">
        <v>21556</v>
      </c>
      <c r="L8" s="45">
        <f>平成12年度!M8+平成12年度!N8</f>
        <v>13021</v>
      </c>
      <c r="M8" s="46">
        <v>9216</v>
      </c>
      <c r="N8" s="47">
        <v>3805</v>
      </c>
      <c r="O8" s="44">
        <v>27480</v>
      </c>
      <c r="P8" s="45">
        <f>平成12年度!O8-平成12年度!Q8</f>
        <v>20965</v>
      </c>
      <c r="Q8" s="47">
        <v>6515</v>
      </c>
      <c r="R8" s="44">
        <v>106568</v>
      </c>
      <c r="S8" s="46">
        <v>293169</v>
      </c>
      <c r="T8" s="50">
        <f>平成12年度!C8/平成12年度!R8</f>
        <v>0.41297575257112829</v>
      </c>
      <c r="U8" s="51">
        <f>平成12年度!H8/平成12年度!S8</f>
        <v>0.29253775126292342</v>
      </c>
      <c r="V8" s="52">
        <f>平成12年度!L8/平成12年度!H8</f>
        <v>0.15182537924279702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0" t="s">
        <v>1418</v>
      </c>
      <c r="AK8" s="31" t="e">
        <f>平成９年度!H21</f>
        <v>#VALUE!</v>
      </c>
      <c r="AL8" s="32" t="e">
        <f>平成９年度!C21</f>
        <v>#VALUE!</v>
      </c>
      <c r="AM8" s="33" t="e">
        <f>平成９年度!P21</f>
        <v>#VALUE!</v>
      </c>
      <c r="AN8" s="33" t="e">
        <f>平成９年度!O21</f>
        <v>#VALUE!</v>
      </c>
      <c r="AO8" s="34" t="e">
        <f>ROUND(+平成12年度!AK8/平成12年度!AM8,4)</f>
        <v>#VALUE!</v>
      </c>
      <c r="AP8" s="35" t="e">
        <f>ROUND(+平成12年度!AL8/平成12年度!AN8,4)</f>
        <v>#VALUE!</v>
      </c>
      <c r="AQ8" s="36" t="e">
        <f>ROUND((+平成12年度!AO8-平成12年度!AO6),4)</f>
        <v>#VALUE!</v>
      </c>
      <c r="AR8" s="36" t="e">
        <f>ROUND((+平成12年度!AP8-平成12年度!AP6),4)</f>
        <v>#VALUE!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ht="20.149999999999999" customHeight="1" x14ac:dyDescent="0.2">
      <c r="A9" s="2" t="s">
        <v>1419</v>
      </c>
      <c r="B9" s="43" t="s">
        <v>1420</v>
      </c>
      <c r="C9" s="44">
        <v>44124</v>
      </c>
      <c r="D9" s="45">
        <f>平成12年度!E9+平成12年度!F9</f>
        <v>38053</v>
      </c>
      <c r="E9" s="45">
        <f>平成12年度!C9-平成12年度!G9-平成12年度!F9</f>
        <v>35987</v>
      </c>
      <c r="F9" s="46">
        <v>2066</v>
      </c>
      <c r="G9" s="47">
        <v>6071</v>
      </c>
      <c r="H9" s="48">
        <f>平成12年度!I9+平成12年度!L9</f>
        <v>85865</v>
      </c>
      <c r="I9" s="45">
        <f>平成12年度!J9+平成12年度!K9</f>
        <v>72815</v>
      </c>
      <c r="J9" s="46">
        <v>51174</v>
      </c>
      <c r="K9" s="49">
        <v>21641</v>
      </c>
      <c r="L9" s="45">
        <f>平成12年度!M9+平成12年度!N9</f>
        <v>13050</v>
      </c>
      <c r="M9" s="46">
        <v>9225</v>
      </c>
      <c r="N9" s="47">
        <v>3825</v>
      </c>
      <c r="O9" s="44">
        <v>27478</v>
      </c>
      <c r="P9" s="45">
        <f>平成12年度!O9-平成12年度!Q9</f>
        <v>20969</v>
      </c>
      <c r="Q9" s="47">
        <v>6509</v>
      </c>
      <c r="R9" s="44">
        <v>106653</v>
      </c>
      <c r="S9" s="46">
        <v>293315</v>
      </c>
      <c r="T9" s="50">
        <f>平成12年度!C9/平成12年度!R9</f>
        <v>0.41371550729937273</v>
      </c>
      <c r="U9" s="51">
        <f>平成12年度!H9/平成12年度!S9</f>
        <v>0.29273988715203791</v>
      </c>
      <c r="V9" s="52">
        <f>平成12年度!L9/平成12年度!H9</f>
        <v>0.15198276364059862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0" t="s">
        <v>1421</v>
      </c>
      <c r="AK9" s="31" t="e">
        <f>平成10年度!H21</f>
        <v>#VALUE!</v>
      </c>
      <c r="AL9" s="32" t="e">
        <f>平成10年度!C21</f>
        <v>#VALUE!</v>
      </c>
      <c r="AM9" s="33" t="e">
        <f>平成10年度!P21</f>
        <v>#VALUE!</v>
      </c>
      <c r="AN9" s="33" t="e">
        <f>平成10年度!O21</f>
        <v>#VALUE!</v>
      </c>
      <c r="AO9" s="34" t="e">
        <f>ROUND(+平成12年度!AK9/平成12年度!AM9,4)</f>
        <v>#VALUE!</v>
      </c>
      <c r="AP9" s="35" t="e">
        <f>ROUND(+平成12年度!AL9/平成12年度!AN9,4)</f>
        <v>#VALUE!</v>
      </c>
      <c r="AQ9" s="36" t="e">
        <f>ROUND((+平成12年度!AO9-平成12年度!AO8),4)</f>
        <v>#VALUE!</v>
      </c>
      <c r="AR9" s="36" t="e">
        <f>ROUND((+平成12年度!AP9-平成12年度!AP8),4)</f>
        <v>#VALUE!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ht="20.149999999999999" customHeight="1" x14ac:dyDescent="0.2">
      <c r="A10" s="2" t="s">
        <v>1422</v>
      </c>
      <c r="B10" s="53" t="s">
        <v>1423</v>
      </c>
      <c r="C10" s="54">
        <v>44265</v>
      </c>
      <c r="D10" s="55">
        <f>平成12年度!E10+平成12年度!F10</f>
        <v>38126</v>
      </c>
      <c r="E10" s="55">
        <f>平成12年度!C10-平成12年度!G10-平成12年度!F10</f>
        <v>36046</v>
      </c>
      <c r="F10" s="56">
        <v>2080</v>
      </c>
      <c r="G10" s="57">
        <v>6139</v>
      </c>
      <c r="H10" s="58">
        <f>平成12年度!I10+平成12年度!L10</f>
        <v>86102</v>
      </c>
      <c r="I10" s="55">
        <f>平成12年度!J10+平成12年度!K10</f>
        <v>72918</v>
      </c>
      <c r="J10" s="56">
        <v>51167</v>
      </c>
      <c r="K10" s="59">
        <v>21751</v>
      </c>
      <c r="L10" s="55">
        <f>平成12年度!M10+平成12年度!N10</f>
        <v>13184</v>
      </c>
      <c r="M10" s="56">
        <v>9311</v>
      </c>
      <c r="N10" s="57">
        <v>3873</v>
      </c>
      <c r="O10" s="54">
        <v>27504</v>
      </c>
      <c r="P10" s="55">
        <f>平成12年度!O10-平成12年度!Q10</f>
        <v>20967</v>
      </c>
      <c r="Q10" s="57">
        <v>6537</v>
      </c>
      <c r="R10" s="54">
        <v>106717</v>
      </c>
      <c r="S10" s="56">
        <v>293412</v>
      </c>
      <c r="T10" s="60">
        <f>平成12年度!C10/平成12年度!R10</f>
        <v>0.41478864660738213</v>
      </c>
      <c r="U10" s="61">
        <f>平成12年度!H10/平成12年度!S10</f>
        <v>0.29345084727277687</v>
      </c>
      <c r="V10" s="62">
        <f>平成12年度!L10/平成12年度!H10</f>
        <v>0.153120717288797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63" t="s">
        <v>1424</v>
      </c>
      <c r="AK10" s="64">
        <f>平成11年度!H21</f>
        <v>83847.916666666672</v>
      </c>
      <c r="AL10" s="65">
        <f>平成11年度!C21</f>
        <v>42852.25</v>
      </c>
      <c r="AM10" s="66">
        <f>平成11年度!P21</f>
        <v>292958.75</v>
      </c>
      <c r="AN10" s="66">
        <f>平成11年度!O21</f>
        <v>105725.41666666667</v>
      </c>
      <c r="AO10" s="67">
        <f>ROUND(+平成12年度!AK10/平成12年度!AM10,4)</f>
        <v>0.28620000000000001</v>
      </c>
      <c r="AP10" s="68">
        <f>ROUND(+平成12年度!AL10/平成12年度!AN10,4)</f>
        <v>0.40529999999999999</v>
      </c>
      <c r="AQ10" s="36" t="e">
        <f>ROUND((+平成12年度!AO10-平成12年度!AO9),4)</f>
        <v>#VALUE!</v>
      </c>
      <c r="AR10" s="36" t="e">
        <f>ROUND((+平成12年度!AP10-平成12年度!AP9),4)</f>
        <v>#VALUE!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0.149999999999999" customHeight="1" x14ac:dyDescent="0.2">
      <c r="A11" s="2" t="s">
        <v>1425</v>
      </c>
      <c r="B11" s="53" t="s">
        <v>1426</v>
      </c>
      <c r="C11" s="54">
        <v>44382</v>
      </c>
      <c r="D11" s="55">
        <f>平成12年度!E11+平成12年度!F11</f>
        <v>38267</v>
      </c>
      <c r="E11" s="55">
        <f>平成12年度!C11-平成12年度!G11-平成12年度!F11</f>
        <v>36157</v>
      </c>
      <c r="F11" s="56">
        <v>2110</v>
      </c>
      <c r="G11" s="57">
        <v>6115</v>
      </c>
      <c r="H11" s="58">
        <f>平成12年度!I11+平成12年度!L11</f>
        <v>86271</v>
      </c>
      <c r="I11" s="55">
        <f>平成12年度!J11+平成12年度!K11</f>
        <v>73104</v>
      </c>
      <c r="J11" s="56">
        <v>51250</v>
      </c>
      <c r="K11" s="59">
        <v>21854</v>
      </c>
      <c r="L11" s="55">
        <f>平成12年度!M11+平成12年度!N11</f>
        <v>13167</v>
      </c>
      <c r="M11" s="56">
        <v>9290</v>
      </c>
      <c r="N11" s="57">
        <v>3877</v>
      </c>
      <c r="O11" s="54">
        <v>27544</v>
      </c>
      <c r="P11" s="55">
        <f>平成12年度!O11-平成12年度!Q11</f>
        <v>20965</v>
      </c>
      <c r="Q11" s="57">
        <v>6579</v>
      </c>
      <c r="R11" s="54">
        <v>106840</v>
      </c>
      <c r="S11" s="56">
        <v>293617</v>
      </c>
      <c r="T11" s="60">
        <f>平成12年度!C11/平成12年度!R11</f>
        <v>0.41540621490078622</v>
      </c>
      <c r="U11" s="61">
        <f>平成12年度!H11/平成12年度!S11</f>
        <v>0.29382154303054658</v>
      </c>
      <c r="V11" s="62">
        <f>平成12年度!L11/平成12年度!H11</f>
        <v>0.15262370900998018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69" t="s">
        <v>1427</v>
      </c>
      <c r="AK11" s="70" t="e">
        <f>平成12年度!H21</f>
        <v>#VALUE!</v>
      </c>
      <c r="AL11" s="71">
        <f>平成12年度!C21</f>
        <v>44687.75</v>
      </c>
      <c r="AM11" s="72">
        <f>平成12年度!S21</f>
        <v>293990</v>
      </c>
      <c r="AN11" s="72">
        <f>平成12年度!R21</f>
        <v>107166</v>
      </c>
      <c r="AO11" s="73" t="e">
        <f>ROUND(+平成12年度!AK11/平成12年度!AM11,4)</f>
        <v>#VALUE!</v>
      </c>
      <c r="AP11" s="74">
        <f>ROUND(+平成12年度!AL11/平成12年度!AN11,4)</f>
        <v>0.41699999999999998</v>
      </c>
      <c r="AQ11" s="36" t="e">
        <f>ROUND((+平成12年度!AO11-平成12年度!AO10),4)</f>
        <v>#VALUE!</v>
      </c>
      <c r="AR11" s="36">
        <f>ROUND((+平成12年度!AP11-平成12年度!AP10),4)</f>
        <v>1.17E-2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20.149999999999999" customHeight="1" x14ac:dyDescent="0.2">
      <c r="A12" s="2" t="s">
        <v>1428</v>
      </c>
      <c r="B12" s="53" t="s">
        <v>1429</v>
      </c>
      <c r="C12" s="54">
        <v>44534</v>
      </c>
      <c r="D12" s="55">
        <f>平成12年度!E12+平成12年度!F12</f>
        <v>38430</v>
      </c>
      <c r="E12" s="55">
        <f>平成12年度!C12-平成12年度!G12-平成12年度!F12</f>
        <v>36315</v>
      </c>
      <c r="F12" s="56">
        <v>2115</v>
      </c>
      <c r="G12" s="57">
        <v>6104</v>
      </c>
      <c r="H12" s="58">
        <f>平成12年度!I12+平成12年度!L12</f>
        <v>86546</v>
      </c>
      <c r="I12" s="55">
        <f>平成12年度!J12+平成12年度!K12</f>
        <v>73385</v>
      </c>
      <c r="J12" s="56">
        <v>51438</v>
      </c>
      <c r="K12" s="59">
        <v>21947</v>
      </c>
      <c r="L12" s="55">
        <f>平成12年度!M12+平成12年度!N12</f>
        <v>13161</v>
      </c>
      <c r="M12" s="56">
        <v>9286</v>
      </c>
      <c r="N12" s="57">
        <v>3875</v>
      </c>
      <c r="O12" s="54">
        <v>27524</v>
      </c>
      <c r="P12" s="55">
        <f>平成12年度!O12-平成12年度!Q12</f>
        <v>20991</v>
      </c>
      <c r="Q12" s="57">
        <v>6533</v>
      </c>
      <c r="R12" s="54">
        <v>106943</v>
      </c>
      <c r="S12" s="56">
        <v>293797</v>
      </c>
      <c r="T12" s="60">
        <f>平成12年度!C12/平成12年度!R12</f>
        <v>0.41642744265636833</v>
      </c>
      <c r="U12" s="61">
        <f>平成12年度!H12/平成12年度!S12</f>
        <v>0.29457754844331291</v>
      </c>
      <c r="V12" s="62">
        <f>平成12年度!L12/平成12年度!H12</f>
        <v>0.15206941973054791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 t="s">
        <v>1430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20.149999999999999" customHeight="1" x14ac:dyDescent="0.2">
      <c r="A13" s="75" t="s">
        <v>1431</v>
      </c>
      <c r="B13" s="43" t="s">
        <v>1432</v>
      </c>
      <c r="C13" s="44">
        <v>44601</v>
      </c>
      <c r="D13" s="45">
        <f>平成12年度!E13+平成12年度!F13</f>
        <v>38545</v>
      </c>
      <c r="E13" s="45">
        <f>平成12年度!C13-平成12年度!G13-平成12年度!F13</f>
        <v>36425</v>
      </c>
      <c r="F13" s="46">
        <v>2120</v>
      </c>
      <c r="G13" s="47">
        <v>6056</v>
      </c>
      <c r="H13" s="58">
        <v>86697</v>
      </c>
      <c r="I13" s="45">
        <f>平成12年度!J13+平成12年度!K13</f>
        <v>73614</v>
      </c>
      <c r="J13" s="46">
        <v>51546</v>
      </c>
      <c r="K13" s="49">
        <v>22068</v>
      </c>
      <c r="L13" s="45">
        <f>平成12年度!M13+平成12年度!N13</f>
        <v>13083</v>
      </c>
      <c r="M13" s="46">
        <v>9229</v>
      </c>
      <c r="N13" s="47">
        <v>3854</v>
      </c>
      <c r="O13" s="44">
        <v>27442</v>
      </c>
      <c r="P13" s="45">
        <f>平成12年度!O13-平成12年度!Q13</f>
        <v>20990</v>
      </c>
      <c r="Q13" s="47">
        <v>6452</v>
      </c>
      <c r="R13" s="44">
        <v>106997</v>
      </c>
      <c r="S13" s="46">
        <v>293781</v>
      </c>
      <c r="T13" s="50">
        <f>平成12年度!C13/平成12年度!R13</f>
        <v>0.41684346290082902</v>
      </c>
      <c r="U13" s="51">
        <f>平成12年度!H13/平成12年度!S13</f>
        <v>0.2951075801362239</v>
      </c>
      <c r="V13" s="52">
        <f>平成12年度!L13/平成12年度!H13</f>
        <v>0.15090487560123186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9" t="s">
        <v>1433</v>
      </c>
      <c r="AK13" s="76">
        <f>平成12年度!AK10/平成12年度!AK4</f>
        <v>1.1359146247843719</v>
      </c>
      <c r="AL13" s="77">
        <f>平成12年度!AL10/平成12年度!AL4</f>
        <v>1.1995870949681573</v>
      </c>
      <c r="AM13" s="77">
        <f>平成12年度!AM10/平成12年度!AM4</f>
        <v>1.0210987070361457</v>
      </c>
      <c r="AN13" s="77">
        <f>平成12年度!AN10/平成12年度!AN4</f>
        <v>1.0810176368691427</v>
      </c>
      <c r="AO13" s="78">
        <f>平成12年度!AO10/平成12年度!AO4</f>
        <v>1.1123202487368831</v>
      </c>
      <c r="AP13" s="74">
        <f>平成12年度!AP10/平成12年度!AP4</f>
        <v>1.1094990418833834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0.149999999999999" customHeight="1" x14ac:dyDescent="0.2">
      <c r="A14" s="75" t="s">
        <v>1434</v>
      </c>
      <c r="B14" s="43" t="s">
        <v>1435</v>
      </c>
      <c r="C14" s="44">
        <v>44745</v>
      </c>
      <c r="D14" s="45">
        <f>平成12年度!E14+平成12年度!F14</f>
        <v>38680</v>
      </c>
      <c r="E14" s="45">
        <f>平成12年度!C14-平成12年度!G14-平成12年度!F14</f>
        <v>36547</v>
      </c>
      <c r="F14" s="46">
        <v>2133</v>
      </c>
      <c r="G14" s="47">
        <v>6065</v>
      </c>
      <c r="H14" s="48">
        <f>平成12年度!I14+平成12年度!L14</f>
        <v>86913</v>
      </c>
      <c r="I14" s="45">
        <f>平成12年度!J14+平成12年度!K14</f>
        <v>73817</v>
      </c>
      <c r="J14" s="46">
        <v>51613</v>
      </c>
      <c r="K14" s="49">
        <v>22204</v>
      </c>
      <c r="L14" s="45">
        <f>平成12年度!M14+平成12年度!N14</f>
        <v>13096</v>
      </c>
      <c r="M14" s="46">
        <v>9230</v>
      </c>
      <c r="N14" s="47">
        <v>3866</v>
      </c>
      <c r="O14" s="44">
        <v>27456</v>
      </c>
      <c r="P14" s="45">
        <f>平成12年度!O14-平成12年度!Q14</f>
        <v>20995</v>
      </c>
      <c r="Q14" s="47">
        <v>6461</v>
      </c>
      <c r="R14" s="44">
        <v>107207</v>
      </c>
      <c r="S14" s="46">
        <v>294078</v>
      </c>
      <c r="T14" s="50">
        <f>平成12年度!C14/平成12年度!R14</f>
        <v>0.41737013441286486</v>
      </c>
      <c r="U14" s="51">
        <f>平成12年度!H14/平成12年度!S14</f>
        <v>0.29554403933650258</v>
      </c>
      <c r="V14" s="52">
        <f>平成12年度!L14/平成12年度!H14</f>
        <v>0.15067941504723115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20.149999999999999" customHeight="1" x14ac:dyDescent="0.2">
      <c r="A15" s="75" t="s">
        <v>1436</v>
      </c>
      <c r="B15" s="53" t="s">
        <v>1437</v>
      </c>
      <c r="C15" s="54">
        <v>44914</v>
      </c>
      <c r="D15" s="55">
        <f>平成12年度!E15+平成12年度!F15</f>
        <v>38888</v>
      </c>
      <c r="E15" s="55">
        <f>平成12年度!C15-平成12年度!G15-平成12年度!F15</f>
        <v>36767</v>
      </c>
      <c r="F15" s="56">
        <v>2121</v>
      </c>
      <c r="G15" s="57">
        <v>6026</v>
      </c>
      <c r="H15" s="58">
        <f>平成12年度!I15+平成12年度!L15</f>
        <v>87142</v>
      </c>
      <c r="I15" s="55">
        <f>平成12年度!J15+平成12年度!K15</f>
        <v>74122</v>
      </c>
      <c r="J15" s="56">
        <v>51752</v>
      </c>
      <c r="K15" s="59">
        <v>22370</v>
      </c>
      <c r="L15" s="55">
        <f>平成12年度!M15+平成12年度!N15</f>
        <v>13020</v>
      </c>
      <c r="M15" s="56">
        <v>9171</v>
      </c>
      <c r="N15" s="57">
        <v>3849</v>
      </c>
      <c r="O15" s="54">
        <v>27381</v>
      </c>
      <c r="P15" s="55">
        <f>平成12年度!O15-平成12年度!Q15</f>
        <v>21035</v>
      </c>
      <c r="Q15" s="57">
        <v>6346</v>
      </c>
      <c r="R15" s="54">
        <v>107412</v>
      </c>
      <c r="S15" s="56">
        <v>294329</v>
      </c>
      <c r="T15" s="60">
        <f>平成12年度!C15/平成12年度!R15</f>
        <v>0.4181469481994563</v>
      </c>
      <c r="U15" s="61">
        <f>平成12年度!H15/平成12年度!S15</f>
        <v>0.29607004406633392</v>
      </c>
      <c r="V15" s="62">
        <f>平成12年度!L15/平成12年度!H15</f>
        <v>0.14941130568497396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1438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ht="20.149999999999999" customHeight="1" x14ac:dyDescent="0.2">
      <c r="A16" s="1" t="s">
        <v>1439</v>
      </c>
      <c r="B16" s="43" t="s">
        <v>1440</v>
      </c>
      <c r="C16" s="44">
        <v>45042</v>
      </c>
      <c r="D16" s="45">
        <f>平成12年度!E16+平成12年度!F16</f>
        <v>39014</v>
      </c>
      <c r="E16" s="45">
        <f>平成12年度!C16-平成12年度!G16-平成12年度!F16</f>
        <v>36897</v>
      </c>
      <c r="F16" s="46">
        <v>2117</v>
      </c>
      <c r="G16" s="47">
        <v>6028</v>
      </c>
      <c r="H16" s="48">
        <f>平成12年度!I16+平成12年度!L16</f>
        <v>87317</v>
      </c>
      <c r="I16" s="45">
        <f>平成12年度!J16+平成12年度!K16</f>
        <v>74300</v>
      </c>
      <c r="J16" s="46">
        <v>51766</v>
      </c>
      <c r="K16" s="49">
        <v>22534</v>
      </c>
      <c r="L16" s="45">
        <f>平成12年度!M16+平成12年度!N16</f>
        <v>13017</v>
      </c>
      <c r="M16" s="46">
        <v>9162</v>
      </c>
      <c r="N16" s="47">
        <v>3855</v>
      </c>
      <c r="O16" s="44">
        <v>27402</v>
      </c>
      <c r="P16" s="45">
        <f>平成12年度!O16-平成12年度!Q16</f>
        <v>21073</v>
      </c>
      <c r="Q16" s="47">
        <v>6329</v>
      </c>
      <c r="R16" s="44">
        <v>107564</v>
      </c>
      <c r="S16" s="46">
        <v>294591</v>
      </c>
      <c r="T16" s="50">
        <f>平成12年度!C16/平成12年度!R16</f>
        <v>0.41874604886393219</v>
      </c>
      <c r="U16" s="51">
        <f>平成12年度!H16/平成12年度!S16</f>
        <v>0.29640077259658304</v>
      </c>
      <c r="V16" s="52">
        <f>平成12年度!L16/平成12年度!H16</f>
        <v>0.14907749922695465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0.149999999999999" customHeight="1" x14ac:dyDescent="0.2">
      <c r="A17" s="1"/>
      <c r="B17" s="43" t="s">
        <v>1441</v>
      </c>
      <c r="C17" s="44">
        <v>45158</v>
      </c>
      <c r="D17" s="45">
        <f>平成12年度!E17+平成12年度!F17</f>
        <v>39142</v>
      </c>
      <c r="E17" s="45">
        <f>平成12年度!C17-平成12年度!G17-平成12年度!F17</f>
        <v>37029</v>
      </c>
      <c r="F17" s="46">
        <v>2113</v>
      </c>
      <c r="G17" s="47">
        <v>6016</v>
      </c>
      <c r="H17" s="58">
        <v>87608</v>
      </c>
      <c r="I17" s="45">
        <f>平成12年度!J17+平成12年度!K17</f>
        <v>74621</v>
      </c>
      <c r="J17" s="46">
        <v>52037</v>
      </c>
      <c r="K17" s="49">
        <v>22584</v>
      </c>
      <c r="L17" s="45">
        <v>12987</v>
      </c>
      <c r="M17" s="46">
        <v>9135</v>
      </c>
      <c r="N17" s="47">
        <v>3852</v>
      </c>
      <c r="O17" s="44">
        <v>27299</v>
      </c>
      <c r="P17" s="45">
        <f>平成12年度!O17-平成12年度!Q17</f>
        <v>21072</v>
      </c>
      <c r="Q17" s="47">
        <v>6227</v>
      </c>
      <c r="R17" s="44">
        <v>107717</v>
      </c>
      <c r="S17" s="46">
        <v>294763</v>
      </c>
      <c r="T17" s="50">
        <f>平成12年度!C17/平成12年度!R17</f>
        <v>0.41922816268555568</v>
      </c>
      <c r="U17" s="51">
        <f>平成12年度!H17/平成12年度!S17</f>
        <v>0.29721505073567578</v>
      </c>
      <c r="V17" s="52">
        <f>平成12年度!L17/平成12年度!H17</f>
        <v>0.14823988676833166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/>
      <c r="AK17" s="5" t="s">
        <v>1442</v>
      </c>
      <c r="AL17" s="6" t="s">
        <v>1443</v>
      </c>
      <c r="AM17" s="7" t="s">
        <v>1444</v>
      </c>
      <c r="AN17" s="7" t="s">
        <v>1445</v>
      </c>
      <c r="AO17" s="7" t="s">
        <v>1446</v>
      </c>
      <c r="AP17" s="8" t="s">
        <v>1447</v>
      </c>
      <c r="AQ17" s="1" t="s">
        <v>1448</v>
      </c>
      <c r="AR17" s="1" t="s">
        <v>1449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0.149999999999999" customHeight="1" x14ac:dyDescent="0.2">
      <c r="A18" s="1"/>
      <c r="B18" s="53" t="s">
        <v>1450</v>
      </c>
      <c r="C18" s="54">
        <v>45188</v>
      </c>
      <c r="D18" s="55">
        <f>平成12年度!E18+平成12年度!F18</f>
        <v>39151</v>
      </c>
      <c r="E18" s="55">
        <f>平成12年度!C18-平成12年度!G18-平成12年度!F18</f>
        <v>37012</v>
      </c>
      <c r="F18" s="56">
        <v>2139</v>
      </c>
      <c r="G18" s="57">
        <v>6037</v>
      </c>
      <c r="H18" s="58">
        <f>平成12年度!I18+平成12年度!L18</f>
        <v>87711</v>
      </c>
      <c r="I18" s="55">
        <f>平成12年度!J18+平成12年度!K18</f>
        <v>74653</v>
      </c>
      <c r="J18" s="56">
        <v>51874</v>
      </c>
      <c r="K18" s="59">
        <v>22779</v>
      </c>
      <c r="L18" s="55">
        <f>平成12年度!M18+平成12年度!N18</f>
        <v>13058</v>
      </c>
      <c r="M18" s="56">
        <v>9172</v>
      </c>
      <c r="N18" s="57">
        <v>3886</v>
      </c>
      <c r="O18" s="54">
        <v>27229</v>
      </c>
      <c r="P18" s="55">
        <f>平成12年度!O18-平成12年度!Q18</f>
        <v>20985</v>
      </c>
      <c r="Q18" s="57">
        <v>6244</v>
      </c>
      <c r="R18" s="54">
        <v>107679</v>
      </c>
      <c r="S18" s="56">
        <v>294779</v>
      </c>
      <c r="T18" s="60">
        <f>平成12年度!C18/平成12年度!R18</f>
        <v>0.41965471447543162</v>
      </c>
      <c r="U18" s="61">
        <f>平成12年度!H18/平成12年度!S18</f>
        <v>0.29754833281882359</v>
      </c>
      <c r="V18" s="62">
        <f>平成12年度!L18/平成12年度!H18</f>
        <v>0.14887528360182872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7" t="s">
        <v>1451</v>
      </c>
      <c r="AK18" s="18">
        <f>平成6年度!H19</f>
        <v>73958</v>
      </c>
      <c r="AL18" s="19">
        <f>平成6年度!C19</f>
        <v>36029</v>
      </c>
      <c r="AM18" s="20">
        <f>平成6年度!P19</f>
        <v>287580</v>
      </c>
      <c r="AN18" s="20">
        <f>平成6年度!O19</f>
        <v>98491</v>
      </c>
      <c r="AO18" s="21">
        <f>ROUND(+平成12年度!AK18/平成12年度!AM18,4)</f>
        <v>0.25719999999999998</v>
      </c>
      <c r="AP18" s="22">
        <f>ROUND(+平成12年度!AL18/平成12年度!AN18,4)</f>
        <v>0.36580000000000001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0.149999999999999" customHeight="1" x14ac:dyDescent="0.2">
      <c r="A19" s="1"/>
      <c r="B19" s="53" t="s">
        <v>1452</v>
      </c>
      <c r="C19" s="54">
        <v>45290</v>
      </c>
      <c r="D19" s="55">
        <f>平成12年度!E19+平成12年度!F19</f>
        <v>39155</v>
      </c>
      <c r="E19" s="55">
        <f>平成12年度!C19-平成12年度!G19-平成12年度!F19</f>
        <v>36997</v>
      </c>
      <c r="F19" s="56">
        <v>2158</v>
      </c>
      <c r="G19" s="57">
        <v>6135</v>
      </c>
      <c r="H19" s="58">
        <f>平成12年度!I19+平成12年度!L19</f>
        <v>87854</v>
      </c>
      <c r="I19" s="55">
        <f>平成12年度!J19+平成12年度!K19</f>
        <v>74595</v>
      </c>
      <c r="J19" s="56">
        <v>51745</v>
      </c>
      <c r="K19" s="59">
        <v>22850</v>
      </c>
      <c r="L19" s="55">
        <f>平成12年度!M19+平成12年度!N19</f>
        <v>13259</v>
      </c>
      <c r="M19" s="56">
        <v>9299</v>
      </c>
      <c r="N19" s="57">
        <v>3960</v>
      </c>
      <c r="O19" s="54">
        <v>27178</v>
      </c>
      <c r="P19" s="55">
        <f>平成12年度!O19-平成12年度!Q19</f>
        <v>20917</v>
      </c>
      <c r="Q19" s="57">
        <v>6261</v>
      </c>
      <c r="R19" s="54">
        <v>107695</v>
      </c>
      <c r="S19" s="56">
        <v>294249</v>
      </c>
      <c r="T19" s="60">
        <f>平成12年度!C19/平成12年度!R19</f>
        <v>0.42053948651283718</v>
      </c>
      <c r="U19" s="61">
        <f>平成12年度!H19/平成12年度!S19</f>
        <v>0.29857025852254382</v>
      </c>
      <c r="V19" s="62">
        <f>平成12年度!L19/平成12年度!H19</f>
        <v>0.15092084594896077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30" t="s">
        <v>1453</v>
      </c>
      <c r="AK19" s="31">
        <f>平成7年度!H19</f>
        <v>75303</v>
      </c>
      <c r="AL19" s="32">
        <f>平成7年度!C19</f>
        <v>37108</v>
      </c>
      <c r="AM19" s="33">
        <f>平成7年度!P19</f>
        <v>288713</v>
      </c>
      <c r="AN19" s="33">
        <f>平成7年度!O19</f>
        <v>99950</v>
      </c>
      <c r="AO19" s="34">
        <f>ROUND(+平成12年度!AK19/平成12年度!AM19,4)</f>
        <v>0.26079999999999998</v>
      </c>
      <c r="AP19" s="35">
        <f>ROUND(+平成12年度!AL19/平成12年度!AN19,4)</f>
        <v>0.37130000000000002</v>
      </c>
      <c r="AQ19" s="36">
        <f>ROUND((+平成12年度!AO19-平成12年度!AO18),4)</f>
        <v>3.5999999999999999E-3</v>
      </c>
      <c r="AR19" s="36">
        <f>ROUND((+平成12年度!AP19-平成12年度!AP18),4)</f>
        <v>5.4999999999999997E-3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0.149999999999999" customHeight="1" x14ac:dyDescent="0.2">
      <c r="A20" s="1"/>
      <c r="B20" s="43" t="s">
        <v>1454</v>
      </c>
      <c r="C20" s="48">
        <f>SUM(平成12年度!C8:C19)</f>
        <v>536253</v>
      </c>
      <c r="D20" s="45">
        <f>SUM(平成12年度!D8:D19)</f>
        <v>463387</v>
      </c>
      <c r="E20" s="79">
        <f>SUM(平成12年度!E8:E19)</f>
        <v>438072</v>
      </c>
      <c r="F20" s="79">
        <f>SUM(平成12年度!F8:F19)</f>
        <v>25315</v>
      </c>
      <c r="G20" s="80">
        <f>SUM(平成12年度!G8:G19)</f>
        <v>72866</v>
      </c>
      <c r="H20" s="48">
        <f>SUM(平成12年度!H8:H19)</f>
        <v>1041789</v>
      </c>
      <c r="I20" s="45">
        <f>SUM(平成12年度!I8:I19)</f>
        <v>884686</v>
      </c>
      <c r="J20" s="79">
        <f>SUM(平成12年度!J8:J19)</f>
        <v>618548</v>
      </c>
      <c r="K20" s="79">
        <f>SUM(平成12年度!K8:K19)</f>
        <v>266138</v>
      </c>
      <c r="L20" s="79">
        <f>SUM(平成12年度!L8:L19)</f>
        <v>157103</v>
      </c>
      <c r="M20" s="79">
        <f>SUM(平成12年度!M8:M19)</f>
        <v>110726</v>
      </c>
      <c r="N20" s="80">
        <f>SUM(平成12年度!N8:N19)</f>
        <v>46377</v>
      </c>
      <c r="O20" s="48">
        <f>SUM(平成12年度!O8:O19)</f>
        <v>328917</v>
      </c>
      <c r="P20" s="45">
        <f>SUM(平成12年度!P8:P19)</f>
        <v>251924</v>
      </c>
      <c r="Q20" s="80">
        <f>SUM(平成12年度!Q8:Q19)</f>
        <v>76993</v>
      </c>
      <c r="R20" s="48">
        <f>SUM(平成12年度!R8:R19)</f>
        <v>1285992</v>
      </c>
      <c r="S20" s="45">
        <f>SUM(平成12年度!S8:S19)</f>
        <v>3527880</v>
      </c>
      <c r="T20" s="50">
        <f>平成12年度!C20/平成12年度!R20</f>
        <v>0.41699559561801319</v>
      </c>
      <c r="U20" s="51">
        <f>平成12年度!H20/平成12年度!S20</f>
        <v>0.29530171094254909</v>
      </c>
      <c r="V20" s="52">
        <f>平成12年度!L20/平成12年度!H20</f>
        <v>0.15080116991060569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0" t="s">
        <v>1455</v>
      </c>
      <c r="AK20" s="31">
        <f>平成８年度!H19</f>
        <v>76694</v>
      </c>
      <c r="AL20" s="32">
        <f>平成８年度!C19</f>
        <v>38366</v>
      </c>
      <c r="AM20" s="33">
        <f>平成８年度!P19</f>
        <v>290105</v>
      </c>
      <c r="AN20" s="33">
        <f>平成８年度!O19</f>
        <v>101745</v>
      </c>
      <c r="AO20" s="34">
        <f>ROUND(+平成12年度!AK20/平成12年度!AM20,4)</f>
        <v>0.26440000000000002</v>
      </c>
      <c r="AP20" s="35">
        <f>ROUND(+平成12年度!AL20/平成12年度!AN20,4)</f>
        <v>0.37709999999999999</v>
      </c>
      <c r="AQ20" s="36">
        <f>ROUND((+平成12年度!AO20-平成12年度!AO19),4)</f>
        <v>3.5999999999999999E-3</v>
      </c>
      <c r="AR20" s="36">
        <f>ROUND((+平成12年度!AP20-平成12年度!AP19),4)</f>
        <v>5.7999999999999996E-3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0.149999999999999" customHeight="1" x14ac:dyDescent="0.2">
      <c r="A21" s="1"/>
      <c r="B21" s="43" t="s">
        <v>1456</v>
      </c>
      <c r="C21" s="48">
        <f>C20/COUNTA(C8:C19)</f>
        <v>44687.75</v>
      </c>
      <c r="D21" s="45" t="e">
        <f>#VALUE!</f>
        <v>#VALUE!</v>
      </c>
      <c r="E21" s="79" t="e">
        <f>#VALUE!</f>
        <v>#VALUE!</v>
      </c>
      <c r="F21" s="79">
        <f>F20/COUNTA(F8:F19)</f>
        <v>2109.5833333333335</v>
      </c>
      <c r="G21" s="80">
        <f>G20/COUNTA(G8:G19)</f>
        <v>6072.166666666667</v>
      </c>
      <c r="H21" s="48" t="e">
        <f>#VALUE!</f>
        <v>#VALUE!</v>
      </c>
      <c r="I21" s="45" t="e">
        <f>#VALUE!</f>
        <v>#VALUE!</v>
      </c>
      <c r="J21" s="79">
        <f>J20/COUNTA(J8:J19)</f>
        <v>51545.666666666664</v>
      </c>
      <c r="K21" s="79">
        <f>K20/COUNTA(K8:K19)</f>
        <v>22178.166666666668</v>
      </c>
      <c r="L21" s="79" t="e">
        <f>#VALUE!</f>
        <v>#VALUE!</v>
      </c>
      <c r="M21" s="79">
        <f>M20/COUNTA(M8:M19)</f>
        <v>9227.1666666666661</v>
      </c>
      <c r="N21" s="80">
        <f>N20/COUNTA(N8:N19)</f>
        <v>3864.75</v>
      </c>
      <c r="O21" s="48">
        <f>O20/COUNTA(O8:O19)</f>
        <v>27409.75</v>
      </c>
      <c r="P21" s="45" t="e">
        <f>#VALUE!</f>
        <v>#VALUE!</v>
      </c>
      <c r="Q21" s="80">
        <f>Q20/COUNTA(Q8:Q19)</f>
        <v>6416.083333333333</v>
      </c>
      <c r="R21" s="48">
        <f>R20/COUNTA(R8:R19)</f>
        <v>107166</v>
      </c>
      <c r="S21" s="45">
        <f>S20/COUNTA(S8:S19)</f>
        <v>293990</v>
      </c>
      <c r="T21" s="50">
        <f>平成12年度!C21/平成12年度!R21</f>
        <v>0.41699559561801319</v>
      </c>
      <c r="U21" s="51" t="e">
        <f>平成12年度!H21/平成12年度!S21</f>
        <v>#VALUE!</v>
      </c>
      <c r="V21" s="52" t="e">
        <f>平成12年度!L21/平成12年度!H21</f>
        <v>#VALUE!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30" t="s">
        <v>1457</v>
      </c>
      <c r="AK21" s="31">
        <f>平成９年度!H19</f>
        <v>78843</v>
      </c>
      <c r="AL21" s="32">
        <f>平成９年度!C19</f>
        <v>39808</v>
      </c>
      <c r="AM21" s="33">
        <f>平成９年度!P19</f>
        <v>291366</v>
      </c>
      <c r="AN21" s="33">
        <f>平成９年度!O19</f>
        <v>103255</v>
      </c>
      <c r="AO21" s="34">
        <f>ROUND(+平成12年度!AK21/平成12年度!AM21,4)</f>
        <v>0.27060000000000001</v>
      </c>
      <c r="AP21" s="35">
        <f>ROUND(+平成12年度!AL21/平成12年度!AN21,4)</f>
        <v>0.38550000000000001</v>
      </c>
      <c r="AQ21" s="36">
        <f>ROUND((+平成12年度!AO21-平成12年度!AO20),4)</f>
        <v>6.1999999999999998E-3</v>
      </c>
      <c r="AR21" s="36">
        <f>ROUND((+平成12年度!AP21-平成12年度!AP20),4)</f>
        <v>8.3999999999999995E-3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0.149999999999999" customHeight="1" x14ac:dyDescent="0.2">
      <c r="A22" s="1"/>
      <c r="B22" s="81"/>
      <c r="C22" s="82"/>
      <c r="D22" s="83"/>
      <c r="E22" s="84"/>
      <c r="F22" s="84"/>
      <c r="G22" s="85"/>
      <c r="H22" s="82"/>
      <c r="I22" s="86"/>
      <c r="J22" s="84"/>
      <c r="K22" s="84"/>
      <c r="L22" s="87"/>
      <c r="M22" s="84"/>
      <c r="N22" s="85"/>
      <c r="O22" s="82"/>
      <c r="P22" s="83"/>
      <c r="Q22" s="85"/>
      <c r="R22" s="88"/>
      <c r="S22" s="83"/>
      <c r="T22" s="84"/>
      <c r="U22" s="84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0" t="s">
        <v>1458</v>
      </c>
      <c r="AK22" s="31">
        <f>平成10年度!H19</f>
        <v>81903</v>
      </c>
      <c r="AL22" s="32">
        <f>平成10年度!C19</f>
        <v>41659</v>
      </c>
      <c r="AM22" s="33">
        <f>平成10年度!P19</f>
        <v>291953</v>
      </c>
      <c r="AN22" s="33">
        <f>平成10年度!O19</f>
        <v>104651</v>
      </c>
      <c r="AO22" s="34">
        <f>ROUND(+平成12年度!AK22/平成12年度!AM22,4)</f>
        <v>0.28050000000000003</v>
      </c>
      <c r="AP22" s="35">
        <f>ROUND(+平成12年度!AL22/平成12年度!AN22,4)</f>
        <v>0.39810000000000001</v>
      </c>
      <c r="AQ22" s="36">
        <f>ROUND((+平成12年度!AO22-平成12年度!AO21),4)</f>
        <v>9.9000000000000008E-3</v>
      </c>
      <c r="AR22" s="36">
        <f>ROUND((+平成12年度!AP22-平成12年度!AP21),4)</f>
        <v>1.26E-2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0.149999999999999" customHeight="1" x14ac:dyDescent="0.2">
      <c r="A23" s="1"/>
      <c r="B23" s="43" t="s">
        <v>1459</v>
      </c>
      <c r="C23" s="48">
        <f>平成12年度!C8</f>
        <v>44010</v>
      </c>
      <c r="D23" s="45">
        <f>平成12年度!D8</f>
        <v>37936</v>
      </c>
      <c r="E23" s="79">
        <f>平成12年度!E8</f>
        <v>35893</v>
      </c>
      <c r="F23" s="79">
        <f>平成12年度!F8</f>
        <v>2043</v>
      </c>
      <c r="G23" s="80">
        <f>平成12年度!G8</f>
        <v>6074</v>
      </c>
      <c r="H23" s="48">
        <f>平成12年度!H8</f>
        <v>85763</v>
      </c>
      <c r="I23" s="45">
        <f>平成12年度!I8</f>
        <v>72742</v>
      </c>
      <c r="J23" s="79">
        <f>平成12年度!J8</f>
        <v>51186</v>
      </c>
      <c r="K23" s="79">
        <f>平成12年度!K8</f>
        <v>21556</v>
      </c>
      <c r="L23" s="79">
        <f>平成12年度!L8</f>
        <v>13021</v>
      </c>
      <c r="M23" s="79">
        <f>平成12年度!M8</f>
        <v>9216</v>
      </c>
      <c r="N23" s="80">
        <f>平成12年度!N8</f>
        <v>3805</v>
      </c>
      <c r="O23" s="48">
        <f>平成12年度!O8</f>
        <v>27480</v>
      </c>
      <c r="P23" s="45">
        <f>平成12年度!P8</f>
        <v>20965</v>
      </c>
      <c r="Q23" s="80">
        <f>平成12年度!Q8</f>
        <v>6515</v>
      </c>
      <c r="R23" s="48">
        <f>平成12年度!R8</f>
        <v>106568</v>
      </c>
      <c r="S23" s="45">
        <f>平成12年度!S8</f>
        <v>293169</v>
      </c>
      <c r="T23" s="50">
        <f>平成12年度!C23/平成12年度!R23</f>
        <v>0.41297575257112829</v>
      </c>
      <c r="U23" s="51">
        <f>平成12年度!H23/平成12年度!S23</f>
        <v>0.29253775126292342</v>
      </c>
      <c r="V23" s="52">
        <f>平成12年度!L23/平成12年度!H23</f>
        <v>0.15182537924279702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3" t="s">
        <v>1460</v>
      </c>
      <c r="AK23" s="64">
        <f>平成11年度!H19</f>
        <v>85006</v>
      </c>
      <c r="AL23" s="65">
        <f>平成11年度!C19</f>
        <v>43579</v>
      </c>
      <c r="AM23" s="66">
        <f>平成11年度!P19</f>
        <v>292833</v>
      </c>
      <c r="AN23" s="66">
        <f>平成11年度!O19</f>
        <v>106170</v>
      </c>
      <c r="AO23" s="67">
        <f>ROUND(+平成12年度!AK23/平成12年度!AM23,4)</f>
        <v>0.2903</v>
      </c>
      <c r="AP23" s="68">
        <f>ROUND(+平成12年度!AL23/平成12年度!AN23,4)</f>
        <v>0.41049999999999998</v>
      </c>
      <c r="AQ23" s="36">
        <f>ROUND((+平成12年度!AO23-平成12年度!AO22),4)</f>
        <v>9.7999999999999997E-3</v>
      </c>
      <c r="AR23" s="36">
        <f>ROUND((+平成12年度!AP23-平成12年度!AP22),4)</f>
        <v>1.24E-2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20.149999999999999" customHeight="1" x14ac:dyDescent="0.2">
      <c r="A24" s="1"/>
      <c r="B24" s="53" t="s">
        <v>1461</v>
      </c>
      <c r="C24" s="58">
        <f>SUM(平成12年度!C8:C9)</f>
        <v>88134</v>
      </c>
      <c r="D24" s="55">
        <f>SUM(平成12年度!D8:D9)</f>
        <v>75989</v>
      </c>
      <c r="E24" s="89">
        <f>SUM(平成12年度!E8:E9)</f>
        <v>71880</v>
      </c>
      <c r="F24" s="89">
        <f>SUM(平成12年度!F8:F9)</f>
        <v>4109</v>
      </c>
      <c r="G24" s="90">
        <f>SUM(平成12年度!G8:G9)</f>
        <v>12145</v>
      </c>
      <c r="H24" s="58">
        <f>SUM(平成12年度!H8:H9)</f>
        <v>171628</v>
      </c>
      <c r="I24" s="55">
        <f>SUM(平成12年度!I8:I9)</f>
        <v>145557</v>
      </c>
      <c r="J24" s="89">
        <f>SUM(平成12年度!J8:J9)</f>
        <v>102360</v>
      </c>
      <c r="K24" s="89">
        <f>SUM(平成12年度!K8:K9)</f>
        <v>43197</v>
      </c>
      <c r="L24" s="89">
        <f>SUM(平成12年度!L8:L9)</f>
        <v>26071</v>
      </c>
      <c r="M24" s="89">
        <f>SUM(平成12年度!M8:M9)</f>
        <v>18441</v>
      </c>
      <c r="N24" s="90">
        <f>SUM(平成12年度!N8:N9)</f>
        <v>7630</v>
      </c>
      <c r="O24" s="58">
        <f>SUM(平成12年度!O8:O9)</f>
        <v>54958</v>
      </c>
      <c r="P24" s="55">
        <f>SUM(平成12年度!P8:P9)</f>
        <v>41934</v>
      </c>
      <c r="Q24" s="90">
        <f>SUM(平成12年度!Q8:Q9)</f>
        <v>13024</v>
      </c>
      <c r="R24" s="58">
        <f>SUM(平成12年度!R8:R9)</f>
        <v>213221</v>
      </c>
      <c r="S24" s="55">
        <f>SUM(平成12年度!S8:S9)</f>
        <v>586484</v>
      </c>
      <c r="T24" s="60">
        <f>平成12年度!C24/平成12年度!R24</f>
        <v>0.41334577738590478</v>
      </c>
      <c r="U24" s="61">
        <f>平成12年度!H24/平成12年度!S24</f>
        <v>0.2926388443674508</v>
      </c>
      <c r="V24" s="62">
        <f>平成12年度!L24/平成12年度!H24</f>
        <v>0.15190411820915004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9" t="s">
        <v>1462</v>
      </c>
      <c r="AK24" s="70">
        <f>平成12年度!H14</f>
        <v>86913</v>
      </c>
      <c r="AL24" s="71">
        <f>平成12年度!C14</f>
        <v>44745</v>
      </c>
      <c r="AM24" s="72">
        <f>平成12年度!S14</f>
        <v>294078</v>
      </c>
      <c r="AN24" s="72">
        <f>平成12年度!R14</f>
        <v>107207</v>
      </c>
      <c r="AO24" s="73">
        <f>ROUND(+平成12年度!AK24/平成12年度!AM24,4)</f>
        <v>0.29549999999999998</v>
      </c>
      <c r="AP24" s="74">
        <f>ROUND(+平成12年度!AL24/平成12年度!AN24,4)</f>
        <v>0.41739999999999999</v>
      </c>
      <c r="AQ24" s="36">
        <f>ROUND((+平成12年度!AO24-平成12年度!AO23),4)</f>
        <v>5.1999999999999998E-3</v>
      </c>
      <c r="AR24" s="36">
        <f>ROUND((+平成12年度!AP24-平成12年度!AP23),4)</f>
        <v>6.8999999999999999E-3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20.149999999999999" customHeight="1" x14ac:dyDescent="0.2">
      <c r="A25" s="1"/>
      <c r="B25" s="53" t="s">
        <v>1463</v>
      </c>
      <c r="C25" s="58">
        <f>SUM(平成12年度!C8:C10)</f>
        <v>132399</v>
      </c>
      <c r="D25" s="55">
        <f>SUM(平成12年度!D8:D10)</f>
        <v>114115</v>
      </c>
      <c r="E25" s="89">
        <f>SUM(平成12年度!E8:E10)</f>
        <v>107926</v>
      </c>
      <c r="F25" s="89">
        <f>SUM(平成12年度!F8:F10)</f>
        <v>6189</v>
      </c>
      <c r="G25" s="90">
        <f>SUM(平成12年度!G8:G10)</f>
        <v>18284</v>
      </c>
      <c r="H25" s="58">
        <f>SUM(平成12年度!H8:H10)</f>
        <v>257730</v>
      </c>
      <c r="I25" s="55">
        <f>SUM(平成12年度!I8:I10)</f>
        <v>218475</v>
      </c>
      <c r="J25" s="89">
        <f>SUM(平成12年度!J8:J10)</f>
        <v>153527</v>
      </c>
      <c r="K25" s="89">
        <f>SUM(平成12年度!K8:K10)</f>
        <v>64948</v>
      </c>
      <c r="L25" s="89">
        <f>SUM(平成12年度!L8:L10)</f>
        <v>39255</v>
      </c>
      <c r="M25" s="89">
        <f>SUM(平成12年度!M8:M10)</f>
        <v>27752</v>
      </c>
      <c r="N25" s="90">
        <f>SUM(平成12年度!N8:N10)</f>
        <v>11503</v>
      </c>
      <c r="O25" s="58">
        <f>SUM(平成12年度!O8:O10)</f>
        <v>82462</v>
      </c>
      <c r="P25" s="55">
        <f>SUM(平成12年度!P8:P10)</f>
        <v>62901</v>
      </c>
      <c r="Q25" s="90">
        <f>SUM(平成12年度!Q8:Q10)</f>
        <v>19561</v>
      </c>
      <c r="R25" s="58">
        <f>SUM(平成12年度!R8:R10)</f>
        <v>319938</v>
      </c>
      <c r="S25" s="55">
        <f>SUM(平成12年度!S8:S10)</f>
        <v>879896</v>
      </c>
      <c r="T25" s="60">
        <f>平成12年度!C25/平成12年度!R25</f>
        <v>0.41382705399171088</v>
      </c>
      <c r="U25" s="61">
        <f>平成12年度!H25/平成12年度!S25</f>
        <v>0.29290961659105169</v>
      </c>
      <c r="V25" s="62">
        <f>平成12年度!L25/平成12年度!H25</f>
        <v>0.15231055756023745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 t="s">
        <v>1464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t="20.149999999999999" customHeight="1" x14ac:dyDescent="0.2">
      <c r="A26" s="1"/>
      <c r="B26" s="53" t="s">
        <v>1465</v>
      </c>
      <c r="C26" s="58">
        <f>SUM(平成12年度!C8:C11)</f>
        <v>176781</v>
      </c>
      <c r="D26" s="55">
        <f>SUM(平成12年度!D8:D11)</f>
        <v>152382</v>
      </c>
      <c r="E26" s="89">
        <f>SUM(平成12年度!E8:E11)</f>
        <v>144083</v>
      </c>
      <c r="F26" s="89">
        <f>SUM(平成12年度!F8:F11)</f>
        <v>8299</v>
      </c>
      <c r="G26" s="90">
        <f>SUM(平成12年度!G8:G11)</f>
        <v>24399</v>
      </c>
      <c r="H26" s="58">
        <f>SUM(平成12年度!H8:H11)</f>
        <v>344001</v>
      </c>
      <c r="I26" s="55">
        <f>SUM(平成12年度!I8:I11)</f>
        <v>291579</v>
      </c>
      <c r="J26" s="89">
        <f>SUM(平成12年度!J8:J11)</f>
        <v>204777</v>
      </c>
      <c r="K26" s="89">
        <f>SUM(平成12年度!K8:K11)</f>
        <v>86802</v>
      </c>
      <c r="L26" s="89">
        <f>SUM(平成12年度!L8:L11)</f>
        <v>52422</v>
      </c>
      <c r="M26" s="89">
        <f>SUM(平成12年度!M8:M11)</f>
        <v>37042</v>
      </c>
      <c r="N26" s="90">
        <f>SUM(平成12年度!N8:N11)</f>
        <v>15380</v>
      </c>
      <c r="O26" s="58">
        <f>SUM(平成12年度!O8:O11)</f>
        <v>110006</v>
      </c>
      <c r="P26" s="55">
        <f>SUM(平成12年度!P8:P11)</f>
        <v>83866</v>
      </c>
      <c r="Q26" s="90">
        <f>SUM(平成12年度!Q8:Q11)</f>
        <v>26140</v>
      </c>
      <c r="R26" s="58">
        <f>SUM(平成12年度!R8:R11)</f>
        <v>426778</v>
      </c>
      <c r="S26" s="55">
        <f>SUM(平成12年度!S8:S11)</f>
        <v>1173513</v>
      </c>
      <c r="T26" s="60">
        <f>平成12年度!C26/平成12年度!R26</f>
        <v>0.41422238259704108</v>
      </c>
      <c r="U26" s="61">
        <f>平成12年度!H26/平成12年度!S26</f>
        <v>0.29313778373141158</v>
      </c>
      <c r="V26" s="62">
        <f>平成12年度!L26/平成12年度!H26</f>
        <v>0.15238909189217473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9" t="s">
        <v>1466</v>
      </c>
      <c r="AK26" s="76">
        <f>平成12年度!AK23/平成12年度!AK18</f>
        <v>1.1493820817220584</v>
      </c>
      <c r="AL26" s="77">
        <f>平成12年度!AL23/平成12年度!AL18</f>
        <v>1.2095534153043381</v>
      </c>
      <c r="AM26" s="77">
        <f>平成12年度!AM23/平成12年度!AM18</f>
        <v>1.0182662215731275</v>
      </c>
      <c r="AN26" s="77">
        <f>平成12年度!AN23/平成12年度!AN18</f>
        <v>1.0779665147069275</v>
      </c>
      <c r="AO26" s="78">
        <f>平成12年度!AO23/平成12年度!AO18</f>
        <v>1.1286936236391913</v>
      </c>
      <c r="AP26" s="74">
        <f>平成12年度!AP23/平成12年度!AP18</f>
        <v>1.1221979223619463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t="20.149999999999999" customHeight="1" x14ac:dyDescent="0.2">
      <c r="A27" s="1"/>
      <c r="B27" s="53" t="s">
        <v>1467</v>
      </c>
      <c r="C27" s="58">
        <f>SUM(平成12年度!C8:C12)</f>
        <v>221315</v>
      </c>
      <c r="D27" s="55">
        <f>SUM(平成12年度!D8:D12)</f>
        <v>190812</v>
      </c>
      <c r="E27" s="89">
        <f>SUM(平成12年度!E8:E12)</f>
        <v>180398</v>
      </c>
      <c r="F27" s="89">
        <f>SUM(平成12年度!F8:F12)</f>
        <v>10414</v>
      </c>
      <c r="G27" s="90">
        <f>SUM(平成12年度!G8:G12)</f>
        <v>30503</v>
      </c>
      <c r="H27" s="58">
        <f>SUM(平成12年度!H8:H12)</f>
        <v>430547</v>
      </c>
      <c r="I27" s="55">
        <f>SUM(平成12年度!I8:I12)</f>
        <v>364964</v>
      </c>
      <c r="J27" s="89">
        <f>SUM(平成12年度!J8:J12)</f>
        <v>256215</v>
      </c>
      <c r="K27" s="89">
        <f>SUM(平成12年度!K8:K12)</f>
        <v>108749</v>
      </c>
      <c r="L27" s="89">
        <f>SUM(平成12年度!L8:L12)</f>
        <v>65583</v>
      </c>
      <c r="M27" s="89">
        <f>SUM(平成12年度!M8:M12)</f>
        <v>46328</v>
      </c>
      <c r="N27" s="90">
        <f>SUM(平成12年度!N8:N12)</f>
        <v>19255</v>
      </c>
      <c r="O27" s="58">
        <f>SUM(平成12年度!O8:O12)</f>
        <v>137530</v>
      </c>
      <c r="P27" s="55">
        <f>SUM(平成12年度!P8:P12)</f>
        <v>104857</v>
      </c>
      <c r="Q27" s="90">
        <f>SUM(平成12年度!Q8:Q12)</f>
        <v>32673</v>
      </c>
      <c r="R27" s="58">
        <f>SUM(平成12年度!R8:R12)</f>
        <v>533721</v>
      </c>
      <c r="S27" s="55">
        <f>SUM(平成12年度!S8:S12)</f>
        <v>1467310</v>
      </c>
      <c r="T27" s="60">
        <f>平成12年度!C27/平成12年度!R27</f>
        <v>0.41466421594803277</v>
      </c>
      <c r="U27" s="61">
        <f>平成12年度!H27/平成12年度!S27</f>
        <v>0.29342606538495614</v>
      </c>
      <c r="V27" s="62">
        <f>平成12年度!L27/平成12年度!H27</f>
        <v>0.15232483329346158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t="20.149999999999999" customHeight="1" x14ac:dyDescent="0.2">
      <c r="A28" s="1"/>
      <c r="B28" s="53" t="s">
        <v>1468</v>
      </c>
      <c r="C28" s="58">
        <f>SUM(平成12年度!C8:C13)</f>
        <v>265916</v>
      </c>
      <c r="D28" s="55">
        <f>SUM(平成12年度!D8:D13)</f>
        <v>229357</v>
      </c>
      <c r="E28" s="89">
        <f>SUM(平成12年度!E8:E13)</f>
        <v>216823</v>
      </c>
      <c r="F28" s="89">
        <f>SUM(平成12年度!F8:F13)</f>
        <v>12534</v>
      </c>
      <c r="G28" s="90">
        <f>SUM(平成12年度!G8:G13)</f>
        <v>36559</v>
      </c>
      <c r="H28" s="58">
        <f>SUM(平成12年度!H8:H13)</f>
        <v>517244</v>
      </c>
      <c r="I28" s="55">
        <f>SUM(平成12年度!I8:I13)</f>
        <v>438578</v>
      </c>
      <c r="J28" s="89">
        <f>SUM(平成12年度!J8:J13)</f>
        <v>307761</v>
      </c>
      <c r="K28" s="89">
        <f>SUM(平成12年度!K8:K13)</f>
        <v>130817</v>
      </c>
      <c r="L28" s="89">
        <f>SUM(平成12年度!L8:L13)</f>
        <v>78666</v>
      </c>
      <c r="M28" s="89">
        <f>SUM(平成12年度!M8:M13)</f>
        <v>55557</v>
      </c>
      <c r="N28" s="90">
        <f>SUM(平成12年度!N8:N13)</f>
        <v>23109</v>
      </c>
      <c r="O28" s="58">
        <f>SUM(平成12年度!O8:O13)</f>
        <v>164972</v>
      </c>
      <c r="P28" s="55">
        <f>SUM(平成12年度!P8:P13)</f>
        <v>125847</v>
      </c>
      <c r="Q28" s="90">
        <f>SUM(平成12年度!Q8:Q13)</f>
        <v>39125</v>
      </c>
      <c r="R28" s="58">
        <f>SUM(平成12年度!R8:R13)</f>
        <v>640718</v>
      </c>
      <c r="S28" s="55">
        <f>SUM(平成12年度!S8:S13)</f>
        <v>1761091</v>
      </c>
      <c r="T28" s="60">
        <f>平成12年度!C28/平成12年度!R28</f>
        <v>0.41502814030509522</v>
      </c>
      <c r="U28" s="61">
        <f>平成12年度!H28/平成12年度!S28</f>
        <v>0.2937065716649509</v>
      </c>
      <c r="V28" s="62">
        <f>平成12年度!L28/平成12年度!H28</f>
        <v>0.15208682942673091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20.149999999999999" customHeight="1" x14ac:dyDescent="0.2">
      <c r="A29" s="1"/>
      <c r="B29" s="53" t="s">
        <v>1469</v>
      </c>
      <c r="C29" s="58">
        <f>SUM(平成12年度!C8:C14)</f>
        <v>310661</v>
      </c>
      <c r="D29" s="55">
        <f>SUM(平成12年度!D8:D14)</f>
        <v>268037</v>
      </c>
      <c r="E29" s="89">
        <f>SUM(平成12年度!E8:E14)</f>
        <v>253370</v>
      </c>
      <c r="F29" s="89">
        <f>SUM(平成12年度!F8:F14)</f>
        <v>14667</v>
      </c>
      <c r="G29" s="90">
        <f>SUM(平成12年度!G8:G14)</f>
        <v>42624</v>
      </c>
      <c r="H29" s="58">
        <f>SUM(平成12年度!H8:H14)</f>
        <v>604157</v>
      </c>
      <c r="I29" s="55">
        <f>SUM(平成12年度!I8:I14)</f>
        <v>512395</v>
      </c>
      <c r="J29" s="89">
        <f>SUM(平成12年度!J8:J14)</f>
        <v>359374</v>
      </c>
      <c r="K29" s="89">
        <f>SUM(平成12年度!K8:K14)</f>
        <v>153021</v>
      </c>
      <c r="L29" s="89">
        <f>SUM(平成12年度!L8:L14)</f>
        <v>91762</v>
      </c>
      <c r="M29" s="89">
        <f>SUM(平成12年度!M8:M14)</f>
        <v>64787</v>
      </c>
      <c r="N29" s="90">
        <f>SUM(平成12年度!N8:N14)</f>
        <v>26975</v>
      </c>
      <c r="O29" s="58">
        <f>SUM(平成12年度!O8:O14)</f>
        <v>192428</v>
      </c>
      <c r="P29" s="55">
        <f>SUM(平成12年度!P8:P14)</f>
        <v>146842</v>
      </c>
      <c r="Q29" s="90">
        <f>SUM(平成12年度!Q8:Q14)</f>
        <v>45586</v>
      </c>
      <c r="R29" s="58">
        <f>SUM(平成12年度!R8:R14)</f>
        <v>747925</v>
      </c>
      <c r="S29" s="55">
        <f>SUM(平成12年度!S8:S14)</f>
        <v>2055169</v>
      </c>
      <c r="T29" s="60">
        <f>平成12年度!C29/平成12年度!R29</f>
        <v>0.41536383995721499</v>
      </c>
      <c r="U29" s="61">
        <f>平成12年度!H29/平成12年度!S29</f>
        <v>0.29396949837215336</v>
      </c>
      <c r="V29" s="62">
        <f>平成12年度!L29/平成12年度!H29</f>
        <v>0.15188436118426171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t="20.149999999999999" customHeight="1" x14ac:dyDescent="0.2">
      <c r="A30" s="1"/>
      <c r="B30" s="53" t="s">
        <v>1470</v>
      </c>
      <c r="C30" s="58">
        <f>SUM(平成12年度!C8:C15)</f>
        <v>355575</v>
      </c>
      <c r="D30" s="55">
        <f>SUM(平成12年度!D8:D15)</f>
        <v>306925</v>
      </c>
      <c r="E30" s="89">
        <f>SUM(平成12年度!E8:E15)</f>
        <v>290137</v>
      </c>
      <c r="F30" s="89">
        <f>SUM(平成12年度!F8:F15)</f>
        <v>16788</v>
      </c>
      <c r="G30" s="90">
        <f>SUM(平成12年度!G8:G15)</f>
        <v>48650</v>
      </c>
      <c r="H30" s="58">
        <f>SUM(平成12年度!H8:H15)</f>
        <v>691299</v>
      </c>
      <c r="I30" s="55">
        <f>SUM(平成12年度!I8:I15)</f>
        <v>586517</v>
      </c>
      <c r="J30" s="89">
        <f>SUM(平成12年度!J8:J15)</f>
        <v>411126</v>
      </c>
      <c r="K30" s="89">
        <f>SUM(平成12年度!K8:K15)</f>
        <v>175391</v>
      </c>
      <c r="L30" s="89">
        <f>SUM(平成12年度!L8:L15)</f>
        <v>104782</v>
      </c>
      <c r="M30" s="89">
        <f>SUM(平成12年度!M8:M15)</f>
        <v>73958</v>
      </c>
      <c r="N30" s="90">
        <f>SUM(平成12年度!N8:N15)</f>
        <v>30824</v>
      </c>
      <c r="O30" s="58">
        <f>SUM(平成12年度!O8:O15)</f>
        <v>219809</v>
      </c>
      <c r="P30" s="55">
        <f>SUM(平成12年度!P8:P15)</f>
        <v>167877</v>
      </c>
      <c r="Q30" s="90">
        <f>SUM(平成12年度!Q8:Q15)</f>
        <v>51932</v>
      </c>
      <c r="R30" s="58">
        <f>SUM(平成12年度!R8:R15)</f>
        <v>855337</v>
      </c>
      <c r="S30" s="55">
        <f>SUM(平成12年度!S8:S15)</f>
        <v>2349498</v>
      </c>
      <c r="T30" s="60">
        <f>平成12年度!C30/平成12年度!R30</f>
        <v>0.41571333871912475</v>
      </c>
      <c r="U30" s="61">
        <f>平成12年度!H30/平成12年度!S30</f>
        <v>0.29423264033423308</v>
      </c>
      <c r="V30" s="62">
        <f>平成12年度!L30/平成12年度!H30</f>
        <v>0.15157261908378286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t="20.149999999999999" customHeight="1" x14ac:dyDescent="0.2">
      <c r="A31" s="1"/>
      <c r="B31" s="53" t="s">
        <v>1471</v>
      </c>
      <c r="C31" s="58">
        <f>SUM(平成12年度!C8:C16)</f>
        <v>400617</v>
      </c>
      <c r="D31" s="55">
        <f>SUM(平成12年度!D8:D16)</f>
        <v>345939</v>
      </c>
      <c r="E31" s="89">
        <f>SUM(平成12年度!E8:E16)</f>
        <v>327034</v>
      </c>
      <c r="F31" s="89">
        <f>SUM(平成12年度!F8:F16)</f>
        <v>18905</v>
      </c>
      <c r="G31" s="90">
        <f>SUM(平成12年度!G8:G16)</f>
        <v>54678</v>
      </c>
      <c r="H31" s="58">
        <f>SUM(平成12年度!H8:H16)</f>
        <v>778616</v>
      </c>
      <c r="I31" s="55">
        <f>SUM(平成12年度!I8:I16)</f>
        <v>660817</v>
      </c>
      <c r="J31" s="89">
        <f>SUM(平成12年度!J8:J16)</f>
        <v>462892</v>
      </c>
      <c r="K31" s="89">
        <f>SUM(平成12年度!K8:K16)</f>
        <v>197925</v>
      </c>
      <c r="L31" s="89">
        <f>SUM(平成12年度!L8:L16)</f>
        <v>117799</v>
      </c>
      <c r="M31" s="89">
        <f>SUM(平成12年度!M8:M16)</f>
        <v>83120</v>
      </c>
      <c r="N31" s="90">
        <f>SUM(平成12年度!N8:N16)</f>
        <v>34679</v>
      </c>
      <c r="O31" s="58">
        <f>SUM(平成12年度!O8:O16)</f>
        <v>247211</v>
      </c>
      <c r="P31" s="55">
        <f>SUM(平成12年度!P8:P16)</f>
        <v>188950</v>
      </c>
      <c r="Q31" s="90">
        <f>SUM(平成12年度!Q8:Q16)</f>
        <v>58261</v>
      </c>
      <c r="R31" s="58">
        <f>SUM(平成12年度!R8:R16)</f>
        <v>962901</v>
      </c>
      <c r="S31" s="55">
        <f>SUM(平成12年度!S8:S16)</f>
        <v>2644089</v>
      </c>
      <c r="T31" s="60">
        <f>平成12年度!C31/平成12年度!R31</f>
        <v>0.41605211750740728</v>
      </c>
      <c r="U31" s="61">
        <f>平成12年度!H31/平成12年度!S31</f>
        <v>0.29447420264597751</v>
      </c>
      <c r="V31" s="62">
        <f>平成12年度!L31/平成12年度!H31</f>
        <v>0.15129280672372517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t="20.149999999999999" customHeight="1" x14ac:dyDescent="0.2">
      <c r="A32" s="1"/>
      <c r="B32" s="53" t="s">
        <v>1472</v>
      </c>
      <c r="C32" s="58">
        <f>SUM(平成12年度!C8:C17)</f>
        <v>445775</v>
      </c>
      <c r="D32" s="55">
        <f>SUM(平成12年度!D8:D17)</f>
        <v>385081</v>
      </c>
      <c r="E32" s="89">
        <f>SUM(平成12年度!E8:E17)</f>
        <v>364063</v>
      </c>
      <c r="F32" s="89">
        <f>SUM(平成12年度!F8:F17)</f>
        <v>21018</v>
      </c>
      <c r="G32" s="90">
        <f>SUM(平成12年度!G8:G17)</f>
        <v>60694</v>
      </c>
      <c r="H32" s="58">
        <f>SUM(平成12年度!H8:H17)</f>
        <v>866224</v>
      </c>
      <c r="I32" s="55">
        <f>SUM(平成12年度!I8:I17)</f>
        <v>735438</v>
      </c>
      <c r="J32" s="89">
        <f>SUM(平成12年度!J8:J17)</f>
        <v>514929</v>
      </c>
      <c r="K32" s="89">
        <f>SUM(平成12年度!K8:K17)</f>
        <v>220509</v>
      </c>
      <c r="L32" s="89">
        <f>SUM(平成12年度!L8:L17)</f>
        <v>130786</v>
      </c>
      <c r="M32" s="89">
        <f>SUM(平成12年度!M8:M17)</f>
        <v>92255</v>
      </c>
      <c r="N32" s="90">
        <f>SUM(平成12年度!N8:N17)</f>
        <v>38531</v>
      </c>
      <c r="O32" s="58">
        <f>SUM(平成12年度!O8:O17)</f>
        <v>274510</v>
      </c>
      <c r="P32" s="55">
        <f>SUM(平成12年度!P8:P17)</f>
        <v>210022</v>
      </c>
      <c r="Q32" s="90">
        <f>SUM(平成12年度!Q8:Q17)</f>
        <v>64488</v>
      </c>
      <c r="R32" s="58">
        <f>SUM(平成12年度!R8:R17)</f>
        <v>1070618</v>
      </c>
      <c r="S32" s="55">
        <f>SUM(平成12年度!S8:S17)</f>
        <v>2938852</v>
      </c>
      <c r="T32" s="60">
        <f>平成12年度!C32/平成12年度!R32</f>
        <v>0.41637166571083245</v>
      </c>
      <c r="U32" s="61">
        <f>平成12年度!H32/平成12年度!S32</f>
        <v>0.29474910611354366</v>
      </c>
      <c r="V32" s="62">
        <f>平成12年度!L32/平成12年度!H32</f>
        <v>0.15098404107944366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t="20.149999999999999" customHeight="1" x14ac:dyDescent="0.2">
      <c r="A33" s="1"/>
      <c r="B33" s="53" t="s">
        <v>1473</v>
      </c>
      <c r="C33" s="58">
        <f>SUM(平成12年度!C8:C18)</f>
        <v>490963</v>
      </c>
      <c r="D33" s="55">
        <f>SUM(平成12年度!D8:D18)</f>
        <v>424232</v>
      </c>
      <c r="E33" s="89">
        <f>SUM(平成12年度!E8:E18)</f>
        <v>401075</v>
      </c>
      <c r="F33" s="89">
        <f>SUM(平成12年度!F8:F18)</f>
        <v>23157</v>
      </c>
      <c r="G33" s="90">
        <f>SUM(平成12年度!G8:G18)</f>
        <v>66731</v>
      </c>
      <c r="H33" s="58">
        <f>SUM(平成12年度!H8:H18)</f>
        <v>953935</v>
      </c>
      <c r="I33" s="55">
        <f>SUM(平成12年度!I8:I18)</f>
        <v>810091</v>
      </c>
      <c r="J33" s="89">
        <f>SUM(平成12年度!J8:J18)</f>
        <v>566803</v>
      </c>
      <c r="K33" s="89">
        <f>SUM(平成12年度!K8:K18)</f>
        <v>243288</v>
      </c>
      <c r="L33" s="89">
        <f>SUM(平成12年度!L8:L18)</f>
        <v>143844</v>
      </c>
      <c r="M33" s="89">
        <f>SUM(平成12年度!M8:M18)</f>
        <v>101427</v>
      </c>
      <c r="N33" s="90">
        <f>SUM(平成12年度!N8:N18)</f>
        <v>42417</v>
      </c>
      <c r="O33" s="58">
        <f>SUM(平成12年度!O8:O18)</f>
        <v>301739</v>
      </c>
      <c r="P33" s="55">
        <f>SUM(平成12年度!P8:P18)</f>
        <v>231007</v>
      </c>
      <c r="Q33" s="90">
        <f>SUM(平成12年度!Q8:Q18)</f>
        <v>70732</v>
      </c>
      <c r="R33" s="58">
        <f>SUM(平成12年度!R8:R18)</f>
        <v>1178297</v>
      </c>
      <c r="S33" s="55">
        <f>SUM(平成12年度!S8:S18)</f>
        <v>3233631</v>
      </c>
      <c r="T33" s="60">
        <f>平成12年度!C33/平成12年度!R33</f>
        <v>0.41667168803790555</v>
      </c>
      <c r="U33" s="61">
        <f>平成12年度!H33/平成12年度!S33</f>
        <v>0.29500428465709289</v>
      </c>
      <c r="V33" s="62">
        <f>平成12年度!L33/平成12年度!H33</f>
        <v>0.15079014817571429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20.149999999999999" customHeight="1" x14ac:dyDescent="0.2">
      <c r="A34" s="1"/>
      <c r="B34" s="53" t="s">
        <v>1474</v>
      </c>
      <c r="C34" s="58">
        <f>SUM(平成12年度!C8:C19)</f>
        <v>536253</v>
      </c>
      <c r="D34" s="55">
        <f>SUM(平成12年度!D8:D19)</f>
        <v>463387</v>
      </c>
      <c r="E34" s="89">
        <f>SUM(平成12年度!E8:E19)</f>
        <v>438072</v>
      </c>
      <c r="F34" s="89">
        <f>SUM(平成12年度!F8:F19)</f>
        <v>25315</v>
      </c>
      <c r="G34" s="90">
        <f>SUM(平成12年度!G8:G19)</f>
        <v>72866</v>
      </c>
      <c r="H34" s="58">
        <f>SUM(平成12年度!H8:H19)</f>
        <v>1041789</v>
      </c>
      <c r="I34" s="55">
        <f>SUM(平成12年度!I8:I19)</f>
        <v>884686</v>
      </c>
      <c r="J34" s="89">
        <f>SUM(平成12年度!J8:J19)</f>
        <v>618548</v>
      </c>
      <c r="K34" s="89">
        <f>SUM(平成12年度!K8:K19)</f>
        <v>266138</v>
      </c>
      <c r="L34" s="89">
        <f>SUM(平成12年度!L8:L19)</f>
        <v>157103</v>
      </c>
      <c r="M34" s="89">
        <f>SUM(平成12年度!M8:M19)</f>
        <v>110726</v>
      </c>
      <c r="N34" s="90">
        <f>SUM(平成12年度!N8:N19)</f>
        <v>46377</v>
      </c>
      <c r="O34" s="58">
        <f>SUM(平成12年度!O8:O19)</f>
        <v>328917</v>
      </c>
      <c r="P34" s="55">
        <f>SUM(平成12年度!P8:P19)</f>
        <v>251924</v>
      </c>
      <c r="Q34" s="90">
        <f>SUM(平成12年度!Q8:Q19)</f>
        <v>76993</v>
      </c>
      <c r="R34" s="58">
        <f>SUM(平成12年度!R8:R19)</f>
        <v>1285992</v>
      </c>
      <c r="S34" s="55">
        <f>SUM(平成12年度!S8:S19)</f>
        <v>3527880</v>
      </c>
      <c r="T34" s="60">
        <f>平成12年度!C34/平成12年度!R34</f>
        <v>0.41699559561801319</v>
      </c>
      <c r="U34" s="61">
        <f>平成12年度!H34/平成12年度!S34</f>
        <v>0.29530171094254909</v>
      </c>
      <c r="V34" s="62">
        <f>平成12年度!L34/平成12年度!H34</f>
        <v>0.15080116991060569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20.149999999999999" customHeight="1" x14ac:dyDescent="0.2">
      <c r="A35" s="1"/>
      <c r="B35" s="91" t="s">
        <v>1475</v>
      </c>
      <c r="C35" s="92">
        <f>平成11年度!C19+SUM(平成12年度!C8:C18)</f>
        <v>534542</v>
      </c>
      <c r="D35" s="93">
        <f>平成11年度!D19+SUM(平成12年度!D8:D18)</f>
        <v>461841</v>
      </c>
      <c r="E35" s="94">
        <f>平成11年度!E19+SUM(平成12年度!E8:E18)</f>
        <v>436684</v>
      </c>
      <c r="F35" s="94">
        <f>平成11年度!F19+SUM(平成12年度!F8:F18)</f>
        <v>25157</v>
      </c>
      <c r="G35" s="95">
        <f>平成11年度!G19+SUM(平成12年度!G8:G18)</f>
        <v>72701</v>
      </c>
      <c r="H35" s="92">
        <f>平成11年度!H19+SUM(平成12年度!H8:H18)</f>
        <v>1038941</v>
      </c>
      <c r="I35" s="93">
        <f>平成11年度!I19+SUM(平成12年度!I8:I18)</f>
        <v>882346</v>
      </c>
      <c r="J35" s="94">
        <f>平成11年度!J19+SUM(平成12年度!J8:J18)</f>
        <v>617746</v>
      </c>
      <c r="K35" s="94">
        <f>平成11年度!K19+SUM(平成12年度!K8:K18)</f>
        <v>264600</v>
      </c>
      <c r="L35" s="94">
        <f>平成11年度!L19+SUM(平成12年度!L8:L18)</f>
        <v>156595</v>
      </c>
      <c r="M35" s="94">
        <f>平成11年度!M19+SUM(平成12年度!M8:M18)</f>
        <v>110483</v>
      </c>
      <c r="N35" s="95">
        <f>平成11年度!N19+SUM(平成12年度!N8:N18)</f>
        <v>46112</v>
      </c>
      <c r="O35" s="92"/>
      <c r="P35" s="93"/>
      <c r="Q35" s="95"/>
      <c r="R35" s="92">
        <f>平成11年度!O19+SUM(平成12年度!R8:R18)</f>
        <v>1284467</v>
      </c>
      <c r="S35" s="93">
        <f>平成11年度!P19+SUM(平成12年度!S8:S18)</f>
        <v>3526464</v>
      </c>
      <c r="T35" s="96">
        <f>平成12年度!C35/平成12年度!R35</f>
        <v>0.4161586089794444</v>
      </c>
      <c r="U35" s="97">
        <f>平成12年度!H35/平成12年度!S35</f>
        <v>0.2946126771746429</v>
      </c>
      <c r="V35" s="98">
        <f>平成12年度!L35/平成12年度!H35</f>
        <v>0.15072559461990623</v>
      </c>
      <c r="W35" s="1"/>
      <c r="X35" s="1"/>
      <c r="Y35" s="1"/>
      <c r="Z35" s="1"/>
      <c r="AA35" s="99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t="20.149999999999999" customHeight="1" x14ac:dyDescent="0.2">
      <c r="A36" s="1"/>
      <c r="B36" s="100"/>
      <c r="C36" s="100"/>
      <c r="D36" s="100"/>
      <c r="E36" s="100"/>
      <c r="F36" s="100"/>
      <c r="G36" s="100"/>
      <c r="H36" s="100"/>
      <c r="I36" s="100"/>
      <c r="J36" s="100"/>
      <c r="K36" s="100">
        <f>平成12年度!K35/12</f>
        <v>22050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"/>
      <c r="X36" s="3"/>
      <c r="Y36" s="3"/>
      <c r="Z36" s="3"/>
      <c r="AA36" s="3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t="20.149999999999999" customHeight="1" x14ac:dyDescent="0.2">
      <c r="A37" s="1"/>
      <c r="B37" s="101" t="s">
        <v>1476</v>
      </c>
      <c r="C37" s="102">
        <f>平成12年度!C2+平成12年度!C31</f>
        <v>531058</v>
      </c>
      <c r="D37" s="103">
        <f>平成12年度!D2+平成12年度!D31</f>
        <v>458710</v>
      </c>
      <c r="E37" s="104">
        <f>平成12年度!E2+平成12年度!E31</f>
        <v>433809</v>
      </c>
      <c r="F37" s="104">
        <f>平成12年度!F2+平成12年度!F31</f>
        <v>24901</v>
      </c>
      <c r="G37" s="105">
        <f>平成12年度!G2+平成12年度!G31</f>
        <v>72348</v>
      </c>
      <c r="H37" s="102">
        <f>平成12年度!H2+平成12年度!H31</f>
        <v>1033238</v>
      </c>
      <c r="I37" s="103">
        <f>平成12年度!I2+平成12年度!I31</f>
        <v>877595</v>
      </c>
      <c r="J37" s="104">
        <f>平成12年度!J2+平成12年度!J31</f>
        <v>616132</v>
      </c>
      <c r="K37" s="104">
        <f>平成12年度!K2+平成12年度!K31</f>
        <v>261463</v>
      </c>
      <c r="L37" s="104">
        <f>平成12年度!L2+平成12年度!L31</f>
        <v>155643</v>
      </c>
      <c r="M37" s="104">
        <f>平成12年度!M2+平成12年度!M31</f>
        <v>110008</v>
      </c>
      <c r="N37" s="106">
        <f>平成12年度!N2+平成12年度!N31</f>
        <v>45635</v>
      </c>
      <c r="O37" s="106"/>
      <c r="P37" s="106"/>
      <c r="Q37" s="106"/>
      <c r="R37" s="106">
        <f>平成12年度!R2+平成12年度!R31</f>
        <v>1281403</v>
      </c>
      <c r="S37" s="103">
        <f>平成12年度!S2+平成12年度!S31</f>
        <v>3523727</v>
      </c>
      <c r="T37" s="107">
        <f>平成12年度!C37/平成12年度!R37</f>
        <v>0.41443480310253683</v>
      </c>
      <c r="U37" s="107">
        <f>平成12年度!H37/平成12年度!S37</f>
        <v>0.29322305615616645</v>
      </c>
      <c r="V37" s="108">
        <f>平成12年度!L37/平成12年度!H37</f>
        <v>0.15063615546466544</v>
      </c>
      <c r="W37" s="1"/>
      <c r="X37" s="1"/>
      <c r="Y37" s="1"/>
      <c r="Z37" s="1"/>
      <c r="AA37" s="99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t="20.149999999999999" customHeight="1" x14ac:dyDescent="0.2">
      <c r="A38" s="1"/>
      <c r="B38" s="109" t="s">
        <v>1477</v>
      </c>
      <c r="C38" s="110" t="e">
        <f>#VALUE!</f>
        <v>#VALUE!</v>
      </c>
      <c r="D38" s="111" t="e">
        <f>#VALUE!</f>
        <v>#VALUE!</v>
      </c>
      <c r="E38" s="112" t="e">
        <f>#VALUE!</f>
        <v>#VALUE!</v>
      </c>
      <c r="F38" s="112" t="e">
        <f>#VALUE!</f>
        <v>#VALUE!</v>
      </c>
      <c r="G38" s="113" t="e">
        <f>#VALUE!</f>
        <v>#VALUE!</v>
      </c>
      <c r="H38" s="110" t="e">
        <f>#VALUE!</f>
        <v>#VALUE!</v>
      </c>
      <c r="I38" s="111" t="e">
        <f>#VALUE!</f>
        <v>#VALUE!</v>
      </c>
      <c r="J38" s="112" t="e">
        <f>#VALUE!</f>
        <v>#VALUE!</v>
      </c>
      <c r="K38" s="112" t="e">
        <f>#VALUE!</f>
        <v>#VALUE!</v>
      </c>
      <c r="L38" s="112" t="e">
        <f>#VALUE!</f>
        <v>#VALUE!</v>
      </c>
      <c r="M38" s="112" t="e">
        <f>#VALUE!</f>
        <v>#VALUE!</v>
      </c>
      <c r="N38" s="114" t="e">
        <f>#VALUE!</f>
        <v>#VALUE!</v>
      </c>
      <c r="O38" s="114"/>
      <c r="P38" s="114"/>
      <c r="Q38" s="114"/>
      <c r="R38" s="114" t="e">
        <f>#VALUE!</f>
        <v>#VALUE!</v>
      </c>
      <c r="S38" s="111" t="e">
        <f>#VALUE!</f>
        <v>#VALUE!</v>
      </c>
      <c r="T38" s="115" t="e">
        <f>平成12年度!C38/平成12年度!R38</f>
        <v>#VALUE!</v>
      </c>
      <c r="U38" s="115" t="e">
        <f>平成12年度!H38/平成12年度!S38</f>
        <v>#VALUE!</v>
      </c>
      <c r="V38" s="116" t="e">
        <f>平成12年度!L38/平成12年度!H38</f>
        <v>#VALUE!</v>
      </c>
      <c r="W38" s="1"/>
      <c r="X38" s="117"/>
      <c r="Y38" s="117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t="20.14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t="20.149999999999999" customHeight="1" x14ac:dyDescent="0.2">
      <c r="A40" s="1"/>
      <c r="B40" s="1" t="s">
        <v>1478</v>
      </c>
      <c r="C40" s="1"/>
      <c r="D40" s="1"/>
      <c r="E40" s="1"/>
      <c r="F40" s="1"/>
      <c r="G40" s="1"/>
      <c r="H40" s="1"/>
      <c r="I40" s="1"/>
      <c r="J40" s="1" t="s">
        <v>1479</v>
      </c>
      <c r="K40" s="1"/>
      <c r="L40" s="1"/>
      <c r="M40" s="1"/>
      <c r="N40" s="1"/>
      <c r="O40" s="1"/>
      <c r="P40" s="1"/>
      <c r="Q40" s="1"/>
      <c r="R40" s="1">
        <v>29298</v>
      </c>
      <c r="S40" s="1"/>
      <c r="T40" s="1"/>
      <c r="U40" s="1"/>
      <c r="V40" s="1"/>
      <c r="W40" s="1"/>
      <c r="X40" s="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20.149999999999999" customHeight="1" x14ac:dyDescent="0.2">
      <c r="A41" s="1"/>
      <c r="B41" s="1"/>
      <c r="C41" s="1" t="s">
        <v>1480</v>
      </c>
      <c r="D41" s="1" t="s">
        <v>1481</v>
      </c>
      <c r="E41" s="1" t="s">
        <v>1482</v>
      </c>
      <c r="F41" s="1" t="s">
        <v>1483</v>
      </c>
      <c r="G41" s="1" t="s">
        <v>1484</v>
      </c>
      <c r="H41" s="1" t="s">
        <v>1485</v>
      </c>
      <c r="I41" s="1"/>
      <c r="J41" s="1"/>
      <c r="K41" s="1" t="s">
        <v>1486</v>
      </c>
      <c r="L41" s="1" t="s">
        <v>1487</v>
      </c>
      <c r="M41" s="1" t="s">
        <v>1488</v>
      </c>
      <c r="N41" s="1" t="s">
        <v>1489</v>
      </c>
      <c r="O41" s="1"/>
      <c r="P41" s="1"/>
      <c r="Q41" s="1"/>
      <c r="R41" s="1" t="s">
        <v>1490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 t="s">
        <v>1491</v>
      </c>
      <c r="K42" s="118">
        <v>26128</v>
      </c>
      <c r="L42" s="118">
        <v>26088</v>
      </c>
      <c r="M42" s="118">
        <v>26606</v>
      </c>
      <c r="N42" s="118">
        <v>27066</v>
      </c>
      <c r="O42" s="118"/>
      <c r="P42" s="118"/>
      <c r="Q42" s="118"/>
      <c r="R42" s="3">
        <f>ROUND(+平成12年度!R43*平成12年度!N42,0)</f>
        <v>27605</v>
      </c>
      <c r="S42" s="1" t="s">
        <v>1492</v>
      </c>
      <c r="T42" s="1"/>
      <c r="U42" s="1"/>
      <c r="V42" s="1"/>
      <c r="W42" s="117"/>
      <c r="X42" s="117"/>
      <c r="Y42" s="1"/>
      <c r="Z42" s="1"/>
      <c r="AA42" s="1"/>
      <c r="AB42" s="1"/>
      <c r="AC42" s="1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t="20.149999999999999" customHeight="1" x14ac:dyDescent="0.2">
      <c r="A43" s="1"/>
      <c r="B43" s="1" t="s">
        <v>1493</v>
      </c>
      <c r="C43" s="1">
        <f>(+平成7年度!K19+平成８年度!K27)/6</f>
        <v>16433.333333333332</v>
      </c>
      <c r="D43" s="1">
        <f>(+平成８年度!K19+平成９年度!K27)/6</f>
        <v>17542.666666666668</v>
      </c>
      <c r="E43" s="1">
        <f>(+平成９年度!K19+平成10年度!K27)/6</f>
        <v>18744</v>
      </c>
      <c r="F43" s="120">
        <f>ROUND((+平成10年度!K19+平成11年度!K27)/6,0)</f>
        <v>20106</v>
      </c>
      <c r="G43" s="120">
        <f>ROUND((+平成11年度!K19+平成12年度!K27)/6,0)</f>
        <v>21677</v>
      </c>
      <c r="H43" s="1"/>
      <c r="I43" s="1"/>
      <c r="J43" s="1"/>
      <c r="K43" s="1"/>
      <c r="L43" s="1">
        <f>ROUND(+平成12年度!L42/平成12年度!K42,4)</f>
        <v>0.99850000000000005</v>
      </c>
      <c r="M43" s="1">
        <f>ROUND(+平成12年度!M42/平成12年度!L42,4)</f>
        <v>1.0199</v>
      </c>
      <c r="N43" s="1">
        <f>平成12年度!M43</f>
        <v>1.0199</v>
      </c>
      <c r="O43" s="1"/>
      <c r="P43" s="1"/>
      <c r="Q43" s="1"/>
      <c r="R43" s="1">
        <f>ROUND((平成12年度!M43+平成12年度!N43)/2,4)</f>
        <v>1.0199</v>
      </c>
      <c r="S43" s="1"/>
      <c r="T43" s="1"/>
      <c r="U43" s="1"/>
      <c r="V43" s="1"/>
      <c r="W43" s="1"/>
      <c r="X43" s="1"/>
      <c r="Y43" s="117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t="20.149999999999999" customHeight="1" x14ac:dyDescent="0.2">
      <c r="A44" s="1"/>
      <c r="B44" s="121" t="s">
        <v>1494</v>
      </c>
      <c r="C44" s="121"/>
      <c r="D44" s="122">
        <f>平成12年度!D43/平成12年度!C43</f>
        <v>1.0675050709939149</v>
      </c>
      <c r="E44" s="122">
        <f>平成12年度!E43/平成12年度!D43</f>
        <v>1.0684806566846545</v>
      </c>
      <c r="F44" s="123">
        <f>ROUND(+平成12年度!F43/平成12年度!E43,4)</f>
        <v>1.0727</v>
      </c>
      <c r="G44" s="123">
        <f>ROUND(+平成12年度!G43/平成12年度!F43,4)</f>
        <v>1.0781000000000001</v>
      </c>
      <c r="H44" s="1"/>
      <c r="I44" s="1"/>
      <c r="J44" s="1" t="s">
        <v>1495</v>
      </c>
      <c r="K44" s="1">
        <f>ROUND(+平成12年度!K46/平成12年度!K42,4)</f>
        <v>0.99309999999999998</v>
      </c>
      <c r="L44" s="1">
        <f>ROUND(+平成12年度!L46/平成12年度!L42,4)</f>
        <v>0.99739999999999995</v>
      </c>
      <c r="M44" s="1">
        <f>ROUND(+平成12年度!M46/平成12年度!M42,4)</f>
        <v>1.0001</v>
      </c>
      <c r="N44" s="1">
        <f>平成12年度!M44</f>
        <v>1.0001</v>
      </c>
      <c r="O44" s="1"/>
      <c r="P44" s="1"/>
      <c r="Q44" s="1"/>
      <c r="R44" s="1">
        <f>ROUND((+平成12年度!N44+平成12年度!M44)/2,4)</f>
        <v>1.0001</v>
      </c>
      <c r="S44" s="1"/>
      <c r="T44" s="1"/>
      <c r="U44" s="1"/>
      <c r="V44" s="1"/>
      <c r="W44" s="117"/>
      <c r="X44" s="124" t="s">
        <v>1496</v>
      </c>
      <c r="Y44" s="1"/>
      <c r="Z44" s="125" t="str">
        <f>平成12年度!C3</f>
        <v>平成12年度</v>
      </c>
      <c r="AA44" s="117"/>
      <c r="AB44" s="117"/>
      <c r="AC44" s="117"/>
      <c r="AD44" s="117"/>
      <c r="AE44" s="117"/>
      <c r="AF44" s="117"/>
      <c r="AG44" s="117" t="s">
        <v>1497</v>
      </c>
      <c r="AH44" s="119" t="s">
        <v>1498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20.149999999999999" customHeight="1" x14ac:dyDescent="0.25">
      <c r="A45" s="1"/>
      <c r="B45" s="1" t="s">
        <v>1499</v>
      </c>
      <c r="C45" s="1">
        <f>平成８年度!K36</f>
        <v>16714.583333333332</v>
      </c>
      <c r="D45" s="1">
        <f>平成９年度!K36</f>
        <v>17827.916666666668</v>
      </c>
      <c r="E45" s="1">
        <f>平成10年度!K36</f>
        <v>19061.583333333332</v>
      </c>
      <c r="F45" s="126">
        <f>平成11年度!K36</f>
        <v>20475.5</v>
      </c>
      <c r="G45" s="126">
        <f>ROUND(+平成12年度!F46*平成12年度!G43,0)</f>
        <v>22076</v>
      </c>
      <c r="H45" s="126">
        <f>平成12年度!G45*平成12年度!G47</f>
        <v>23802.343199999999</v>
      </c>
      <c r="I45" s="1"/>
      <c r="J45" s="1"/>
      <c r="K45" s="1"/>
      <c r="L45" s="1"/>
      <c r="M45" s="1"/>
      <c r="N45" s="3">
        <f>ROUND(+平成12年度!N44*平成12年度!N42,0)</f>
        <v>27069</v>
      </c>
      <c r="O45" s="3"/>
      <c r="P45" s="3"/>
      <c r="Q45" s="3"/>
      <c r="R45" s="3">
        <f>ROUND(+平成12年度!R42*平成12年度!R44,0)</f>
        <v>27608</v>
      </c>
      <c r="S45" s="1"/>
      <c r="T45" s="118"/>
      <c r="U45" s="118"/>
      <c r="V45" s="118"/>
      <c r="W45" s="118"/>
      <c r="X45" s="127"/>
      <c r="Y45" s="128" t="s">
        <v>1500</v>
      </c>
      <c r="Z45" s="129" t="s">
        <v>1501</v>
      </c>
      <c r="AA45" s="129" t="s">
        <v>1502</v>
      </c>
      <c r="AB45" s="129" t="s">
        <v>1503</v>
      </c>
      <c r="AC45" s="129" t="s">
        <v>1504</v>
      </c>
      <c r="AD45" s="130" t="s">
        <v>1505</v>
      </c>
      <c r="AE45" s="130" t="s">
        <v>1506</v>
      </c>
      <c r="AF45" s="130" t="s">
        <v>1507</v>
      </c>
      <c r="AG45" s="131" t="s">
        <v>1508</v>
      </c>
      <c r="AH45" s="131" t="s">
        <v>1509</v>
      </c>
      <c r="AI45" s="132" t="s">
        <v>1510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20.149999999999999" customHeight="1" x14ac:dyDescent="0.2">
      <c r="A46" s="1"/>
      <c r="B46" s="121" t="s">
        <v>1511</v>
      </c>
      <c r="C46" s="122">
        <f>平成12年度!C45/平成12年度!C43</f>
        <v>1.0171146044624746</v>
      </c>
      <c r="D46" s="122">
        <f>平成12年度!D45/平成12年度!D43</f>
        <v>1.0162603557041878</v>
      </c>
      <c r="E46" s="122">
        <f>平成12年度!E45/平成12年度!E43</f>
        <v>1.0169431996016502</v>
      </c>
      <c r="F46" s="122">
        <f>ROUND(+平成12年度!F45/平成12年度!F43,4)</f>
        <v>1.0184</v>
      </c>
      <c r="G46" s="122">
        <f>ROUND((+平成12年度!E46+平成12年度!F46)/2,4)</f>
        <v>1.0177</v>
      </c>
      <c r="H46" s="1"/>
      <c r="I46" s="1"/>
      <c r="J46" s="1" t="s">
        <v>1512</v>
      </c>
      <c r="K46" s="118">
        <v>25949</v>
      </c>
      <c r="L46" s="118">
        <v>26021</v>
      </c>
      <c r="M46" s="118">
        <v>26608</v>
      </c>
      <c r="N46" s="1"/>
      <c r="O46" s="1"/>
      <c r="P46" s="1"/>
      <c r="Q46" s="1"/>
      <c r="R46" s="1"/>
      <c r="S46" s="1"/>
      <c r="T46" s="1"/>
      <c r="U46" s="1"/>
      <c r="V46" s="1"/>
      <c r="W46" s="133"/>
      <c r="X46" s="134"/>
      <c r="Y46" s="135" t="s">
        <v>1513</v>
      </c>
      <c r="Z46" s="136" t="s">
        <v>1514</v>
      </c>
      <c r="AA46" s="137" t="s">
        <v>1515</v>
      </c>
      <c r="AB46" s="137" t="s">
        <v>1516</v>
      </c>
      <c r="AC46" s="138" t="s">
        <v>1517</v>
      </c>
      <c r="AD46" s="139"/>
      <c r="AE46" s="140" t="s">
        <v>1518</v>
      </c>
      <c r="AF46" s="140" t="s">
        <v>1519</v>
      </c>
      <c r="AG46" s="140" t="s">
        <v>1520</v>
      </c>
      <c r="AH46" s="140" t="s">
        <v>1521</v>
      </c>
      <c r="AI46" s="141" t="s">
        <v>1522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t="20.149999999999999" customHeight="1" x14ac:dyDescent="0.2">
      <c r="A47" s="1"/>
      <c r="B47" s="121" t="s">
        <v>1523</v>
      </c>
      <c r="C47" s="121"/>
      <c r="D47" s="122">
        <f>平成12年度!D45/平成12年度!C45</f>
        <v>1.0666085005608876</v>
      </c>
      <c r="E47" s="122">
        <f>平成12年度!E45/平成12年度!D45</f>
        <v>1.0691985883562762</v>
      </c>
      <c r="F47" s="122">
        <f>ROUND(+平成12年度!F45/平成12年度!E45,4)</f>
        <v>1.0742</v>
      </c>
      <c r="G47" s="122">
        <f>ROUND(+平成12年度!G45/平成12年度!F45,4)</f>
        <v>1.0782</v>
      </c>
      <c r="H47" s="1"/>
      <c r="I47" s="1"/>
      <c r="J47" s="1"/>
      <c r="K47" s="1"/>
      <c r="L47" s="1">
        <f>ROUND(+平成12年度!L46/平成12年度!K46,4)</f>
        <v>1.0027999999999999</v>
      </c>
      <c r="M47" s="1">
        <f>ROUND(+平成12年度!M46/平成12年度!L46,4)</f>
        <v>1.0226</v>
      </c>
      <c r="N47" s="1">
        <f>平成12年度!M47</f>
        <v>1.0226</v>
      </c>
      <c r="O47" s="1"/>
      <c r="P47" s="1"/>
      <c r="Q47" s="1"/>
      <c r="R47" s="1">
        <f>平成12年度!N47</f>
        <v>1.0226</v>
      </c>
      <c r="S47" s="1"/>
      <c r="T47" s="1"/>
      <c r="U47" s="1"/>
      <c r="V47" s="1"/>
      <c r="W47" s="117"/>
      <c r="X47" s="142"/>
      <c r="Y47" s="143"/>
      <c r="Z47" s="144"/>
      <c r="AA47" s="144"/>
      <c r="AB47" s="144"/>
      <c r="AC47" s="145"/>
      <c r="AD47" s="146">
        <f>平成12年度!M8</f>
        <v>9216</v>
      </c>
      <c r="AE47" s="144" t="s">
        <v>1524</v>
      </c>
      <c r="AF47" s="144"/>
      <c r="AG47" s="147"/>
      <c r="AH47" s="147"/>
      <c r="AI47" s="148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t="1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 t="s">
        <v>1525</v>
      </c>
      <c r="K48" s="1"/>
      <c r="L48" s="1"/>
      <c r="M48" s="1"/>
      <c r="N48" s="3">
        <f>ROUND(+平成12年度!M46*平成12年度!N47,0)</f>
        <v>27209</v>
      </c>
      <c r="O48" s="3"/>
      <c r="P48" s="3"/>
      <c r="Q48" s="3"/>
      <c r="R48" s="149">
        <f>ROUND(+平成12年度!N48*平成12年度!R47,0)</f>
        <v>27824</v>
      </c>
      <c r="S48" s="1"/>
      <c r="T48" s="1"/>
      <c r="U48" s="1"/>
      <c r="V48" s="1"/>
      <c r="W48" s="117" t="s">
        <v>1526</v>
      </c>
      <c r="X48" s="134" t="s">
        <v>1527</v>
      </c>
      <c r="Y48" s="150">
        <f>平成12年度!C8</f>
        <v>44010</v>
      </c>
      <c r="Z48" s="151">
        <f>平成12年度!H8</f>
        <v>85763</v>
      </c>
      <c r="AA48" s="151">
        <f>平成12年度!Z48-平成12年度!AB48-平成12年度!AC48</f>
        <v>51186</v>
      </c>
      <c r="AB48" s="151">
        <f>平成12年度!K8</f>
        <v>21556</v>
      </c>
      <c r="AC48" s="152">
        <f>平成12年度!AD47+平成12年度!AD48</f>
        <v>13021</v>
      </c>
      <c r="AD48" s="153">
        <f>平成12年度!N8</f>
        <v>3805</v>
      </c>
      <c r="AE48" s="151">
        <f>平成12年度!R8</f>
        <v>106568</v>
      </c>
      <c r="AF48" s="150">
        <f>平成12年度!S8</f>
        <v>293169</v>
      </c>
      <c r="AG48" s="154">
        <f>平成12年度!Y48/+平成12年度!AE48</f>
        <v>0.41297575257112829</v>
      </c>
      <c r="AH48" s="155">
        <f>平成12年度!Z48/+平成12年度!AF48</f>
        <v>0.29253775126292342</v>
      </c>
      <c r="AI48" s="156">
        <f>平成12年度!AC48/+平成12年度!Z48</f>
        <v>0.15182537924279702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t="13" customHeight="1" x14ac:dyDescent="0.2">
      <c r="A49" s="1"/>
      <c r="B49" s="1"/>
      <c r="C49" s="1"/>
      <c r="D49" s="1"/>
      <c r="E49" s="1"/>
      <c r="F49" s="1"/>
      <c r="G49" s="99" t="s">
        <v>1528</v>
      </c>
      <c r="H49" s="99" t="s">
        <v>1529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42"/>
      <c r="Y49" s="143" t="s">
        <v>1530</v>
      </c>
      <c r="Z49" s="144"/>
      <c r="AA49" s="144"/>
      <c r="AB49" s="144"/>
      <c r="AC49" s="157"/>
      <c r="AD49" s="146">
        <f>平成12年度!M9</f>
        <v>9225</v>
      </c>
      <c r="AE49" s="144"/>
      <c r="AF49" s="143"/>
      <c r="AG49" s="158"/>
      <c r="AH49" s="147"/>
      <c r="AI49" s="15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t="13" customHeight="1" x14ac:dyDescent="0.2">
      <c r="A50" s="1"/>
      <c r="B50" s="1"/>
      <c r="C50" s="1"/>
      <c r="D50" s="1"/>
      <c r="E50" s="1"/>
      <c r="F50" s="1"/>
      <c r="G50" s="160">
        <f>IF(+平成12年度!G45&gt;0,ROUNDUP(+平成12年度!G45,-2),ROUNDDOWN(+平成12年度!G45,-2))</f>
        <v>22100</v>
      </c>
      <c r="H50" s="160">
        <f>IF(+平成12年度!H45&gt;0,ROUNDUP(+平成12年度!H45,-2),ROUNDDOWN(+平成12年度!H45,-2))</f>
        <v>23900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34" t="s">
        <v>1531</v>
      </c>
      <c r="Y50" s="150">
        <f>平成12年度!C9</f>
        <v>44124</v>
      </c>
      <c r="Z50" s="151">
        <f>平成12年度!H9</f>
        <v>85865</v>
      </c>
      <c r="AA50" s="151">
        <f>平成12年度!Z50-平成12年度!AB50-平成12年度!AC50</f>
        <v>51174</v>
      </c>
      <c r="AB50" s="151">
        <f>平成12年度!K9</f>
        <v>21641</v>
      </c>
      <c r="AC50" s="152">
        <f>平成12年度!AD49+平成12年度!AD50</f>
        <v>13050</v>
      </c>
      <c r="AD50" s="153">
        <f>平成12年度!N9</f>
        <v>3825</v>
      </c>
      <c r="AE50" s="151">
        <f>平成12年度!R9</f>
        <v>106653</v>
      </c>
      <c r="AF50" s="150">
        <f>平成12年度!S9</f>
        <v>293315</v>
      </c>
      <c r="AG50" s="154">
        <f>平成12年度!Y50/+平成12年度!AE50</f>
        <v>0.41371550729937273</v>
      </c>
      <c r="AH50" s="155">
        <f>平成12年度!Z50/+平成12年度!AF50</f>
        <v>0.29273988715203791</v>
      </c>
      <c r="AI50" s="156">
        <f>平成12年度!AC50/+平成12年度!Z50</f>
        <v>0.15198276364059862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">
      <c r="A51" s="161" t="s">
        <v>1532</v>
      </c>
      <c r="B51" s="1"/>
      <c r="C51" s="1"/>
      <c r="D51" s="1"/>
      <c r="E51" s="1"/>
      <c r="F51" s="1"/>
      <c r="G51" s="1"/>
      <c r="H51" s="1"/>
      <c r="I51" s="1"/>
      <c r="J51" s="1"/>
      <c r="K51" s="1" t="s">
        <v>1533</v>
      </c>
      <c r="L51" s="1" t="s">
        <v>1534</v>
      </c>
      <c r="M51" s="1" t="s">
        <v>1535</v>
      </c>
      <c r="N51" s="1" t="s">
        <v>1536</v>
      </c>
      <c r="O51" s="1"/>
      <c r="P51" s="1"/>
      <c r="Q51" s="1"/>
      <c r="R51" s="1" t="s">
        <v>1537</v>
      </c>
      <c r="S51" s="1"/>
      <c r="T51" s="1"/>
      <c r="U51" s="1"/>
      <c r="V51" s="1"/>
      <c r="W51" s="117"/>
      <c r="X51" s="142"/>
      <c r="Y51" s="143" t="s">
        <v>1538</v>
      </c>
      <c r="Z51" s="144" t="s">
        <v>1539</v>
      </c>
      <c r="AA51" s="144" t="s">
        <v>1540</v>
      </c>
      <c r="AB51" s="144"/>
      <c r="AC51" s="145"/>
      <c r="AD51" s="146">
        <f>平成12年度!M10</f>
        <v>9311</v>
      </c>
      <c r="AE51" s="144"/>
      <c r="AF51" s="144"/>
      <c r="AG51" s="147" t="s">
        <v>1541</v>
      </c>
      <c r="AH51" s="147" t="s">
        <v>1542</v>
      </c>
      <c r="AI51" s="148" t="s">
        <v>1543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">
      <c r="A52" s="1" t="s">
        <v>1544</v>
      </c>
      <c r="B52" s="1"/>
      <c r="C52" s="1" t="s">
        <v>1545</v>
      </c>
      <c r="D52" s="1" t="s">
        <v>1546</v>
      </c>
      <c r="E52" s="1" t="s">
        <v>1547</v>
      </c>
      <c r="F52" s="1" t="s">
        <v>1548</v>
      </c>
      <c r="G52" s="1" t="s">
        <v>1549</v>
      </c>
      <c r="H52" s="1" t="s">
        <v>1550</v>
      </c>
      <c r="I52" s="1"/>
      <c r="J52" s="1" t="s">
        <v>1551</v>
      </c>
      <c r="K52" s="118">
        <v>26128</v>
      </c>
      <c r="L52" s="118">
        <v>26088</v>
      </c>
      <c r="M52" s="118">
        <v>26606</v>
      </c>
      <c r="N52" s="118">
        <v>27066</v>
      </c>
      <c r="O52" s="118"/>
      <c r="P52" s="118"/>
      <c r="Q52" s="118"/>
      <c r="R52" s="1"/>
      <c r="S52" s="1"/>
      <c r="T52" s="1"/>
      <c r="U52" s="1"/>
      <c r="V52" s="1"/>
      <c r="W52" s="117"/>
      <c r="X52" s="134" t="s">
        <v>1552</v>
      </c>
      <c r="Y52" s="150">
        <f>平成12年度!C10</f>
        <v>44265</v>
      </c>
      <c r="Z52" s="151">
        <f>平成12年度!H10</f>
        <v>86102</v>
      </c>
      <c r="AA52" s="151">
        <f>平成12年度!Z52-平成12年度!AB52-平成12年度!AC52</f>
        <v>51167</v>
      </c>
      <c r="AB52" s="151">
        <f>平成12年度!K10</f>
        <v>21751</v>
      </c>
      <c r="AC52" s="152">
        <f>平成12年度!AD51+平成12年度!AD52</f>
        <v>13184</v>
      </c>
      <c r="AD52" s="153">
        <f>平成12年度!N10</f>
        <v>3873</v>
      </c>
      <c r="AE52" s="151">
        <f>平成12年度!R10</f>
        <v>106717</v>
      </c>
      <c r="AF52" s="150">
        <f>平成12年度!S10</f>
        <v>293412</v>
      </c>
      <c r="AG52" s="154">
        <f>平成12年度!Y52/+平成12年度!AE52</f>
        <v>0.41478864660738213</v>
      </c>
      <c r="AH52" s="155">
        <f>平成12年度!Z52/+平成12年度!AF52</f>
        <v>0.29345084727277687</v>
      </c>
      <c r="AI52" s="156">
        <f>平成12年度!AC52/+平成12年度!Z52</f>
        <v>0.153120717288797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>
        <v>48779</v>
      </c>
      <c r="L53" s="1">
        <v>48738</v>
      </c>
      <c r="M53" s="1">
        <v>49951</v>
      </c>
      <c r="N53" s="1">
        <v>50707</v>
      </c>
      <c r="O53" s="1"/>
      <c r="P53" s="1"/>
      <c r="Q53" s="1"/>
      <c r="R53" s="1"/>
      <c r="S53" s="1"/>
      <c r="T53" s="1"/>
      <c r="U53" s="1"/>
      <c r="V53" s="1"/>
      <c r="W53" s="117"/>
      <c r="X53" s="142"/>
      <c r="Y53" s="143"/>
      <c r="Z53" s="144"/>
      <c r="AA53" s="144" t="s">
        <v>1553</v>
      </c>
      <c r="AB53" s="144"/>
      <c r="AC53" s="157"/>
      <c r="AD53" s="146">
        <f>平成12年度!M11</f>
        <v>9290</v>
      </c>
      <c r="AE53" s="144"/>
      <c r="AF53" s="143"/>
      <c r="AG53" s="158" t="s">
        <v>1554</v>
      </c>
      <c r="AH53" s="147" t="s">
        <v>1555</v>
      </c>
      <c r="AI53" s="159" t="s">
        <v>1556</v>
      </c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">
      <c r="A54" s="1"/>
      <c r="B54" s="1" t="s">
        <v>1557</v>
      </c>
      <c r="C54" s="1" t="e">
        <f>ROUND(SUM(+平成7年度!P8:P12)/5,0)</f>
        <v>#VALUE!</v>
      </c>
      <c r="D54" s="1" t="e">
        <f>ROUND(SUM(+平成８年度!P8:P12)/5,0)</f>
        <v>#VALUE!</v>
      </c>
      <c r="E54" s="1" t="e">
        <f>ROUND(SUM(+平成９年度!P8:P12)/5,0)</f>
        <v>#VALUE!</v>
      </c>
      <c r="F54" s="120" t="e">
        <f>ROUND(SUM(+平成10年度!P8:P12)/5,0)</f>
        <v>#VALUE!</v>
      </c>
      <c r="G54" s="120" t="e">
        <f>ROUND(SUM(+平成11年度!P8:P12)/5,0)</f>
        <v>#VALUE!</v>
      </c>
      <c r="H54" s="1" t="e">
        <f>ROUND(SUM(+平成12年度!S8:S12)/5,0)</f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34" t="s">
        <v>1558</v>
      </c>
      <c r="Y54" s="150">
        <f>平成12年度!C11</f>
        <v>44382</v>
      </c>
      <c r="Z54" s="151">
        <f>平成12年度!H11</f>
        <v>86271</v>
      </c>
      <c r="AA54" s="151">
        <f>平成12年度!Z54-平成12年度!AB54-平成12年度!AC54</f>
        <v>51250</v>
      </c>
      <c r="AB54" s="151">
        <f>平成12年度!K11</f>
        <v>21854</v>
      </c>
      <c r="AC54" s="152">
        <f>平成12年度!AD53+平成12年度!AD54</f>
        <v>13167</v>
      </c>
      <c r="AD54" s="153">
        <f>平成12年度!N11</f>
        <v>3877</v>
      </c>
      <c r="AE54" s="151">
        <f>平成12年度!R11</f>
        <v>106840</v>
      </c>
      <c r="AF54" s="150">
        <f>平成12年度!S11</f>
        <v>293617</v>
      </c>
      <c r="AG54" s="154">
        <f>平成12年度!Y54/+平成12年度!AE54</f>
        <v>0.41540621490078622</v>
      </c>
      <c r="AH54" s="155">
        <f>平成12年度!Z54/+平成12年度!AF54</f>
        <v>0.29382154303054658</v>
      </c>
      <c r="AI54" s="156">
        <f>平成12年度!AC54/+平成12年度!Z54</f>
        <v>0.15262370900998018</v>
      </c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">
      <c r="A55" s="1"/>
      <c r="B55" s="121" t="s">
        <v>1559</v>
      </c>
      <c r="C55" s="121"/>
      <c r="D55" s="122" t="e">
        <f>平成12年度!D54/平成12年度!C54</f>
        <v>#VALUE!</v>
      </c>
      <c r="E55" s="122" t="e">
        <f>平成12年度!E54/平成12年度!D54</f>
        <v>#VALUE!</v>
      </c>
      <c r="F55" s="123" t="e">
        <f>ROUND(+平成12年度!F54/平成12年度!E54,4)</f>
        <v>#VALUE!</v>
      </c>
      <c r="G55" s="123" t="e">
        <f>ROUND(+平成12年度!G54/平成12年度!F54,4)</f>
        <v>#VALUE!</v>
      </c>
      <c r="H55" s="123" t="e">
        <f>ROUND(+平成12年度!H54/平成12年度!G54,4)</f>
        <v>#VALUE!</v>
      </c>
      <c r="I55" s="1"/>
      <c r="J55" s="1" t="s">
        <v>1560</v>
      </c>
      <c r="K55" s="118">
        <v>25949</v>
      </c>
      <c r="L55" s="118">
        <v>26021</v>
      </c>
      <c r="M55" s="118">
        <v>26608</v>
      </c>
      <c r="N55" s="1">
        <f>ROUND(ROUND(+平成12年度!M55/平成12年度!L55,4)*平成12年度!M55,0)</f>
        <v>27209</v>
      </c>
      <c r="O55" s="1"/>
      <c r="P55" s="1"/>
      <c r="Q55" s="1"/>
      <c r="R55" s="1"/>
      <c r="S55" s="1"/>
      <c r="T55" s="1"/>
      <c r="U55" s="1"/>
      <c r="V55" s="1"/>
      <c r="W55" s="117"/>
      <c r="X55" s="142"/>
      <c r="Y55" s="143"/>
      <c r="Z55" s="144"/>
      <c r="AA55" s="144" t="s">
        <v>1561</v>
      </c>
      <c r="AB55" s="144"/>
      <c r="AC55" s="145"/>
      <c r="AD55" s="146">
        <f>平成12年度!M12</f>
        <v>9286</v>
      </c>
      <c r="AE55" s="144"/>
      <c r="AF55" s="144"/>
      <c r="AG55" s="147" t="s">
        <v>1562</v>
      </c>
      <c r="AH55" s="147" t="s">
        <v>1563</v>
      </c>
      <c r="AI55" s="148" t="s">
        <v>1564</v>
      </c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t="15.5" x14ac:dyDescent="0.25">
      <c r="A56" s="1"/>
      <c r="B56" s="1" t="s">
        <v>1565</v>
      </c>
      <c r="C56" s="1">
        <f>平成7年度!P21</f>
        <v>288695.58333333331</v>
      </c>
      <c r="D56" s="1">
        <f>平成８年度!P21</f>
        <v>290091.16666666669</v>
      </c>
      <c r="E56" s="1" t="e">
        <f>平成９年度!P21</f>
        <v>#VALUE!</v>
      </c>
      <c r="F56" s="126" t="e">
        <f>平成10年度!P21</f>
        <v>#VALUE!</v>
      </c>
      <c r="G56" s="126">
        <f>平成11年度!P21</f>
        <v>292958.75</v>
      </c>
      <c r="H56" s="126" t="s">
        <v>1566</v>
      </c>
      <c r="I56" s="1"/>
      <c r="J56" s="1"/>
      <c r="K56" s="1">
        <v>48708</v>
      </c>
      <c r="L56" s="1">
        <v>49113</v>
      </c>
      <c r="M56" s="1">
        <v>50246</v>
      </c>
      <c r="N56" s="1">
        <f>ROUND(ROUND(+平成12年度!M56/平成12年度!L56,4)*平成12年度!M56,0)</f>
        <v>51407</v>
      </c>
      <c r="O56" s="1"/>
      <c r="P56" s="1"/>
      <c r="Q56" s="1"/>
      <c r="R56" s="1"/>
      <c r="S56" s="1"/>
      <c r="T56" s="1"/>
      <c r="U56" s="1"/>
      <c r="V56" s="1"/>
      <c r="W56" s="117"/>
      <c r="X56" s="134" t="s">
        <v>1567</v>
      </c>
      <c r="Y56" s="150">
        <f>平成12年度!C12</f>
        <v>44534</v>
      </c>
      <c r="Z56" s="151">
        <f>平成12年度!H12</f>
        <v>86546</v>
      </c>
      <c r="AA56" s="151">
        <f>平成12年度!Z56-平成12年度!AB56-平成12年度!AC56</f>
        <v>51438</v>
      </c>
      <c r="AB56" s="151">
        <f>平成12年度!K12</f>
        <v>21947</v>
      </c>
      <c r="AC56" s="152">
        <f>平成12年度!AD55+平成12年度!AD56</f>
        <v>13161</v>
      </c>
      <c r="AD56" s="153">
        <f>平成12年度!N12</f>
        <v>3875</v>
      </c>
      <c r="AE56" s="151">
        <f>平成12年度!R12</f>
        <v>106943</v>
      </c>
      <c r="AF56" s="150">
        <f>平成12年度!S12</f>
        <v>293797</v>
      </c>
      <c r="AG56" s="154">
        <f>平成12年度!Y56/+平成12年度!AE56</f>
        <v>0.41642744265636833</v>
      </c>
      <c r="AH56" s="155">
        <f>平成12年度!Z56/+平成12年度!AF56</f>
        <v>0.29457754844331291</v>
      </c>
      <c r="AI56" s="156">
        <f>平成12年度!AC56/+平成12年度!Z56</f>
        <v>0.15206941973054791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">
      <c r="A57" s="1"/>
      <c r="B57" s="121" t="s">
        <v>1568</v>
      </c>
      <c r="C57" s="122" t="e">
        <f>平成12年度!C56/平成12年度!C54</f>
        <v>#VALUE!</v>
      </c>
      <c r="D57" s="122" t="e">
        <f>平成12年度!D56/平成12年度!D54</f>
        <v>#VALUE!</v>
      </c>
      <c r="E57" s="122" t="e">
        <f>平成12年度!E56/平成12年度!E54</f>
        <v>#VALUE!</v>
      </c>
      <c r="F57" s="122" t="e">
        <f>ROUND(+平成12年度!F56/平成12年度!F54,4)</f>
        <v>#VALUE!</v>
      </c>
      <c r="G57" s="122" t="e">
        <f>ROUND((+平成12年度!E57+平成12年度!F57)/2,4)</f>
        <v>#VALUE!</v>
      </c>
      <c r="H57" s="1"/>
      <c r="I57" s="1"/>
      <c r="J57" s="1" t="s">
        <v>1569</v>
      </c>
      <c r="K57" s="1" t="s">
        <v>1570</v>
      </c>
      <c r="L57" s="1" t="s">
        <v>1571</v>
      </c>
      <c r="M57" s="1" t="s">
        <v>1572</v>
      </c>
      <c r="N57" s="1" t="s">
        <v>1573</v>
      </c>
      <c r="O57" s="1"/>
      <c r="P57" s="1"/>
      <c r="Q57" s="1"/>
      <c r="R57" s="1" t="s">
        <v>1574</v>
      </c>
      <c r="S57" s="1" t="s">
        <v>1575</v>
      </c>
      <c r="T57" s="1"/>
      <c r="U57" s="1"/>
      <c r="V57" s="1"/>
      <c r="W57" s="117"/>
      <c r="X57" s="142"/>
      <c r="Y57" s="143"/>
      <c r="Z57" s="144"/>
      <c r="AA57" s="144" t="s">
        <v>1576</v>
      </c>
      <c r="AB57" s="144"/>
      <c r="AC57" s="145"/>
      <c r="AD57" s="146">
        <f>平成12年度!M13</f>
        <v>9229</v>
      </c>
      <c r="AE57" s="144"/>
      <c r="AF57" s="144"/>
      <c r="AG57" s="147" t="s">
        <v>1577</v>
      </c>
      <c r="AH57" s="147" t="s">
        <v>1578</v>
      </c>
      <c r="AI57" s="148" t="s">
        <v>1579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">
      <c r="A58" s="1"/>
      <c r="B58" s="121" t="s">
        <v>1580</v>
      </c>
      <c r="C58" s="121"/>
      <c r="D58" s="122">
        <f>平成12年度!D56/平成12年度!C56</f>
        <v>1.0048341000482921</v>
      </c>
      <c r="E58" s="122" t="e">
        <f>平成12年度!E56/平成12年度!D56</f>
        <v>#VALUE!</v>
      </c>
      <c r="F58" s="122" t="e">
        <f>ROUND(+平成12年度!F56/平成12年度!E56,4)</f>
        <v>#VALUE!</v>
      </c>
      <c r="G58" s="122" t="e">
        <f>ROUND(+平成12年度!G56/平成12年度!F56,4)</f>
        <v>#VALUE!</v>
      </c>
      <c r="H58" s="1"/>
      <c r="I58" s="1" t="s">
        <v>1581</v>
      </c>
      <c r="J58" s="118">
        <v>26128</v>
      </c>
      <c r="K58" s="118">
        <v>25949</v>
      </c>
      <c r="L58" s="118">
        <v>26088</v>
      </c>
      <c r="M58" s="118">
        <v>26021</v>
      </c>
      <c r="N58" s="118">
        <v>26606</v>
      </c>
      <c r="O58" s="118"/>
      <c r="P58" s="118"/>
      <c r="Q58" s="118"/>
      <c r="R58" s="118">
        <v>26608</v>
      </c>
      <c r="S58" s="118">
        <v>27066</v>
      </c>
      <c r="T58" s="1"/>
      <c r="U58" s="1"/>
      <c r="V58" s="1"/>
      <c r="W58" s="117"/>
      <c r="X58" s="134" t="s">
        <v>1582</v>
      </c>
      <c r="Y58" s="150">
        <f>平成12年度!C13</f>
        <v>44601</v>
      </c>
      <c r="Z58" s="151">
        <f>平成12年度!H13</f>
        <v>86697</v>
      </c>
      <c r="AA58" s="151">
        <f>平成12年度!Z58-平成12年度!AB58-平成12年度!AC58</f>
        <v>51546</v>
      </c>
      <c r="AB58" s="151">
        <f>平成12年度!K13</f>
        <v>22068</v>
      </c>
      <c r="AC58" s="152">
        <f>平成12年度!AD57+平成12年度!AD58</f>
        <v>13083</v>
      </c>
      <c r="AD58" s="153">
        <f>平成12年度!N13</f>
        <v>3854</v>
      </c>
      <c r="AE58" s="151">
        <f>平成12年度!R13</f>
        <v>106997</v>
      </c>
      <c r="AF58" s="150">
        <f>平成12年度!S13</f>
        <v>293781</v>
      </c>
      <c r="AG58" s="154">
        <f>平成12年度!Y58/+平成12年度!AE58</f>
        <v>0.41684346290082902</v>
      </c>
      <c r="AH58" s="155">
        <f>平成12年度!Z58/+平成12年度!AF58</f>
        <v>0.2951075801362239</v>
      </c>
      <c r="AI58" s="156">
        <f>平成12年度!AC58/+平成12年度!Z58</f>
        <v>0.15090487560123186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">
      <c r="A59" s="1"/>
      <c r="B59" s="1"/>
      <c r="C59" s="1"/>
      <c r="D59" s="1"/>
      <c r="E59" s="1"/>
      <c r="F59" s="1"/>
      <c r="G59" s="1"/>
      <c r="H59" s="1"/>
      <c r="I59" s="1"/>
      <c r="J59" s="36">
        <v>1</v>
      </c>
      <c r="K59" s="36">
        <f>ROUND(+平成12年度!K58/平成12年度!J58,4)</f>
        <v>0.99309999999999998</v>
      </c>
      <c r="L59" s="36">
        <f>ROUND(+平成12年度!L58/平成12年度!K58,4)</f>
        <v>1.0054000000000001</v>
      </c>
      <c r="M59" s="36">
        <f>ROUND(+平成12年度!M58/平成12年度!L58,4)</f>
        <v>0.99739999999999995</v>
      </c>
      <c r="N59" s="36">
        <f>ROUND(+平成12年度!N58/平成12年度!M58,4)</f>
        <v>1.0225</v>
      </c>
      <c r="O59" s="36"/>
      <c r="P59" s="36"/>
      <c r="Q59" s="36"/>
      <c r="R59" s="36">
        <f>ROUND(+平成12年度!R58/平成12年度!N58,4)</f>
        <v>1.0001</v>
      </c>
      <c r="S59" s="36">
        <f>ROUND(+平成12年度!S58/平成12年度!R58,4)</f>
        <v>1.0172000000000001</v>
      </c>
      <c r="T59" s="1"/>
      <c r="U59" s="1"/>
      <c r="V59" s="1" t="s">
        <v>1583</v>
      </c>
      <c r="W59" s="117"/>
      <c r="X59" s="142"/>
      <c r="Y59" s="143"/>
      <c r="Z59" s="144"/>
      <c r="AA59" s="144" t="s">
        <v>1584</v>
      </c>
      <c r="AB59" s="144"/>
      <c r="AC59" s="145"/>
      <c r="AD59" s="146">
        <f>平成12年度!M14</f>
        <v>9230</v>
      </c>
      <c r="AE59" s="144"/>
      <c r="AF59" s="144"/>
      <c r="AG59" s="147" t="s">
        <v>1585</v>
      </c>
      <c r="AH59" s="147" t="s">
        <v>1586</v>
      </c>
      <c r="AI59" s="148" t="s">
        <v>1587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">
      <c r="A60" s="1"/>
      <c r="B60" s="1"/>
      <c r="C60" s="1"/>
      <c r="D60" s="1" t="e">
        <f>平成12年度!C57*平成12年度!D54</f>
        <v>#VALUE!</v>
      </c>
      <c r="E60" s="1" t="e">
        <f>平成12年度!D57*平成12年度!E54</f>
        <v>#VALUE!</v>
      </c>
      <c r="F60" s="1" t="e">
        <f>平成12年度!E57*平成12年度!F54</f>
        <v>#VALUE!</v>
      </c>
      <c r="G60" s="1" t="e">
        <f>平成12年度!F57*平成12年度!G54</f>
        <v>#VALUE!</v>
      </c>
      <c r="H60" s="162" t="e">
        <f>IF(+平成12年度!G57*平成12年度!H54&gt;0,ROUNDDOWN(+平成12年度!G57*平成12年度!H54,-2),ROUNDUP(+平成12年度!G57*平成12年度!H54,-2))</f>
        <v>#VALUE!</v>
      </c>
      <c r="I60" s="1" t="s">
        <v>1588</v>
      </c>
      <c r="J60" s="1">
        <v>48779</v>
      </c>
      <c r="K60" s="1">
        <v>48708</v>
      </c>
      <c r="L60" s="1">
        <v>48738</v>
      </c>
      <c r="M60" s="1">
        <v>49113</v>
      </c>
      <c r="N60" s="1">
        <v>49951</v>
      </c>
      <c r="O60" s="1"/>
      <c r="P60" s="1"/>
      <c r="Q60" s="1"/>
      <c r="R60" s="1">
        <v>50246</v>
      </c>
      <c r="S60" s="1">
        <v>50707</v>
      </c>
      <c r="T60" s="1"/>
      <c r="U60" s="1"/>
      <c r="V60" s="1"/>
      <c r="W60" s="117"/>
      <c r="X60" s="134" t="s">
        <v>1589</v>
      </c>
      <c r="Y60" s="150">
        <f>平成12年度!C14</f>
        <v>44745</v>
      </c>
      <c r="Z60" s="151">
        <f>平成12年度!H14</f>
        <v>86913</v>
      </c>
      <c r="AA60" s="151">
        <f>平成12年度!Z60-平成12年度!AB60-平成12年度!AC60</f>
        <v>51613</v>
      </c>
      <c r="AB60" s="151">
        <f>平成12年度!K14</f>
        <v>22204</v>
      </c>
      <c r="AC60" s="152">
        <f>平成12年度!AD59+平成12年度!AD60</f>
        <v>13096</v>
      </c>
      <c r="AD60" s="153">
        <f>平成12年度!N14</f>
        <v>3866</v>
      </c>
      <c r="AE60" s="151">
        <f>平成12年度!R14</f>
        <v>107207</v>
      </c>
      <c r="AF60" s="150">
        <f>平成12年度!S14</f>
        <v>294078</v>
      </c>
      <c r="AG60" s="154">
        <f>平成12年度!Y60/+平成12年度!AE60</f>
        <v>0.41737013441286486</v>
      </c>
      <c r="AH60" s="155">
        <f>平成12年度!Z60/+平成12年度!AF60</f>
        <v>0.29554403933650258</v>
      </c>
      <c r="AI60" s="156">
        <f>平成12年度!AC60/+平成12年度!Z60</f>
        <v>0.15067941504723115</v>
      </c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">
      <c r="A61" s="1"/>
      <c r="B61" s="1"/>
      <c r="C61" s="1"/>
      <c r="D61" s="1"/>
      <c r="E61" s="1"/>
      <c r="F61" s="1"/>
      <c r="G61" s="1"/>
      <c r="H61" s="1"/>
      <c r="I61" s="1"/>
      <c r="J61" s="36">
        <v>1</v>
      </c>
      <c r="K61" s="36">
        <f>ROUND(+平成12年度!K60/平成12年度!J60,4)</f>
        <v>0.99850000000000005</v>
      </c>
      <c r="L61" s="36">
        <f>ROUND(+平成12年度!L60/平成12年度!K60,4)</f>
        <v>1.0005999999999999</v>
      </c>
      <c r="M61" s="36">
        <f>ROUND(+平成12年度!M60/平成12年度!L60,4)</f>
        <v>1.0077</v>
      </c>
      <c r="N61" s="36">
        <f>ROUND(+平成12年度!N60/平成12年度!M60,4)</f>
        <v>1.0170999999999999</v>
      </c>
      <c r="O61" s="36"/>
      <c r="P61" s="36"/>
      <c r="Q61" s="36"/>
      <c r="R61" s="36">
        <f>ROUND(+平成12年度!R60/平成12年度!N60,4)</f>
        <v>1.0059</v>
      </c>
      <c r="S61" s="36">
        <f>ROUND(+平成12年度!S60/平成12年度!R60,4)</f>
        <v>1.0092000000000001</v>
      </c>
      <c r="T61" s="1"/>
      <c r="U61" s="1"/>
      <c r="V61" s="1"/>
      <c r="W61" s="117"/>
      <c r="X61" s="142"/>
      <c r="Y61" s="143"/>
      <c r="Z61" s="144"/>
      <c r="AA61" s="144" t="s">
        <v>1590</v>
      </c>
      <c r="AB61" s="144"/>
      <c r="AC61" s="145"/>
      <c r="AD61" s="146">
        <f>平成12年度!M15</f>
        <v>9171</v>
      </c>
      <c r="AE61" s="144"/>
      <c r="AF61" s="144"/>
      <c r="AG61" s="147" t="s">
        <v>1591</v>
      </c>
      <c r="AH61" s="147" t="s">
        <v>1592</v>
      </c>
      <c r="AI61" s="148" t="s">
        <v>1593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">
      <c r="A62" s="1" t="s">
        <v>1594</v>
      </c>
      <c r="B62" s="1"/>
      <c r="C62" s="1" t="s">
        <v>1595</v>
      </c>
      <c r="D62" s="1" t="s">
        <v>1596</v>
      </c>
      <c r="E62" s="1" t="s">
        <v>1597</v>
      </c>
      <c r="F62" s="1" t="s">
        <v>1598</v>
      </c>
      <c r="G62" s="1" t="s">
        <v>1599</v>
      </c>
      <c r="H62" s="1" t="s">
        <v>1600</v>
      </c>
      <c r="I62" s="1" t="s">
        <v>1601</v>
      </c>
      <c r="J62" s="1">
        <v>76171</v>
      </c>
      <c r="K62" s="1">
        <v>76694</v>
      </c>
      <c r="L62" s="1">
        <v>77805</v>
      </c>
      <c r="M62" s="1">
        <v>78843</v>
      </c>
      <c r="N62" s="1">
        <v>80862</v>
      </c>
      <c r="O62" s="1"/>
      <c r="P62" s="1"/>
      <c r="Q62" s="1"/>
      <c r="R62" s="1">
        <v>81903</v>
      </c>
      <c r="S62" s="1">
        <v>83699</v>
      </c>
      <c r="T62" s="1"/>
      <c r="U62" s="1"/>
      <c r="V62" s="1"/>
      <c r="W62" s="117"/>
      <c r="X62" s="134" t="s">
        <v>1602</v>
      </c>
      <c r="Y62" s="150">
        <f>平成12年度!C15</f>
        <v>44914</v>
      </c>
      <c r="Z62" s="151">
        <f>平成12年度!H15</f>
        <v>87142</v>
      </c>
      <c r="AA62" s="151">
        <f>平成12年度!Z62-平成12年度!AB62-平成12年度!AC62</f>
        <v>51752</v>
      </c>
      <c r="AB62" s="151">
        <f>平成12年度!K15</f>
        <v>22370</v>
      </c>
      <c r="AC62" s="152">
        <f>平成12年度!AD61+平成12年度!AD62</f>
        <v>13020</v>
      </c>
      <c r="AD62" s="153">
        <f>平成12年度!N15</f>
        <v>3849</v>
      </c>
      <c r="AE62" s="151">
        <f>平成12年度!R15</f>
        <v>107412</v>
      </c>
      <c r="AF62" s="150">
        <f>平成12年度!S15</f>
        <v>294329</v>
      </c>
      <c r="AG62" s="154">
        <f>平成12年度!Y62/+平成12年度!AE62</f>
        <v>0.4181469481994563</v>
      </c>
      <c r="AH62" s="155">
        <f>平成12年度!Z62/+平成12年度!AF62</f>
        <v>0.29607004406633392</v>
      </c>
      <c r="AI62" s="156">
        <f>平成12年度!AC62/+平成12年度!Z62</f>
        <v>0.14941130568497396</v>
      </c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">
      <c r="A63" s="1"/>
      <c r="B63" s="1"/>
      <c r="C63" s="1"/>
      <c r="D63" s="1"/>
      <c r="E63" s="1"/>
      <c r="F63" s="1"/>
      <c r="G63" s="1"/>
      <c r="H63" s="1"/>
      <c r="I63" s="1"/>
      <c r="J63" s="36">
        <v>1</v>
      </c>
      <c r="K63" s="36">
        <f>ROUND(+平成12年度!K62/平成12年度!J62,4)</f>
        <v>1.0068999999999999</v>
      </c>
      <c r="L63" s="36">
        <f>ROUND(+平成12年度!L62/平成12年度!K62,4)</f>
        <v>1.0145</v>
      </c>
      <c r="M63" s="36">
        <f>ROUND(+平成12年度!M62/平成12年度!L62,4)</f>
        <v>1.0133000000000001</v>
      </c>
      <c r="N63" s="36">
        <f>ROUND(+平成12年度!N62/平成12年度!M62,4)</f>
        <v>1.0256000000000001</v>
      </c>
      <c r="O63" s="36"/>
      <c r="P63" s="36"/>
      <c r="Q63" s="36"/>
      <c r="R63" s="36">
        <f>ROUND(+平成12年度!R62/平成12年度!N62,4)</f>
        <v>1.0128999999999999</v>
      </c>
      <c r="S63" s="36">
        <f>ROUND(+平成12年度!S62/平成12年度!R62,4)</f>
        <v>1.0219</v>
      </c>
      <c r="T63" s="1"/>
      <c r="U63" s="1"/>
      <c r="V63" s="1"/>
      <c r="W63" s="117"/>
      <c r="X63" s="142"/>
      <c r="Y63" s="143" t="s">
        <v>1603</v>
      </c>
      <c r="Z63" s="144"/>
      <c r="AA63" s="144" t="s">
        <v>1604</v>
      </c>
      <c r="AB63" s="144"/>
      <c r="AC63" s="157"/>
      <c r="AD63" s="146">
        <f>平成12年度!M16</f>
        <v>9162</v>
      </c>
      <c r="AE63" s="144"/>
      <c r="AF63" s="143"/>
      <c r="AG63" s="158" t="s">
        <v>1605</v>
      </c>
      <c r="AH63" s="147" t="s">
        <v>1606</v>
      </c>
      <c r="AI63" s="159" t="s">
        <v>1607</v>
      </c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">
      <c r="A64" s="1"/>
      <c r="B64" s="1" t="s">
        <v>1608</v>
      </c>
      <c r="C64" s="1" t="e">
        <f>ROUND(SUM(+平成7年度!O8:O12)/5,0)</f>
        <v>#VALUE!</v>
      </c>
      <c r="D64" s="1" t="e">
        <f>ROUND(SUM(+平成８年度!O8:O12)/5,0)</f>
        <v>#VALUE!</v>
      </c>
      <c r="E64" s="1" t="e">
        <f>ROUND(SUM(+平成９年度!O8:O12)/5,0)</f>
        <v>#VALUE!</v>
      </c>
      <c r="F64" s="120" t="e">
        <f>ROUND(SUM(+平成10年度!O8:O12)/5,0)</f>
        <v>#VALUE!</v>
      </c>
      <c r="G64" s="120" t="e">
        <f>ROUND(SUM(+平成11年度!O8:O12)/5,0)</f>
        <v>#VALUE!</v>
      </c>
      <c r="H64" s="1" t="e">
        <f>ROUND(SUM(+平成12年度!R8:R12)/5,0)</f>
        <v>#VALUE!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34" t="s">
        <v>1609</v>
      </c>
      <c r="Y64" s="150">
        <f>平成12年度!C16</f>
        <v>45042</v>
      </c>
      <c r="Z64" s="151">
        <f>平成12年度!H16</f>
        <v>87317</v>
      </c>
      <c r="AA64" s="151">
        <f>平成12年度!Z64-平成12年度!AB64-平成12年度!AC64</f>
        <v>51766</v>
      </c>
      <c r="AB64" s="151">
        <f>平成12年度!K16</f>
        <v>22534</v>
      </c>
      <c r="AC64" s="152">
        <f>平成12年度!AD63+平成12年度!AD64</f>
        <v>13017</v>
      </c>
      <c r="AD64" s="153">
        <f>平成12年度!N16</f>
        <v>3855</v>
      </c>
      <c r="AE64" s="151">
        <f>平成12年度!R16</f>
        <v>107564</v>
      </c>
      <c r="AF64" s="150">
        <f>平成12年度!S16</f>
        <v>294591</v>
      </c>
      <c r="AG64" s="154">
        <f>平成12年度!Y64/+平成12年度!AE64</f>
        <v>0.41874604886393219</v>
      </c>
      <c r="AH64" s="155">
        <f>平成12年度!Z64/+平成12年度!AF64</f>
        <v>0.29640077259658304</v>
      </c>
      <c r="AI64" s="156">
        <f>平成12年度!AC64/+平成12年度!Z64</f>
        <v>0.14907749922695465</v>
      </c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">
      <c r="A65" s="163"/>
      <c r="B65" s="121" t="s">
        <v>1610</v>
      </c>
      <c r="C65" s="121"/>
      <c r="D65" s="122" t="e">
        <f>平成12年度!D64/平成12年度!C64</f>
        <v>#VALUE!</v>
      </c>
      <c r="E65" s="122" t="e">
        <f>平成12年度!E64/平成12年度!D64</f>
        <v>#VALUE!</v>
      </c>
      <c r="F65" s="123" t="e">
        <f>ROUND(+平成12年度!F64/平成12年度!E64,4)</f>
        <v>#VALUE!</v>
      </c>
      <c r="G65" s="123" t="e">
        <f>ROUND(+平成12年度!G64/平成12年度!F64,4)</f>
        <v>#VALUE!</v>
      </c>
      <c r="H65" s="123" t="e">
        <f>ROUND(+平成12年度!H64/平成12年度!G64,4)</f>
        <v>#VALUE!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42"/>
      <c r="Y65" s="143" t="s">
        <v>1611</v>
      </c>
      <c r="Z65" s="144"/>
      <c r="AA65" s="144" t="s">
        <v>1612</v>
      </c>
      <c r="AB65" s="144"/>
      <c r="AC65" s="157"/>
      <c r="AD65" s="146">
        <f>平成12年度!M17</f>
        <v>9135</v>
      </c>
      <c r="AE65" s="144"/>
      <c r="AF65" s="143"/>
      <c r="AG65" s="158" t="s">
        <v>1613</v>
      </c>
      <c r="AH65" s="147" t="s">
        <v>1614</v>
      </c>
      <c r="AI65" s="159" t="s">
        <v>1615</v>
      </c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t="15.5" x14ac:dyDescent="0.25">
      <c r="A66" s="1"/>
      <c r="B66" s="1" t="s">
        <v>1616</v>
      </c>
      <c r="C66" s="1">
        <f>平成7年度!O21</f>
        <v>99576.333333333328</v>
      </c>
      <c r="D66" s="1">
        <f>平成８年度!O21</f>
        <v>101328.25</v>
      </c>
      <c r="E66" s="1" t="e">
        <f>平成９年度!O21</f>
        <v>#VALUE!</v>
      </c>
      <c r="F66" s="126" t="e">
        <f>平成10年度!O21</f>
        <v>#VALUE!</v>
      </c>
      <c r="G66" s="126">
        <f>平成11年度!O21</f>
        <v>105725.41666666667</v>
      </c>
      <c r="H66" s="126" t="s">
        <v>1617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34" t="s">
        <v>1618</v>
      </c>
      <c r="Y66" s="150">
        <f>平成12年度!C17</f>
        <v>45158</v>
      </c>
      <c r="Z66" s="151">
        <f>平成12年度!H17</f>
        <v>87608</v>
      </c>
      <c r="AA66" s="151">
        <f>平成12年度!Z66-平成12年度!AB66-平成12年度!AC66</f>
        <v>52037</v>
      </c>
      <c r="AB66" s="151">
        <f>平成12年度!K17</f>
        <v>22584</v>
      </c>
      <c r="AC66" s="152">
        <f>平成12年度!AD65+平成12年度!AD66</f>
        <v>12987</v>
      </c>
      <c r="AD66" s="153">
        <f>平成12年度!N17</f>
        <v>3852</v>
      </c>
      <c r="AE66" s="151">
        <f>平成12年度!R17</f>
        <v>107717</v>
      </c>
      <c r="AF66" s="150">
        <f>平成12年度!S17</f>
        <v>294763</v>
      </c>
      <c r="AG66" s="154">
        <f>平成12年度!Y66/+平成12年度!AE66</f>
        <v>0.41922816268555568</v>
      </c>
      <c r="AH66" s="155">
        <f>平成12年度!Z66/+平成12年度!AF66</f>
        <v>0.29721505073567578</v>
      </c>
      <c r="AI66" s="156">
        <f>平成12年度!AC66/+平成12年度!Z66</f>
        <v>0.14823988676833166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">
      <c r="A67" s="1"/>
      <c r="B67" s="121" t="s">
        <v>1619</v>
      </c>
      <c r="C67" s="122" t="e">
        <f>平成12年度!C66/平成12年度!C64</f>
        <v>#VALUE!</v>
      </c>
      <c r="D67" s="122" t="e">
        <f>平成12年度!D66/平成12年度!D64</f>
        <v>#VALUE!</v>
      </c>
      <c r="E67" s="122" t="e">
        <f>平成12年度!E66/平成12年度!E64</f>
        <v>#VALUE!</v>
      </c>
      <c r="F67" s="122" t="e">
        <f>ROUND(+平成12年度!F66/平成12年度!F64,4)</f>
        <v>#VALUE!</v>
      </c>
      <c r="G67" s="122" t="e">
        <f>ROUND((+平成12年度!E67+平成12年度!F67)/2,4)</f>
        <v>#VALUE!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42"/>
      <c r="Y67" s="143" t="s">
        <v>1620</v>
      </c>
      <c r="Z67" s="144" t="s">
        <v>1621</v>
      </c>
      <c r="AA67" s="144" t="s">
        <v>1622</v>
      </c>
      <c r="AB67" s="144"/>
      <c r="AC67" s="157"/>
      <c r="AD67" s="146">
        <f>平成12年度!M18</f>
        <v>9172</v>
      </c>
      <c r="AE67" s="144"/>
      <c r="AF67" s="143"/>
      <c r="AG67" s="158" t="s">
        <v>1623</v>
      </c>
      <c r="AH67" s="147" t="s">
        <v>1624</v>
      </c>
      <c r="AI67" s="159" t="s">
        <v>1625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">
      <c r="A68" s="1"/>
      <c r="B68" s="121" t="s">
        <v>1626</v>
      </c>
      <c r="C68" s="121"/>
      <c r="D68" s="122">
        <f>平成12年度!D66/平成12年度!C66</f>
        <v>1.0175937053315882</v>
      </c>
      <c r="E68" s="122" t="e">
        <f>平成12年度!E66/平成12年度!D66</f>
        <v>#VALUE!</v>
      </c>
      <c r="F68" s="122" t="e">
        <f>ROUND(+平成12年度!F66/平成12年度!E66,4)</f>
        <v>#VALUE!</v>
      </c>
      <c r="G68" s="122" t="e">
        <f>ROUND(+平成12年度!G66/平成12年度!F66,4)</f>
        <v>#VALUE!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34" t="s">
        <v>1627</v>
      </c>
      <c r="Y68" s="150">
        <f>平成12年度!C18</f>
        <v>45188</v>
      </c>
      <c r="Z68" s="151">
        <f>平成12年度!H18</f>
        <v>87711</v>
      </c>
      <c r="AA68" s="151">
        <f>平成12年度!Z68-平成12年度!AB68-平成12年度!AC68</f>
        <v>51874</v>
      </c>
      <c r="AB68" s="151">
        <f>平成12年度!K18</f>
        <v>22779</v>
      </c>
      <c r="AC68" s="152">
        <f>平成12年度!AD67+平成12年度!AD68</f>
        <v>13058</v>
      </c>
      <c r="AD68" s="153">
        <f>平成12年度!N18</f>
        <v>3886</v>
      </c>
      <c r="AE68" s="151">
        <f>平成12年度!R18</f>
        <v>107679</v>
      </c>
      <c r="AF68" s="150">
        <f>平成12年度!S18</f>
        <v>294779</v>
      </c>
      <c r="AG68" s="154">
        <f>平成12年度!Y68/+平成12年度!AE68</f>
        <v>0.41965471447543162</v>
      </c>
      <c r="AH68" s="155">
        <f>平成12年度!Z68/+平成12年度!AF68</f>
        <v>0.29754833281882359</v>
      </c>
      <c r="AI68" s="156">
        <f>平成12年度!AC68/+平成12年度!Z68</f>
        <v>0.14887528360182872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42"/>
      <c r="Y69" s="143"/>
      <c r="Z69" s="144"/>
      <c r="AA69" s="144" t="s">
        <v>1628</v>
      </c>
      <c r="AB69" s="144"/>
      <c r="AC69" s="157"/>
      <c r="AD69" s="146">
        <f>平成12年度!M19</f>
        <v>9299</v>
      </c>
      <c r="AE69" s="144"/>
      <c r="AF69" s="143"/>
      <c r="AG69" s="158" t="s">
        <v>1629</v>
      </c>
      <c r="AH69" s="147" t="s">
        <v>1630</v>
      </c>
      <c r="AI69" s="159" t="s">
        <v>1631</v>
      </c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">
      <c r="A70" s="1"/>
      <c r="B70" s="1"/>
      <c r="C70" s="1"/>
      <c r="D70" s="1" t="e">
        <f>平成12年度!C67*平成12年度!D64</f>
        <v>#VALUE!</v>
      </c>
      <c r="E70" s="1" t="e">
        <f>平成12年度!D67*平成12年度!E64</f>
        <v>#VALUE!</v>
      </c>
      <c r="F70" s="1" t="e">
        <f>平成12年度!E67*平成12年度!F64</f>
        <v>#VALUE!</v>
      </c>
      <c r="G70" s="1" t="e">
        <f>平成12年度!F67*平成12年度!G64</f>
        <v>#VALUE!</v>
      </c>
      <c r="H70" s="162" t="e">
        <f>IF(+平成12年度!G67*平成12年度!H64&gt;0,ROUNDDOWN(+平成12年度!G67*平成12年度!H64,-2),ROUNDUP(+平成12年度!G67*平成12年度!H64,-2))</f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34" t="s">
        <v>1632</v>
      </c>
      <c r="Y70" s="150">
        <f>平成12年度!C19</f>
        <v>45290</v>
      </c>
      <c r="Z70" s="151">
        <f>平成12年度!H19</f>
        <v>87854</v>
      </c>
      <c r="AA70" s="151">
        <f>平成12年度!Z70-平成12年度!AB70-平成12年度!AC70</f>
        <v>51745</v>
      </c>
      <c r="AB70" s="151">
        <f>平成12年度!K19</f>
        <v>22850</v>
      </c>
      <c r="AC70" s="152">
        <f>平成12年度!AD69+平成12年度!AD70</f>
        <v>13259</v>
      </c>
      <c r="AD70" s="153">
        <f>平成12年度!N19</f>
        <v>3960</v>
      </c>
      <c r="AE70" s="151">
        <f>平成12年度!R19</f>
        <v>107695</v>
      </c>
      <c r="AF70" s="150">
        <f>平成12年度!S19</f>
        <v>294249</v>
      </c>
      <c r="AG70" s="154">
        <f>平成12年度!Y70/+平成12年度!AE70</f>
        <v>0.42053948651283718</v>
      </c>
      <c r="AH70" s="155">
        <f>平成12年度!Z70/+平成12年度!AF70</f>
        <v>0.29857025852254382</v>
      </c>
      <c r="AI70" s="156">
        <f>平成12年度!AC70/+平成12年度!Z70</f>
        <v>0.15092084594896077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42" t="s">
        <v>1633</v>
      </c>
      <c r="Y71" s="143" t="s">
        <v>1634</v>
      </c>
      <c r="Z71" s="144" t="s">
        <v>1635</v>
      </c>
      <c r="AA71" s="144" t="s">
        <v>1636</v>
      </c>
      <c r="AB71" s="144" t="s">
        <v>1637</v>
      </c>
      <c r="AC71" s="157" t="s">
        <v>1638</v>
      </c>
      <c r="AD71" s="146">
        <f>平成12年度!AD47+平成12年度!AD49+平成12年度!AD51+平成12年度!AD53+平成12年度!AD55+平成12年度!AD57+平成12年度!AD59+平成12年度!AD61+平成12年度!AD63+平成12年度!AD65+平成12年度!AD67+平成12年度!AD69</f>
        <v>110726</v>
      </c>
      <c r="AE71" s="144" t="s">
        <v>1639</v>
      </c>
      <c r="AF71" s="143" t="s">
        <v>1640</v>
      </c>
      <c r="AG71" s="158" t="s">
        <v>1641</v>
      </c>
      <c r="AH71" s="147" t="s">
        <v>1642</v>
      </c>
      <c r="AI71" s="159" t="s">
        <v>1643</v>
      </c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34" t="s">
        <v>1644</v>
      </c>
      <c r="Y72" s="150">
        <f>SUM(平成12年度!Y48:Y70)</f>
        <v>536253</v>
      </c>
      <c r="Z72" s="151">
        <f>SUM(平成12年度!Z48:Z70)</f>
        <v>1041789</v>
      </c>
      <c r="AA72" s="151">
        <f>SUM(平成12年度!AA48:AA70)</f>
        <v>618548</v>
      </c>
      <c r="AB72" s="151">
        <f>SUM(平成12年度!AB48:AB70)</f>
        <v>266138</v>
      </c>
      <c r="AC72" s="152">
        <f>SUM(平成12年度!AC48:AC70)</f>
        <v>157103</v>
      </c>
      <c r="AD72" s="153">
        <f>平成12年度!AD48+平成12年度!AD50+平成12年度!AD52+平成12年度!AD54+平成12年度!AD56+平成12年度!AD58+平成12年度!AD60+平成12年度!AD62+平成12年度!AD64+平成12年度!AD66+平成12年度!AD68+平成12年度!AD70</f>
        <v>46377</v>
      </c>
      <c r="AE72" s="150">
        <f>SUM(平成12年度!AE48:AE70)</f>
        <v>1285992</v>
      </c>
      <c r="AF72" s="151">
        <f>SUM(平成12年度!AF48:AF70)</f>
        <v>3527880</v>
      </c>
      <c r="AG72" s="154">
        <f>平成12年度!Y72/+平成12年度!AE72</f>
        <v>0.41699559561801319</v>
      </c>
      <c r="AH72" s="155">
        <f>平成12年度!Z72/+平成12年度!AF72</f>
        <v>0.29530171094254909</v>
      </c>
      <c r="AI72" s="156">
        <f>平成12年度!AC72/+平成12年度!Z72</f>
        <v>0.15080116991060569</v>
      </c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42" t="s">
        <v>1645</v>
      </c>
      <c r="Y73" s="143" t="s">
        <v>1646</v>
      </c>
      <c r="Z73" s="144" t="s">
        <v>1647</v>
      </c>
      <c r="AA73" s="144" t="e">
        <f>平成12年度!AA74+平成12年度!AB74</f>
        <v>#VALUE!</v>
      </c>
      <c r="AB73" s="144" t="s">
        <v>1648</v>
      </c>
      <c r="AC73" s="157" t="s">
        <v>1649</v>
      </c>
      <c r="AD73" s="146" t="e">
        <f>#VALUE!</f>
        <v>#VALUE!</v>
      </c>
      <c r="AE73" s="144" t="s">
        <v>1650</v>
      </c>
      <c r="AF73" s="143" t="s">
        <v>1651</v>
      </c>
      <c r="AG73" s="158" t="s">
        <v>1652</v>
      </c>
      <c r="AH73" s="147" t="s">
        <v>1653</v>
      </c>
      <c r="AI73" s="159" t="s">
        <v>1654</v>
      </c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">
      <c r="A74" s="1"/>
      <c r="B74" s="1"/>
      <c r="C74" s="1" t="s">
        <v>1655</v>
      </c>
      <c r="D74" s="1" t="s">
        <v>1656</v>
      </c>
      <c r="E74" s="1" t="s">
        <v>1657</v>
      </c>
      <c r="F74" s="1" t="s">
        <v>1658</v>
      </c>
      <c r="G74" s="1" t="s">
        <v>1659</v>
      </c>
      <c r="H74" s="1" t="s">
        <v>1660</v>
      </c>
      <c r="I74" s="1" t="s">
        <v>1661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64" t="s">
        <v>1662</v>
      </c>
      <c r="Y74" s="165" t="e">
        <f>#VALUE!</f>
        <v>#VALUE!</v>
      </c>
      <c r="Z74" s="166" t="e">
        <f>#VALUE!</f>
        <v>#VALUE!</v>
      </c>
      <c r="AA74" s="166" t="e">
        <f>#VALUE!</f>
        <v>#VALUE!</v>
      </c>
      <c r="AB74" s="166" t="e">
        <f>#VALUE!</f>
        <v>#VALUE!</v>
      </c>
      <c r="AC74" s="167" t="e">
        <f>#VALUE!</f>
        <v>#VALUE!</v>
      </c>
      <c r="AD74" s="168" t="e">
        <f>#VALUE!</f>
        <v>#VALUE!</v>
      </c>
      <c r="AE74" s="165" t="e">
        <f>#VALUE!</f>
        <v>#VALUE!</v>
      </c>
      <c r="AF74" s="166" t="e">
        <f>#VALUE!</f>
        <v>#VALUE!</v>
      </c>
      <c r="AG74" s="169" t="e">
        <f>平成12年度!Y74/+平成12年度!AE74</f>
        <v>#VALUE!</v>
      </c>
      <c r="AH74" s="170" t="e">
        <f>平成12年度!Z74/+平成12年度!AF74</f>
        <v>#VALUE!</v>
      </c>
      <c r="AI74" s="171" t="e">
        <f>平成12年度!AC74/+平成12年度!Z74</f>
        <v>#VALUE!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">
      <c r="A75" s="1" t="s">
        <v>1663</v>
      </c>
      <c r="B75" s="1">
        <v>1</v>
      </c>
      <c r="C75" s="1">
        <f>平成6年度!H19</f>
        <v>73958</v>
      </c>
      <c r="D75" s="1">
        <f>平成7年度!H19</f>
        <v>75303</v>
      </c>
      <c r="E75" s="1">
        <f>平成８年度!H19</f>
        <v>76694</v>
      </c>
      <c r="F75" s="1">
        <f>平成９年度!H19</f>
        <v>78843</v>
      </c>
      <c r="G75" s="1">
        <f>平成10年度!H19</f>
        <v>81903</v>
      </c>
      <c r="H75" s="1">
        <f>平成11年度!H19</f>
        <v>85006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72" t="s">
        <v>1664</v>
      </c>
      <c r="X75" s="127" t="s">
        <v>1665</v>
      </c>
      <c r="Y75" s="173"/>
      <c r="Z75" s="174"/>
      <c r="AA75" s="174"/>
      <c r="AB75" s="174"/>
      <c r="AC75" s="175"/>
      <c r="AD75" s="176">
        <f>平成12年度!M2+平成12年度!AD47+平成12年度!AD49+平成12年度!AD51+平成12年度!AD53+平成12年度!AD55+平成12年度!AD57+平成12年度!AD59+平成12年度!AD61+平成12年度!AD63</f>
        <v>110008</v>
      </c>
      <c r="AE75" s="174"/>
      <c r="AF75" s="173"/>
      <c r="AG75" s="177"/>
      <c r="AH75" s="178"/>
      <c r="AI75" s="17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">
      <c r="A76" s="1" t="s">
        <v>1666</v>
      </c>
      <c r="B76" s="1">
        <v>2</v>
      </c>
      <c r="C76" s="1">
        <f>平成12年度!C75+平成12年度!C77</f>
        <v>445299</v>
      </c>
      <c r="D76" s="1">
        <f>平成12年度!D75+平成12年度!D77</f>
        <v>454413</v>
      </c>
      <c r="E76" s="1">
        <f>平成12年度!E75+平成12年度!E77</f>
        <v>463287</v>
      </c>
      <c r="F76" s="1">
        <f>平成12年度!F75+平成12年度!F77</f>
        <v>478663</v>
      </c>
      <c r="G76" s="1">
        <f>平成12年度!G75+平成12年度!G77</f>
        <v>497118</v>
      </c>
      <c r="H76" s="1">
        <f>平成12年度!H75+平成12年度!H77</f>
        <v>515553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80" t="s">
        <v>1667</v>
      </c>
      <c r="X76" s="134" t="s">
        <v>1668</v>
      </c>
      <c r="Y76" s="181">
        <f>平成12年度!C2+SUM(平成12年度!Y48:Y64)</f>
        <v>531058</v>
      </c>
      <c r="Z76" s="182">
        <f>平成12年度!H2+SUM(平成12年度!Z48:Z64)</f>
        <v>1033238</v>
      </c>
      <c r="AA76" s="182">
        <f>平成12年度!J2+SUM(平成12年度!AA48:AA64)</f>
        <v>616132</v>
      </c>
      <c r="AB76" s="182">
        <f>平成12年度!K2+SUM(平成12年度!AB48:AB64)</f>
        <v>261463</v>
      </c>
      <c r="AC76" s="183">
        <f>平成12年度!L2+SUM(平成12年度!AC48:AC64)</f>
        <v>155643</v>
      </c>
      <c r="AD76" s="184">
        <f>平成12年度!N2+平成12年度!AD48+平成12年度!AD50+平成12年度!AD52+平成12年度!AD54+平成12年度!AD56+平成12年度!AD58+平成12年度!AD60+平成12年度!AD62+平成12年度!AD64</f>
        <v>45635</v>
      </c>
      <c r="AE76" s="181">
        <f>平成12年度!R2+SUM(平成12年度!AE48:AE64)</f>
        <v>1281403</v>
      </c>
      <c r="AF76" s="182">
        <f>平成12年度!S2+SUM(平成12年度!AF48:AF64)</f>
        <v>3523727</v>
      </c>
      <c r="AG76" s="185">
        <f>平成12年度!Y76/+平成12年度!AE76</f>
        <v>0.41443480310253683</v>
      </c>
      <c r="AH76" s="186">
        <f>平成12年度!Z76/+平成12年度!AF76</f>
        <v>0.29322305615616645</v>
      </c>
      <c r="AI76" s="187">
        <f>平成12年度!AC76/+平成12年度!Z76</f>
        <v>0.15063615546466544</v>
      </c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">
      <c r="A77" s="1" t="s">
        <v>1669</v>
      </c>
      <c r="B77" s="1">
        <v>3</v>
      </c>
      <c r="C77" s="1">
        <f>平成7年度!H27</f>
        <v>371341</v>
      </c>
      <c r="D77" s="1">
        <f>平成８年度!H27</f>
        <v>379110</v>
      </c>
      <c r="E77" s="1">
        <f>平成９年度!H27</f>
        <v>386593</v>
      </c>
      <c r="F77" s="1">
        <f>平成10年度!H27</f>
        <v>399820</v>
      </c>
      <c r="G77" s="1">
        <f>平成11年度!H27</f>
        <v>415215</v>
      </c>
      <c r="H77" s="1">
        <f>平成12年度!H27</f>
        <v>430547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88" t="s">
        <v>1670</v>
      </c>
      <c r="X77" s="142" t="s">
        <v>1671</v>
      </c>
      <c r="Y77" s="189"/>
      <c r="Z77" s="190"/>
      <c r="AA77" s="190" t="e">
        <f>平成12年度!AA78+平成12年度!AB78</f>
        <v>#VALUE!</v>
      </c>
      <c r="AB77" s="190"/>
      <c r="AC77" s="191"/>
      <c r="AD77" s="192" t="e">
        <f>#VALUE!</f>
        <v>#VALUE!</v>
      </c>
      <c r="AE77" s="190"/>
      <c r="AF77" s="189"/>
      <c r="AG77" s="193"/>
      <c r="AH77" s="194"/>
      <c r="AI77" s="195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">
      <c r="A78" s="1" t="s">
        <v>1672</v>
      </c>
      <c r="B78" s="1">
        <v>4</v>
      </c>
      <c r="C78" s="1">
        <f>平成7年度!H20</f>
        <v>896157</v>
      </c>
      <c r="D78" s="1">
        <f>平成８年度!H20</f>
        <v>914620</v>
      </c>
      <c r="E78" s="1">
        <f>平成９年度!H20</f>
        <v>934976</v>
      </c>
      <c r="F78" s="1">
        <f>平成10年度!H20</f>
        <v>969433</v>
      </c>
      <c r="G78" s="1">
        <f>平成11年度!H20</f>
        <v>1006175</v>
      </c>
      <c r="H78" s="1">
        <f>平成12年度!H20</f>
        <v>1041789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96"/>
      <c r="X78" s="164" t="s">
        <v>1673</v>
      </c>
      <c r="Y78" s="197" t="e">
        <f>#VALUE!</f>
        <v>#VALUE!</v>
      </c>
      <c r="Z78" s="198" t="e">
        <f>#VALUE!</f>
        <v>#VALUE!</v>
      </c>
      <c r="AA78" s="198" t="e">
        <f>#VALUE!</f>
        <v>#VALUE!</v>
      </c>
      <c r="AB78" s="198" t="e">
        <f>#VALUE!</f>
        <v>#VALUE!</v>
      </c>
      <c r="AC78" s="199" t="e">
        <f>#VALUE!</f>
        <v>#VALUE!</v>
      </c>
      <c r="AD78" s="200" t="e">
        <f>#VALUE!</f>
        <v>#VALUE!</v>
      </c>
      <c r="AE78" s="197" t="e">
        <f>#VALUE!</f>
        <v>#VALUE!</v>
      </c>
      <c r="AF78" s="198" t="e">
        <f>#VALUE!</f>
        <v>#VALUE!</v>
      </c>
      <c r="AG78" s="201" t="e">
        <f>平成12年度!Y78/+平成12年度!AE78</f>
        <v>#VALUE!</v>
      </c>
      <c r="AH78" s="202" t="e">
        <f>平成12年度!Z78/+平成12年度!AF78</f>
        <v>#VALUE!</v>
      </c>
      <c r="AI78" s="203" t="e">
        <f>平成12年度!AC78/+平成12年度!Z78</f>
        <v>#VALUE!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">
      <c r="A79" s="1"/>
      <c r="B79" s="1"/>
      <c r="C79" s="1">
        <f>平成7年度!H21</f>
        <v>74679.75</v>
      </c>
      <c r="D79" s="1">
        <f>平成８年度!H21</f>
        <v>76218.333333333328</v>
      </c>
      <c r="E79" s="1" t="e">
        <f>平成９年度!H21</f>
        <v>#VALUE!</v>
      </c>
      <c r="F79" s="1" t="e">
        <f>平成10年度!H21</f>
        <v>#VALUE!</v>
      </c>
      <c r="G79" s="1">
        <f>平成11年度!H21</f>
        <v>83847.916666666672</v>
      </c>
      <c r="H79" s="1" t="e">
        <f>平成12年度!H21</f>
        <v>#VALUE!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">
      <c r="A80" s="1" t="s">
        <v>1674</v>
      </c>
      <c r="B80" s="1"/>
      <c r="C80" s="204">
        <f>ROUND(+平成12年度!C78/平成12年度!C76,8)</f>
        <v>2.0124837499999999</v>
      </c>
      <c r="D80" s="204">
        <f>ROUND(+平成12年度!D78/平成12年度!D76,8)</f>
        <v>2.01275052</v>
      </c>
      <c r="E80" s="204">
        <f>ROUND(+平成12年度!E78/平成12年度!E76,8)</f>
        <v>2.0181356300000002</v>
      </c>
      <c r="F80" s="204">
        <f>ROUND(+平成12年度!F78/平成12年度!F76,8)</f>
        <v>2.02529337</v>
      </c>
      <c r="G80" s="204">
        <f>ROUND(+平成12年度!G78/平成12年度!G76,8)</f>
        <v>2.0240164300000001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">
      <c r="A81" s="1" t="s">
        <v>1675</v>
      </c>
      <c r="B81" s="1"/>
      <c r="C81" s="204">
        <f>ROUND(+平成12年度!C78/平成12年度!C77,8)</f>
        <v>2.4132993699999998</v>
      </c>
      <c r="D81" s="204">
        <f>ROUND(+平成12年度!D78/平成12年度!D77,8)</f>
        <v>2.41254517</v>
      </c>
      <c r="E81" s="204">
        <f>ROUND(+平成12年度!E78/平成12年度!E77,8)</f>
        <v>2.4185021500000001</v>
      </c>
      <c r="F81" s="204">
        <f>ROUND(+平成12年度!F78/平成12年度!F77,8)</f>
        <v>2.4246736000000002</v>
      </c>
      <c r="G81" s="204">
        <f>ROUND(+平成12年度!G78/平成12年度!G77,8)</f>
        <v>2.4232626499999999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">
      <c r="A82" s="1" t="s">
        <v>1676</v>
      </c>
      <c r="B82" s="1"/>
      <c r="C82" s="1"/>
      <c r="D82" s="204">
        <f>ROUND(+平成12年度!D78/平成12年度!C78,8)</f>
        <v>1.0206024199999999</v>
      </c>
      <c r="E82" s="204">
        <f>ROUND(+平成12年度!E78/平成12年度!D78,8)</f>
        <v>1.0222562399999999</v>
      </c>
      <c r="F82" s="204">
        <f>ROUND(+平成12年度!F78/平成12年度!E78,8)</f>
        <v>1.0368533499999999</v>
      </c>
      <c r="G82" s="204">
        <f>ROUND(+平成12年度!G78/平成12年度!F78,8)</f>
        <v>1.0379004999999999</v>
      </c>
      <c r="H82" s="204" t="s">
        <v>1677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">
      <c r="A83" s="1" t="s">
        <v>1678</v>
      </c>
      <c r="B83" s="1"/>
      <c r="C83" s="1"/>
      <c r="D83" s="1"/>
      <c r="E83" s="1">
        <f>(+平成12年度!C81+平成12年度!D81)/2*平成12年度!E77/12</f>
        <v>77734.904927175841</v>
      </c>
      <c r="F83" s="1">
        <f>(+平成12年度!D81+平成12年度!E81)/2*平成12年度!F77/12</f>
        <v>80481.222478433323</v>
      </c>
      <c r="G83" s="1">
        <f>(+平成12年度!E81+平成12年度!F81)/2*平成12年度!G77/12</f>
        <v>83789.967459843756</v>
      </c>
      <c r="H83" s="1">
        <f>(+平成12年度!F81+平成12年度!G81)/2*平成12年度!H77/12</f>
        <v>86969.35035953125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">
      <c r="A86" s="1"/>
      <c r="B86" s="1"/>
      <c r="C86" s="1"/>
      <c r="D86" s="1"/>
      <c r="E86" s="1"/>
      <c r="F86" s="1" t="e">
        <f>(+平成12年度!D82+平成12年度!E82)/2*平成12年度!E79</f>
        <v>#VALUE!</v>
      </c>
      <c r="G86" s="1" t="e">
        <f>(+平成12年度!E82+平成12年度!F82)/2*平成12年度!F79</f>
        <v>#VALUE!</v>
      </c>
      <c r="H86" s="1">
        <f>(+平成12年度!F82+平成12年度!G82)/2*平成12年度!G79</f>
        <v>86981.893959322901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</sheetData>
  <phoneticPr fontId="22"/>
  <printOptions horizontalCentered="1" verticalCentered="1"/>
  <pageMargins left="0.501" right="0.39300000000000002" top="0.2" bottom="0.51300000000000001" header="0.5" footer="0.5"/>
  <pageSetup paperSize="9" orientation="landscape" horizontalDpi="4294967293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23</vt:i4>
      </vt:variant>
    </vt:vector>
  </HeadingPairs>
  <TitlesOfParts>
    <vt:vector size="58" baseType="lpstr">
      <vt:lpstr>平成4年度</vt:lpstr>
      <vt:lpstr>平成5年度</vt:lpstr>
      <vt:lpstr>平成6年度</vt:lpstr>
      <vt:lpstr>平成7年度</vt:lpstr>
      <vt:lpstr>平成８年度</vt:lpstr>
      <vt:lpstr>平成９年度</vt:lpstr>
      <vt:lpstr>平成10年度</vt:lpstr>
      <vt:lpstr>平成11年度</vt:lpstr>
      <vt:lpstr>平成12年度</vt:lpstr>
      <vt:lpstr>平成13年度</vt:lpstr>
      <vt:lpstr>平成14年度</vt:lpstr>
      <vt:lpstr>平成15年度</vt:lpstr>
      <vt:lpstr>平成16年度</vt:lpstr>
      <vt:lpstr>平成17年度</vt:lpstr>
      <vt:lpstr>介護２号見込</vt:lpstr>
      <vt:lpstr>Ｎ</vt:lpstr>
      <vt:lpstr>平成18年度</vt:lpstr>
      <vt:lpstr>平成19年度</vt:lpstr>
      <vt:lpstr>×20年度</vt:lpstr>
      <vt:lpstr>平成20年度</vt:lpstr>
      <vt:lpstr>平成21年度</vt:lpstr>
      <vt:lpstr>平成22年度</vt:lpstr>
      <vt:lpstr>平成23年度</vt:lpstr>
      <vt:lpstr>平成24年度</vt:lpstr>
      <vt:lpstr>平成25年度</vt:lpstr>
      <vt:lpstr>平成26年度</vt:lpstr>
      <vt:lpstr>平成27年度</vt:lpstr>
      <vt:lpstr>平成28年度</vt:lpstr>
      <vt:lpstr>平成29年度</vt:lpstr>
      <vt:lpstr>平成30年度</vt:lpstr>
      <vt:lpstr>平成31年度</vt:lpstr>
      <vt:lpstr>令和２年度</vt:lpstr>
      <vt:lpstr>令和３年度</vt:lpstr>
      <vt:lpstr>令和４年度</vt:lpstr>
      <vt:lpstr>令和５年度</vt:lpstr>
      <vt:lpstr>×20年度!Print_Area</vt:lpstr>
      <vt:lpstr>平成15年度!Print_Area</vt:lpstr>
      <vt:lpstr>平成16年度!Print_Area</vt:lpstr>
      <vt:lpstr>平成17年度!Print_Area</vt:lpstr>
      <vt:lpstr>平成18年度!Print_Area</vt:lpstr>
      <vt:lpstr>平成19年度!Print_Area</vt:lpstr>
      <vt:lpstr>平成20年度!Print_Area</vt:lpstr>
      <vt:lpstr>平成21年度!Print_Area</vt:lpstr>
      <vt:lpstr>平成22年度!Print_Area</vt:lpstr>
      <vt:lpstr>平成23年度!Print_Area</vt:lpstr>
      <vt:lpstr>平成24年度!Print_Area</vt:lpstr>
      <vt:lpstr>平成25年度!Print_Area</vt:lpstr>
      <vt:lpstr>平成26年度!Print_Area</vt:lpstr>
      <vt:lpstr>平成27年度!Print_Area</vt:lpstr>
      <vt:lpstr>平成28年度!Print_Area</vt:lpstr>
      <vt:lpstr>平成29年度!Print_Area</vt:lpstr>
      <vt:lpstr>平成30年度!Print_Area</vt:lpstr>
      <vt:lpstr>平成31年度!Print_Area</vt:lpstr>
      <vt:lpstr>平成4年度!Print_Area</vt:lpstr>
      <vt:lpstr>令和２年度!Print_Area</vt:lpstr>
      <vt:lpstr>令和３年度!Print_Area</vt:lpstr>
      <vt:lpstr>令和４年度!Print_Area</vt:lpstr>
      <vt:lpstr>令和５年度!Print_Area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2023-05-18T01:55:19Z</cp:lastPrinted>
  <dcterms:created xsi:type="dcterms:W3CDTF">2003-06-24T00:05:36Z</dcterms:created>
  <dcterms:modified xsi:type="dcterms:W3CDTF">2024-01-09T05:52:44Z</dcterms:modified>
</cp:coreProperties>
</file>