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21.171\薬務共有\②薬事班\99_その他\11_オープンデータ\01_R7年度\第３四半期\作業データ\"/>
    </mc:Choice>
  </mc:AlternateContent>
  <xr:revisionPtr revIDLastSave="0" documentId="8_{DFCB7C89-7E40-441A-A4B7-866840773D40}" xr6:coauthVersionLast="47" xr6:coauthVersionMax="47" xr10:uidLastSave="{00000000-0000-0000-0000-000000000000}"/>
  <bookViews>
    <workbookView xWindow="-28905" yWindow="0" windowWidth="14610" windowHeight="15585" xr2:uid="{56AFC207-86C5-4296-9747-6B6D4107A74A}"/>
  </bookViews>
  <sheets>
    <sheet name="YDataSear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4" i="1" l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A2" i="1" l="1"/>
  <c r="E2" i="1"/>
  <c r="F2" i="1"/>
  <c r="C2" i="1"/>
  <c r="B2" i="1"/>
  <c r="A3" i="1"/>
  <c r="E3" i="1"/>
  <c r="F3" i="1"/>
  <c r="C3" i="1"/>
  <c r="B3" i="1"/>
  <c r="A4" i="1"/>
  <c r="E4" i="1"/>
  <c r="F4" i="1"/>
  <c r="C4" i="1"/>
  <c r="B4" i="1"/>
  <c r="A5" i="1"/>
  <c r="E5" i="1"/>
  <c r="F5" i="1"/>
  <c r="C5" i="1"/>
  <c r="B5" i="1"/>
  <c r="A6" i="1"/>
  <c r="E6" i="1"/>
  <c r="F6" i="1"/>
  <c r="C6" i="1"/>
  <c r="B6" i="1"/>
  <c r="A7" i="1"/>
  <c r="E7" i="1"/>
  <c r="F7" i="1"/>
  <c r="C7" i="1"/>
  <c r="B7" i="1"/>
  <c r="A8" i="1"/>
  <c r="E8" i="1"/>
  <c r="F8" i="1"/>
  <c r="C8" i="1"/>
  <c r="B8" i="1"/>
  <c r="A9" i="1"/>
  <c r="E9" i="1"/>
  <c r="F9" i="1"/>
  <c r="C9" i="1"/>
  <c r="B9" i="1"/>
  <c r="A10" i="1"/>
  <c r="E10" i="1"/>
  <c r="F10" i="1"/>
  <c r="C10" i="1"/>
  <c r="B10" i="1"/>
  <c r="A11" i="1"/>
  <c r="E11" i="1"/>
  <c r="F11" i="1"/>
  <c r="C11" i="1"/>
  <c r="B11" i="1"/>
  <c r="A12" i="1"/>
  <c r="E12" i="1"/>
  <c r="F12" i="1"/>
  <c r="C12" i="1"/>
  <c r="B12" i="1"/>
  <c r="A13" i="1"/>
  <c r="E13" i="1"/>
  <c r="F13" i="1"/>
  <c r="C13" i="1"/>
  <c r="B13" i="1"/>
  <c r="A14" i="1"/>
  <c r="E14" i="1"/>
  <c r="F14" i="1"/>
  <c r="C14" i="1"/>
  <c r="B14" i="1"/>
  <c r="A15" i="1"/>
  <c r="E15" i="1"/>
  <c r="F15" i="1"/>
  <c r="C15" i="1"/>
  <c r="B15" i="1"/>
  <c r="A16" i="1"/>
  <c r="E16" i="1"/>
  <c r="F16" i="1"/>
  <c r="C16" i="1"/>
  <c r="B16" i="1"/>
  <c r="A17" i="1"/>
  <c r="E17" i="1"/>
  <c r="F17" i="1"/>
  <c r="C17" i="1"/>
  <c r="B17" i="1"/>
  <c r="A18" i="1"/>
  <c r="E18" i="1"/>
  <c r="F18" i="1"/>
  <c r="C18" i="1"/>
  <c r="B18" i="1"/>
  <c r="A19" i="1"/>
  <c r="E19" i="1"/>
  <c r="F19" i="1"/>
  <c r="C19" i="1"/>
  <c r="B19" i="1"/>
  <c r="A20" i="1"/>
  <c r="E20" i="1"/>
  <c r="F20" i="1"/>
  <c r="C20" i="1"/>
  <c r="B20" i="1"/>
  <c r="A21" i="1"/>
  <c r="E21" i="1"/>
  <c r="F21" i="1"/>
  <c r="C21" i="1"/>
  <c r="B21" i="1"/>
  <c r="A22" i="1"/>
  <c r="E22" i="1"/>
  <c r="F22" i="1"/>
  <c r="C22" i="1"/>
  <c r="B22" i="1"/>
  <c r="A23" i="1"/>
  <c r="E23" i="1"/>
  <c r="F23" i="1"/>
  <c r="C23" i="1"/>
  <c r="B23" i="1"/>
  <c r="A24" i="1"/>
  <c r="E24" i="1"/>
  <c r="F24" i="1"/>
  <c r="C24" i="1"/>
  <c r="B24" i="1"/>
  <c r="A25" i="1"/>
  <c r="E25" i="1"/>
  <c r="F25" i="1"/>
  <c r="C25" i="1"/>
  <c r="B25" i="1"/>
  <c r="A26" i="1"/>
  <c r="E26" i="1"/>
  <c r="F26" i="1"/>
  <c r="C26" i="1"/>
  <c r="B26" i="1"/>
  <c r="A27" i="1"/>
  <c r="E27" i="1"/>
  <c r="F27" i="1"/>
  <c r="C27" i="1"/>
  <c r="B27" i="1"/>
  <c r="A28" i="1"/>
  <c r="E28" i="1"/>
  <c r="F28" i="1"/>
  <c r="C28" i="1"/>
  <c r="B28" i="1"/>
  <c r="A29" i="1"/>
  <c r="E29" i="1"/>
  <c r="F29" i="1"/>
  <c r="C29" i="1"/>
  <c r="B29" i="1"/>
  <c r="A30" i="1"/>
  <c r="E30" i="1"/>
  <c r="F30" i="1"/>
  <c r="C30" i="1"/>
  <c r="B30" i="1"/>
  <c r="A31" i="1"/>
  <c r="E31" i="1"/>
  <c r="F31" i="1"/>
  <c r="C31" i="1"/>
  <c r="B31" i="1"/>
  <c r="A32" i="1"/>
  <c r="E32" i="1"/>
  <c r="F32" i="1"/>
  <c r="C32" i="1"/>
  <c r="B32" i="1"/>
  <c r="A33" i="1"/>
  <c r="E33" i="1"/>
  <c r="F33" i="1"/>
  <c r="C33" i="1"/>
  <c r="B33" i="1"/>
  <c r="A34" i="1"/>
  <c r="E34" i="1"/>
  <c r="F34" i="1"/>
  <c r="C34" i="1"/>
  <c r="B34" i="1"/>
  <c r="A35" i="1"/>
  <c r="E35" i="1"/>
  <c r="F35" i="1"/>
  <c r="C35" i="1"/>
  <c r="B35" i="1"/>
  <c r="A36" i="1"/>
  <c r="E36" i="1"/>
  <c r="F36" i="1"/>
  <c r="C36" i="1"/>
  <c r="B36" i="1"/>
  <c r="A37" i="1"/>
  <c r="E37" i="1"/>
  <c r="F37" i="1"/>
  <c r="C37" i="1"/>
  <c r="B37" i="1"/>
  <c r="A38" i="1"/>
  <c r="E38" i="1"/>
  <c r="F38" i="1"/>
  <c r="C38" i="1"/>
  <c r="B38" i="1"/>
  <c r="A39" i="1"/>
  <c r="E39" i="1"/>
  <c r="F39" i="1"/>
  <c r="C39" i="1"/>
  <c r="B39" i="1"/>
  <c r="A40" i="1"/>
  <c r="E40" i="1"/>
  <c r="F40" i="1"/>
  <c r="C40" i="1"/>
  <c r="B40" i="1"/>
  <c r="A41" i="1"/>
  <c r="E41" i="1"/>
  <c r="F41" i="1"/>
  <c r="C41" i="1"/>
  <c r="B41" i="1"/>
  <c r="A42" i="1"/>
  <c r="E42" i="1"/>
  <c r="F42" i="1"/>
  <c r="C42" i="1"/>
  <c r="B42" i="1"/>
  <c r="A43" i="1"/>
  <c r="E43" i="1"/>
  <c r="F43" i="1"/>
  <c r="C43" i="1"/>
  <c r="B43" i="1"/>
  <c r="A44" i="1"/>
  <c r="E44" i="1"/>
  <c r="F44" i="1"/>
  <c r="C44" i="1"/>
  <c r="B44" i="1"/>
  <c r="A45" i="1"/>
  <c r="E45" i="1"/>
  <c r="F45" i="1"/>
  <c r="C45" i="1"/>
  <c r="B45" i="1"/>
  <c r="A46" i="1"/>
  <c r="E46" i="1"/>
  <c r="F46" i="1"/>
  <c r="C46" i="1"/>
  <c r="B46" i="1"/>
  <c r="A47" i="1"/>
  <c r="E47" i="1"/>
  <c r="F47" i="1"/>
  <c r="C47" i="1"/>
  <c r="B47" i="1"/>
  <c r="A48" i="1"/>
  <c r="E48" i="1"/>
  <c r="F48" i="1"/>
  <c r="C48" i="1"/>
  <c r="B48" i="1"/>
  <c r="A49" i="1"/>
  <c r="E49" i="1"/>
  <c r="F49" i="1"/>
  <c r="C49" i="1"/>
  <c r="B49" i="1"/>
  <c r="A50" i="1"/>
  <c r="E50" i="1"/>
  <c r="F50" i="1"/>
  <c r="C50" i="1"/>
  <c r="B50" i="1"/>
  <c r="A51" i="1"/>
  <c r="E51" i="1"/>
  <c r="F51" i="1"/>
  <c r="C51" i="1"/>
  <c r="B51" i="1"/>
  <c r="A52" i="1"/>
  <c r="E52" i="1"/>
  <c r="F52" i="1"/>
  <c r="C52" i="1"/>
  <c r="B52" i="1"/>
  <c r="A53" i="1"/>
  <c r="E53" i="1"/>
  <c r="F53" i="1"/>
  <c r="C53" i="1"/>
  <c r="B53" i="1"/>
  <c r="A54" i="1"/>
  <c r="E54" i="1"/>
  <c r="F54" i="1"/>
  <c r="C54" i="1"/>
  <c r="B54" i="1"/>
  <c r="A55" i="1"/>
  <c r="E55" i="1"/>
  <c r="F55" i="1"/>
  <c r="C55" i="1"/>
  <c r="B55" i="1"/>
  <c r="A56" i="1"/>
  <c r="E56" i="1"/>
  <c r="F56" i="1"/>
  <c r="C56" i="1"/>
  <c r="B56" i="1"/>
  <c r="A57" i="1"/>
  <c r="E57" i="1"/>
  <c r="F57" i="1"/>
  <c r="C57" i="1"/>
  <c r="B57" i="1"/>
  <c r="A58" i="1"/>
  <c r="E58" i="1"/>
  <c r="F58" i="1"/>
  <c r="C58" i="1"/>
  <c r="B58" i="1"/>
  <c r="A59" i="1"/>
  <c r="E59" i="1"/>
  <c r="F59" i="1"/>
  <c r="C59" i="1"/>
  <c r="B59" i="1"/>
  <c r="A60" i="1"/>
  <c r="E60" i="1"/>
  <c r="F60" i="1"/>
  <c r="C60" i="1"/>
  <c r="B60" i="1"/>
  <c r="A61" i="1"/>
  <c r="E61" i="1"/>
  <c r="F61" i="1"/>
  <c r="C61" i="1"/>
  <c r="B61" i="1"/>
  <c r="A62" i="1"/>
  <c r="E62" i="1"/>
  <c r="F62" i="1"/>
  <c r="C62" i="1"/>
  <c r="B62" i="1"/>
  <c r="A63" i="1"/>
  <c r="E63" i="1"/>
  <c r="F63" i="1"/>
  <c r="C63" i="1"/>
  <c r="B63" i="1"/>
  <c r="A64" i="1"/>
  <c r="E64" i="1"/>
  <c r="F64" i="1"/>
  <c r="C64" i="1"/>
  <c r="B64" i="1"/>
  <c r="A65" i="1"/>
  <c r="E65" i="1"/>
  <c r="F65" i="1"/>
  <c r="C65" i="1"/>
  <c r="B65" i="1"/>
  <c r="A66" i="1"/>
  <c r="E66" i="1"/>
  <c r="F66" i="1"/>
  <c r="C66" i="1"/>
  <c r="B66" i="1"/>
  <c r="A67" i="1"/>
  <c r="E67" i="1"/>
  <c r="F67" i="1"/>
  <c r="C67" i="1"/>
  <c r="B67" i="1"/>
  <c r="A68" i="1"/>
  <c r="E68" i="1"/>
  <c r="F68" i="1"/>
  <c r="C68" i="1"/>
  <c r="B68" i="1"/>
  <c r="A69" i="1"/>
  <c r="E69" i="1"/>
  <c r="F69" i="1"/>
  <c r="C69" i="1"/>
  <c r="B69" i="1"/>
  <c r="A70" i="1"/>
  <c r="E70" i="1"/>
  <c r="F70" i="1"/>
  <c r="C70" i="1"/>
  <c r="B70" i="1"/>
  <c r="A71" i="1"/>
  <c r="E71" i="1"/>
  <c r="F71" i="1"/>
  <c r="C71" i="1"/>
  <c r="B71" i="1"/>
  <c r="A72" i="1"/>
  <c r="E72" i="1"/>
  <c r="F72" i="1"/>
  <c r="C72" i="1"/>
  <c r="B72" i="1"/>
  <c r="A73" i="1"/>
  <c r="E73" i="1"/>
  <c r="F73" i="1"/>
  <c r="C73" i="1"/>
  <c r="B73" i="1"/>
  <c r="A74" i="1"/>
  <c r="E74" i="1"/>
  <c r="F74" i="1"/>
  <c r="C74" i="1"/>
  <c r="B74" i="1"/>
  <c r="A75" i="1"/>
  <c r="E75" i="1"/>
  <c r="F75" i="1"/>
  <c r="C75" i="1"/>
  <c r="B75" i="1"/>
  <c r="A76" i="1"/>
  <c r="E76" i="1"/>
  <c r="F76" i="1"/>
  <c r="C76" i="1"/>
  <c r="B76" i="1"/>
  <c r="A77" i="1"/>
  <c r="E77" i="1"/>
  <c r="F77" i="1"/>
  <c r="C77" i="1"/>
  <c r="B77" i="1"/>
  <c r="A78" i="1"/>
  <c r="E78" i="1"/>
  <c r="F78" i="1"/>
  <c r="C78" i="1"/>
  <c r="B78" i="1"/>
  <c r="A79" i="1"/>
  <c r="E79" i="1"/>
  <c r="F79" i="1"/>
  <c r="C79" i="1"/>
  <c r="B79" i="1"/>
  <c r="A80" i="1"/>
  <c r="E80" i="1"/>
  <c r="F80" i="1"/>
  <c r="C80" i="1"/>
  <c r="B80" i="1"/>
  <c r="A81" i="1"/>
  <c r="E81" i="1"/>
  <c r="F81" i="1"/>
  <c r="C81" i="1"/>
  <c r="B81" i="1"/>
  <c r="A82" i="1"/>
  <c r="E82" i="1"/>
  <c r="F82" i="1"/>
  <c r="C82" i="1"/>
  <c r="B82" i="1"/>
  <c r="A83" i="1"/>
  <c r="E83" i="1"/>
  <c r="F83" i="1"/>
  <c r="C83" i="1"/>
  <c r="B83" i="1"/>
  <c r="A84" i="1"/>
  <c r="E84" i="1"/>
  <c r="F84" i="1"/>
  <c r="C84" i="1"/>
  <c r="B84" i="1"/>
  <c r="A85" i="1"/>
  <c r="E85" i="1"/>
  <c r="F85" i="1"/>
  <c r="C85" i="1"/>
  <c r="B85" i="1"/>
  <c r="A86" i="1"/>
  <c r="E86" i="1"/>
  <c r="F86" i="1"/>
  <c r="C86" i="1"/>
  <c r="B86" i="1"/>
  <c r="A87" i="1"/>
  <c r="E87" i="1"/>
  <c r="F87" i="1"/>
  <c r="C87" i="1"/>
  <c r="B87" i="1"/>
  <c r="A88" i="1"/>
  <c r="E88" i="1"/>
  <c r="F88" i="1"/>
  <c r="C88" i="1"/>
  <c r="B88" i="1"/>
  <c r="A89" i="1"/>
  <c r="E89" i="1"/>
  <c r="F89" i="1"/>
  <c r="C89" i="1"/>
  <c r="B89" i="1"/>
  <c r="A90" i="1"/>
  <c r="E90" i="1"/>
  <c r="F90" i="1"/>
  <c r="C90" i="1"/>
  <c r="B90" i="1"/>
  <c r="A91" i="1"/>
  <c r="E91" i="1"/>
  <c r="F91" i="1"/>
  <c r="C91" i="1"/>
  <c r="B91" i="1"/>
  <c r="A92" i="1"/>
  <c r="E92" i="1"/>
  <c r="F92" i="1"/>
  <c r="C92" i="1"/>
  <c r="B92" i="1"/>
  <c r="A93" i="1"/>
  <c r="E93" i="1"/>
  <c r="F93" i="1"/>
  <c r="C93" i="1"/>
  <c r="B93" i="1"/>
  <c r="A94" i="1"/>
  <c r="E94" i="1"/>
  <c r="F94" i="1"/>
  <c r="C94" i="1"/>
  <c r="B94" i="1"/>
  <c r="A95" i="1"/>
  <c r="E95" i="1"/>
  <c r="F95" i="1"/>
  <c r="C95" i="1"/>
  <c r="B95" i="1"/>
  <c r="A96" i="1"/>
  <c r="E96" i="1"/>
  <c r="F96" i="1"/>
  <c r="C96" i="1"/>
  <c r="B96" i="1"/>
  <c r="A97" i="1"/>
  <c r="E97" i="1"/>
  <c r="F97" i="1"/>
  <c r="C97" i="1"/>
  <c r="B97" i="1"/>
  <c r="A98" i="1"/>
  <c r="E98" i="1"/>
  <c r="F98" i="1"/>
  <c r="C98" i="1"/>
  <c r="B98" i="1"/>
  <c r="A99" i="1"/>
  <c r="E99" i="1"/>
  <c r="F99" i="1"/>
  <c r="C99" i="1"/>
  <c r="B99" i="1"/>
  <c r="A100" i="1"/>
  <c r="E100" i="1"/>
  <c r="F100" i="1"/>
  <c r="C100" i="1"/>
  <c r="B100" i="1"/>
  <c r="A101" i="1"/>
  <c r="E101" i="1"/>
  <c r="F101" i="1"/>
  <c r="C101" i="1"/>
  <c r="B101" i="1"/>
  <c r="A102" i="1"/>
  <c r="E102" i="1"/>
  <c r="F102" i="1"/>
  <c r="C102" i="1"/>
  <c r="B102" i="1"/>
  <c r="A103" i="1"/>
  <c r="E103" i="1"/>
  <c r="F103" i="1"/>
  <c r="C103" i="1"/>
  <c r="B103" i="1"/>
  <c r="A104" i="1"/>
  <c r="E104" i="1"/>
  <c r="F104" i="1"/>
  <c r="C104" i="1"/>
  <c r="B104" i="1"/>
  <c r="A105" i="1"/>
  <c r="E105" i="1"/>
  <c r="F105" i="1"/>
  <c r="C105" i="1"/>
  <c r="B105" i="1"/>
  <c r="A106" i="1"/>
  <c r="E106" i="1"/>
  <c r="F106" i="1"/>
  <c r="C106" i="1"/>
  <c r="B106" i="1"/>
  <c r="A107" i="1"/>
  <c r="E107" i="1"/>
  <c r="F107" i="1"/>
  <c r="C107" i="1"/>
  <c r="B107" i="1"/>
  <c r="A108" i="1"/>
  <c r="E108" i="1"/>
  <c r="F108" i="1"/>
  <c r="C108" i="1"/>
  <c r="B108" i="1"/>
  <c r="A109" i="1"/>
  <c r="E109" i="1"/>
  <c r="F109" i="1"/>
  <c r="C109" i="1"/>
  <c r="B109" i="1"/>
  <c r="A110" i="1"/>
  <c r="E110" i="1"/>
  <c r="F110" i="1"/>
  <c r="C110" i="1"/>
  <c r="B110" i="1"/>
  <c r="A111" i="1"/>
  <c r="E111" i="1"/>
  <c r="F111" i="1"/>
  <c r="C111" i="1"/>
  <c r="B111" i="1"/>
  <c r="A112" i="1"/>
  <c r="E112" i="1"/>
  <c r="F112" i="1"/>
  <c r="C112" i="1"/>
  <c r="B112" i="1"/>
  <c r="A113" i="1"/>
  <c r="E113" i="1"/>
  <c r="F113" i="1"/>
  <c r="C113" i="1"/>
  <c r="B113" i="1"/>
  <c r="A114" i="1"/>
  <c r="E114" i="1"/>
  <c r="F114" i="1"/>
  <c r="C114" i="1"/>
  <c r="B114" i="1"/>
  <c r="A115" i="1"/>
  <c r="E115" i="1"/>
  <c r="F115" i="1"/>
  <c r="C115" i="1"/>
  <c r="B115" i="1"/>
  <c r="A116" i="1"/>
  <c r="E116" i="1"/>
  <c r="F116" i="1"/>
  <c r="C116" i="1"/>
  <c r="B116" i="1"/>
  <c r="A117" i="1"/>
  <c r="E117" i="1"/>
  <c r="F117" i="1"/>
  <c r="C117" i="1"/>
  <c r="B117" i="1"/>
  <c r="A118" i="1"/>
  <c r="E118" i="1"/>
  <c r="F118" i="1"/>
  <c r="C118" i="1"/>
  <c r="B118" i="1"/>
  <c r="A119" i="1"/>
  <c r="E119" i="1"/>
  <c r="F119" i="1"/>
  <c r="C119" i="1"/>
  <c r="B119" i="1"/>
  <c r="A120" i="1"/>
  <c r="E120" i="1"/>
  <c r="F120" i="1"/>
  <c r="C120" i="1"/>
  <c r="B120" i="1"/>
  <c r="A121" i="1"/>
  <c r="E121" i="1"/>
  <c r="F121" i="1"/>
  <c r="C121" i="1"/>
  <c r="B121" i="1"/>
  <c r="A122" i="1"/>
  <c r="E122" i="1"/>
  <c r="F122" i="1"/>
  <c r="C122" i="1"/>
  <c r="B122" i="1"/>
  <c r="A123" i="1"/>
  <c r="E123" i="1"/>
  <c r="F123" i="1"/>
  <c r="C123" i="1"/>
  <c r="B123" i="1"/>
  <c r="A124" i="1"/>
  <c r="E124" i="1"/>
  <c r="F124" i="1"/>
  <c r="C124" i="1"/>
  <c r="B124" i="1"/>
  <c r="A125" i="1"/>
  <c r="E125" i="1"/>
  <c r="F125" i="1"/>
  <c r="C125" i="1"/>
  <c r="B125" i="1"/>
  <c r="A126" i="1"/>
  <c r="E126" i="1"/>
  <c r="F126" i="1"/>
  <c r="C126" i="1"/>
  <c r="B126" i="1"/>
  <c r="A127" i="1"/>
  <c r="E127" i="1"/>
  <c r="F127" i="1"/>
  <c r="C127" i="1"/>
  <c r="B127" i="1"/>
  <c r="A128" i="1"/>
  <c r="E128" i="1"/>
  <c r="F128" i="1"/>
  <c r="C128" i="1"/>
  <c r="B128" i="1"/>
  <c r="A129" i="1"/>
  <c r="E129" i="1"/>
  <c r="F129" i="1"/>
  <c r="C129" i="1"/>
  <c r="B129" i="1"/>
  <c r="A130" i="1"/>
  <c r="E130" i="1"/>
  <c r="F130" i="1"/>
  <c r="C130" i="1"/>
  <c r="B130" i="1"/>
  <c r="A131" i="1"/>
  <c r="E131" i="1"/>
  <c r="F131" i="1"/>
  <c r="C131" i="1"/>
  <c r="B131" i="1"/>
  <c r="A132" i="1"/>
  <c r="E132" i="1"/>
  <c r="F132" i="1"/>
  <c r="C132" i="1"/>
  <c r="B132" i="1"/>
  <c r="A133" i="1"/>
  <c r="E133" i="1"/>
  <c r="F133" i="1"/>
  <c r="C133" i="1"/>
  <c r="B133" i="1"/>
  <c r="A134" i="1"/>
  <c r="E134" i="1"/>
  <c r="F134" i="1"/>
  <c r="C134" i="1"/>
  <c r="B134" i="1"/>
  <c r="A135" i="1"/>
  <c r="E135" i="1"/>
  <c r="F135" i="1"/>
  <c r="C135" i="1"/>
  <c r="B135" i="1"/>
  <c r="A136" i="1"/>
  <c r="E136" i="1"/>
  <c r="F136" i="1"/>
  <c r="C136" i="1"/>
  <c r="B136" i="1"/>
  <c r="A137" i="1"/>
  <c r="E137" i="1"/>
  <c r="F137" i="1"/>
  <c r="C137" i="1"/>
  <c r="B137" i="1"/>
  <c r="A138" i="1"/>
  <c r="E138" i="1"/>
  <c r="F138" i="1"/>
  <c r="C138" i="1"/>
  <c r="B138" i="1"/>
  <c r="A139" i="1"/>
  <c r="E139" i="1"/>
  <c r="F139" i="1"/>
  <c r="C139" i="1"/>
  <c r="B139" i="1"/>
  <c r="A140" i="1"/>
  <c r="E140" i="1"/>
  <c r="F140" i="1"/>
  <c r="C140" i="1"/>
  <c r="B140" i="1"/>
  <c r="A141" i="1"/>
  <c r="E141" i="1"/>
  <c r="F141" i="1"/>
  <c r="C141" i="1"/>
  <c r="B141" i="1"/>
  <c r="A142" i="1"/>
  <c r="E142" i="1"/>
  <c r="F142" i="1"/>
  <c r="C142" i="1"/>
  <c r="B142" i="1"/>
  <c r="A143" i="1"/>
  <c r="E143" i="1"/>
  <c r="F143" i="1"/>
  <c r="C143" i="1"/>
  <c r="B143" i="1"/>
  <c r="A144" i="1"/>
  <c r="E144" i="1"/>
  <c r="F144" i="1"/>
  <c r="C144" i="1"/>
  <c r="B144" i="1"/>
  <c r="A145" i="1"/>
  <c r="E145" i="1"/>
  <c r="F145" i="1"/>
  <c r="C145" i="1"/>
  <c r="B145" i="1"/>
  <c r="A146" i="1"/>
  <c r="E146" i="1"/>
  <c r="F146" i="1"/>
  <c r="C146" i="1"/>
  <c r="B146" i="1"/>
  <c r="A147" i="1"/>
  <c r="E147" i="1"/>
  <c r="F147" i="1"/>
  <c r="C147" i="1"/>
  <c r="B147" i="1"/>
  <c r="A148" i="1"/>
  <c r="E148" i="1"/>
  <c r="F148" i="1"/>
  <c r="C148" i="1"/>
  <c r="B148" i="1"/>
  <c r="A149" i="1"/>
  <c r="E149" i="1"/>
  <c r="F149" i="1"/>
  <c r="C149" i="1"/>
  <c r="B149" i="1"/>
  <c r="A150" i="1"/>
  <c r="E150" i="1"/>
  <c r="F150" i="1"/>
  <c r="C150" i="1"/>
  <c r="B150" i="1"/>
  <c r="A151" i="1"/>
  <c r="E151" i="1"/>
  <c r="F151" i="1"/>
  <c r="C151" i="1"/>
  <c r="B151" i="1"/>
  <c r="A152" i="1"/>
  <c r="E152" i="1"/>
  <c r="F152" i="1"/>
  <c r="C152" i="1"/>
  <c r="B152" i="1"/>
  <c r="A153" i="1"/>
  <c r="E153" i="1"/>
  <c r="F153" i="1"/>
  <c r="C153" i="1"/>
  <c r="B153" i="1"/>
  <c r="A154" i="1"/>
  <c r="E154" i="1"/>
  <c r="F154" i="1"/>
  <c r="C154" i="1"/>
  <c r="B154" i="1"/>
  <c r="A155" i="1"/>
  <c r="E155" i="1"/>
  <c r="F155" i="1"/>
  <c r="C155" i="1"/>
  <c r="B155" i="1"/>
  <c r="A156" i="1"/>
  <c r="E156" i="1"/>
  <c r="F156" i="1"/>
  <c r="C156" i="1"/>
  <c r="B156" i="1"/>
  <c r="A157" i="1"/>
  <c r="E157" i="1"/>
  <c r="F157" i="1"/>
  <c r="C157" i="1"/>
  <c r="B157" i="1"/>
  <c r="A158" i="1"/>
  <c r="E158" i="1"/>
  <c r="F158" i="1"/>
  <c r="C158" i="1"/>
  <c r="B158" i="1"/>
  <c r="A159" i="1"/>
  <c r="E159" i="1"/>
  <c r="F159" i="1"/>
  <c r="C159" i="1"/>
  <c r="B159" i="1"/>
  <c r="A160" i="1"/>
  <c r="E160" i="1"/>
  <c r="F160" i="1"/>
  <c r="C160" i="1"/>
  <c r="B160" i="1"/>
  <c r="A161" i="1"/>
  <c r="E161" i="1"/>
  <c r="F161" i="1"/>
  <c r="C161" i="1"/>
  <c r="B161" i="1"/>
  <c r="A162" i="1"/>
  <c r="E162" i="1"/>
  <c r="F162" i="1"/>
  <c r="C162" i="1"/>
  <c r="B162" i="1"/>
  <c r="A163" i="1"/>
  <c r="E163" i="1"/>
  <c r="F163" i="1"/>
  <c r="C163" i="1"/>
  <c r="B163" i="1"/>
  <c r="A164" i="1"/>
  <c r="E164" i="1"/>
  <c r="F164" i="1"/>
  <c r="C164" i="1"/>
  <c r="B164" i="1"/>
  <c r="A165" i="1"/>
  <c r="E165" i="1"/>
  <c r="F165" i="1"/>
  <c r="C165" i="1"/>
  <c r="B165" i="1"/>
  <c r="A166" i="1"/>
  <c r="E166" i="1"/>
  <c r="F166" i="1"/>
  <c r="C166" i="1"/>
  <c r="B166" i="1"/>
  <c r="A167" i="1"/>
  <c r="E167" i="1"/>
  <c r="F167" i="1"/>
  <c r="C167" i="1"/>
  <c r="B167" i="1"/>
  <c r="A168" i="1"/>
  <c r="E168" i="1"/>
  <c r="F168" i="1"/>
  <c r="C168" i="1"/>
  <c r="B168" i="1"/>
  <c r="A169" i="1"/>
  <c r="E169" i="1"/>
  <c r="F169" i="1"/>
  <c r="C169" i="1"/>
  <c r="B169" i="1"/>
  <c r="A170" i="1"/>
  <c r="E170" i="1"/>
  <c r="F170" i="1"/>
  <c r="C170" i="1"/>
  <c r="B170" i="1"/>
  <c r="A171" i="1"/>
  <c r="E171" i="1"/>
  <c r="F171" i="1"/>
  <c r="C171" i="1"/>
  <c r="B171" i="1"/>
  <c r="A172" i="1"/>
  <c r="E172" i="1"/>
  <c r="F172" i="1"/>
  <c r="C172" i="1"/>
  <c r="B172" i="1"/>
  <c r="A173" i="1"/>
  <c r="E173" i="1"/>
  <c r="F173" i="1"/>
  <c r="C173" i="1"/>
  <c r="B173" i="1"/>
  <c r="A174" i="1"/>
  <c r="E174" i="1"/>
  <c r="F174" i="1"/>
  <c r="C174" i="1"/>
  <c r="B174" i="1"/>
  <c r="A175" i="1"/>
  <c r="E175" i="1"/>
  <c r="F175" i="1"/>
  <c r="C175" i="1"/>
  <c r="B175" i="1"/>
  <c r="A176" i="1"/>
  <c r="E176" i="1"/>
  <c r="F176" i="1"/>
  <c r="C176" i="1"/>
  <c r="B176" i="1"/>
  <c r="A177" i="1"/>
  <c r="E177" i="1"/>
  <c r="F177" i="1"/>
  <c r="C177" i="1"/>
  <c r="B177" i="1"/>
  <c r="A178" i="1"/>
  <c r="E178" i="1"/>
  <c r="F178" i="1"/>
  <c r="C178" i="1"/>
  <c r="B178" i="1"/>
  <c r="A179" i="1"/>
  <c r="E179" i="1"/>
  <c r="F179" i="1"/>
  <c r="C179" i="1"/>
  <c r="B179" i="1"/>
  <c r="A180" i="1"/>
  <c r="E180" i="1"/>
  <c r="F180" i="1"/>
  <c r="C180" i="1"/>
  <c r="B180" i="1"/>
  <c r="A181" i="1"/>
  <c r="E181" i="1"/>
  <c r="F181" i="1"/>
  <c r="C181" i="1"/>
  <c r="B181" i="1"/>
  <c r="A182" i="1"/>
  <c r="E182" i="1"/>
  <c r="F182" i="1"/>
  <c r="C182" i="1"/>
  <c r="B182" i="1"/>
  <c r="A183" i="1"/>
  <c r="E183" i="1"/>
  <c r="F183" i="1"/>
  <c r="C183" i="1"/>
  <c r="B183" i="1"/>
  <c r="A184" i="1"/>
  <c r="E184" i="1"/>
  <c r="F184" i="1"/>
  <c r="C184" i="1"/>
  <c r="B184" i="1"/>
  <c r="A185" i="1"/>
  <c r="E185" i="1"/>
  <c r="F185" i="1"/>
  <c r="C185" i="1"/>
  <c r="B185" i="1"/>
  <c r="A186" i="1"/>
  <c r="E186" i="1"/>
  <c r="F186" i="1"/>
  <c r="C186" i="1"/>
  <c r="B186" i="1"/>
  <c r="A187" i="1"/>
  <c r="E187" i="1"/>
  <c r="F187" i="1"/>
  <c r="C187" i="1"/>
  <c r="B187" i="1"/>
  <c r="A188" i="1"/>
  <c r="E188" i="1"/>
  <c r="F188" i="1"/>
  <c r="C188" i="1"/>
  <c r="B188" i="1"/>
  <c r="A189" i="1"/>
  <c r="E189" i="1"/>
  <c r="F189" i="1"/>
  <c r="C189" i="1"/>
  <c r="B189" i="1"/>
  <c r="A190" i="1"/>
  <c r="E190" i="1"/>
  <c r="F190" i="1"/>
  <c r="C190" i="1"/>
  <c r="B190" i="1"/>
  <c r="A191" i="1"/>
  <c r="E191" i="1"/>
  <c r="F191" i="1"/>
  <c r="C191" i="1"/>
  <c r="B191" i="1"/>
  <c r="A192" i="1"/>
  <c r="E192" i="1"/>
  <c r="F192" i="1"/>
  <c r="C192" i="1"/>
  <c r="B192" i="1"/>
  <c r="A193" i="1"/>
  <c r="E193" i="1"/>
  <c r="F193" i="1"/>
  <c r="C193" i="1"/>
  <c r="B193" i="1"/>
  <c r="A194" i="1"/>
  <c r="E194" i="1"/>
  <c r="F194" i="1"/>
  <c r="C194" i="1"/>
  <c r="B194" i="1"/>
  <c r="A195" i="1"/>
  <c r="E195" i="1"/>
  <c r="F195" i="1"/>
  <c r="C195" i="1"/>
  <c r="B195" i="1"/>
  <c r="A196" i="1"/>
  <c r="E196" i="1"/>
  <c r="F196" i="1"/>
  <c r="C196" i="1"/>
  <c r="B196" i="1"/>
  <c r="A197" i="1"/>
  <c r="E197" i="1"/>
  <c r="F197" i="1"/>
  <c r="C197" i="1"/>
  <c r="B197" i="1"/>
  <c r="A198" i="1"/>
  <c r="E198" i="1"/>
  <c r="F198" i="1"/>
  <c r="C198" i="1"/>
  <c r="B198" i="1"/>
  <c r="A199" i="1"/>
  <c r="E199" i="1"/>
  <c r="F199" i="1"/>
  <c r="C199" i="1"/>
  <c r="B199" i="1"/>
  <c r="A200" i="1"/>
  <c r="E200" i="1"/>
  <c r="F200" i="1"/>
  <c r="C200" i="1"/>
  <c r="B200" i="1"/>
  <c r="A201" i="1"/>
  <c r="E201" i="1"/>
  <c r="F201" i="1"/>
  <c r="C201" i="1"/>
  <c r="B201" i="1"/>
  <c r="A202" i="1"/>
  <c r="E202" i="1"/>
  <c r="F202" i="1"/>
  <c r="C202" i="1"/>
  <c r="B202" i="1"/>
  <c r="A203" i="1"/>
  <c r="E203" i="1"/>
  <c r="F203" i="1"/>
  <c r="C203" i="1"/>
  <c r="B203" i="1"/>
  <c r="A204" i="1"/>
  <c r="E204" i="1"/>
  <c r="F204" i="1"/>
  <c r="C204" i="1"/>
  <c r="B204" i="1"/>
  <c r="A205" i="1"/>
  <c r="E205" i="1"/>
  <c r="F205" i="1"/>
  <c r="C205" i="1"/>
  <c r="B205" i="1"/>
  <c r="A206" i="1"/>
  <c r="E206" i="1"/>
  <c r="F206" i="1"/>
  <c r="C206" i="1"/>
  <c r="B206" i="1"/>
  <c r="A207" i="1"/>
  <c r="E207" i="1"/>
  <c r="F207" i="1"/>
  <c r="C207" i="1"/>
  <c r="B207" i="1"/>
  <c r="A208" i="1"/>
  <c r="E208" i="1"/>
  <c r="F208" i="1"/>
  <c r="C208" i="1"/>
  <c r="B208" i="1"/>
  <c r="A209" i="1"/>
  <c r="E209" i="1"/>
  <c r="F209" i="1"/>
  <c r="C209" i="1"/>
  <c r="B209" i="1"/>
  <c r="A210" i="1"/>
  <c r="E210" i="1"/>
  <c r="F210" i="1"/>
  <c r="C210" i="1"/>
  <c r="B210" i="1"/>
  <c r="A211" i="1"/>
  <c r="E211" i="1"/>
  <c r="F211" i="1"/>
  <c r="C211" i="1"/>
  <c r="B211" i="1"/>
  <c r="A212" i="1"/>
  <c r="E212" i="1"/>
  <c r="F212" i="1"/>
  <c r="C212" i="1"/>
  <c r="B212" i="1"/>
  <c r="A213" i="1"/>
  <c r="E213" i="1"/>
  <c r="F213" i="1"/>
  <c r="C213" i="1"/>
  <c r="B213" i="1"/>
  <c r="A214" i="1"/>
  <c r="E214" i="1"/>
  <c r="F214" i="1"/>
  <c r="C214" i="1"/>
  <c r="B214" i="1"/>
  <c r="A215" i="1"/>
  <c r="E215" i="1"/>
  <c r="F215" i="1"/>
  <c r="C215" i="1"/>
  <c r="B215" i="1"/>
  <c r="A216" i="1"/>
  <c r="E216" i="1"/>
  <c r="F216" i="1"/>
  <c r="C216" i="1"/>
  <c r="B216" i="1"/>
  <c r="A217" i="1"/>
  <c r="E217" i="1"/>
  <c r="F217" i="1"/>
  <c r="C217" i="1"/>
  <c r="B217" i="1"/>
  <c r="A218" i="1"/>
  <c r="E218" i="1"/>
  <c r="F218" i="1"/>
  <c r="C218" i="1"/>
  <c r="B218" i="1"/>
  <c r="A219" i="1"/>
  <c r="E219" i="1"/>
  <c r="F219" i="1"/>
  <c r="C219" i="1"/>
  <c r="B219" i="1"/>
  <c r="A220" i="1"/>
  <c r="E220" i="1"/>
  <c r="F220" i="1"/>
  <c r="C220" i="1"/>
  <c r="B220" i="1"/>
  <c r="A221" i="1"/>
  <c r="E221" i="1"/>
  <c r="F221" i="1"/>
  <c r="C221" i="1"/>
  <c r="B221" i="1"/>
  <c r="A222" i="1"/>
  <c r="E222" i="1"/>
  <c r="F222" i="1"/>
  <c r="C222" i="1"/>
  <c r="B222" i="1"/>
  <c r="A223" i="1"/>
  <c r="E223" i="1"/>
  <c r="F223" i="1"/>
  <c r="C223" i="1"/>
  <c r="B223" i="1"/>
  <c r="A224" i="1"/>
  <c r="E224" i="1"/>
  <c r="F224" i="1"/>
  <c r="C224" i="1"/>
  <c r="B224" i="1"/>
  <c r="A225" i="1"/>
  <c r="E225" i="1"/>
  <c r="F225" i="1"/>
  <c r="C225" i="1"/>
  <c r="B225" i="1"/>
  <c r="A226" i="1"/>
  <c r="E226" i="1"/>
  <c r="F226" i="1"/>
  <c r="C226" i="1"/>
  <c r="B226" i="1"/>
  <c r="A227" i="1"/>
  <c r="E227" i="1"/>
  <c r="F227" i="1"/>
  <c r="C227" i="1"/>
  <c r="B227" i="1"/>
  <c r="A228" i="1"/>
  <c r="E228" i="1"/>
  <c r="F228" i="1"/>
  <c r="C228" i="1"/>
  <c r="B228" i="1"/>
  <c r="A229" i="1"/>
  <c r="E229" i="1"/>
  <c r="F229" i="1"/>
  <c r="C229" i="1"/>
  <c r="B229" i="1"/>
  <c r="A230" i="1"/>
  <c r="E230" i="1"/>
  <c r="F230" i="1"/>
  <c r="C230" i="1"/>
  <c r="B230" i="1"/>
  <c r="A231" i="1"/>
  <c r="E231" i="1"/>
  <c r="F231" i="1"/>
  <c r="C231" i="1"/>
  <c r="B231" i="1"/>
  <c r="A232" i="1"/>
  <c r="E232" i="1"/>
  <c r="F232" i="1"/>
  <c r="C232" i="1"/>
  <c r="B232" i="1"/>
  <c r="A233" i="1"/>
  <c r="E233" i="1"/>
  <c r="F233" i="1"/>
  <c r="C233" i="1"/>
  <c r="B233" i="1"/>
  <c r="A234" i="1"/>
  <c r="E234" i="1"/>
  <c r="F234" i="1"/>
  <c r="C234" i="1"/>
  <c r="B234" i="1"/>
  <c r="A235" i="1"/>
  <c r="E235" i="1"/>
  <c r="F235" i="1"/>
  <c r="C235" i="1"/>
  <c r="B235" i="1"/>
  <c r="A236" i="1"/>
  <c r="E236" i="1"/>
  <c r="F236" i="1"/>
  <c r="C236" i="1"/>
  <c r="B236" i="1"/>
  <c r="A237" i="1"/>
  <c r="E237" i="1"/>
  <c r="F237" i="1"/>
  <c r="C237" i="1"/>
  <c r="B237" i="1"/>
  <c r="A238" i="1"/>
  <c r="E238" i="1"/>
  <c r="F238" i="1"/>
  <c r="C238" i="1"/>
  <c r="B238" i="1"/>
  <c r="A239" i="1"/>
  <c r="E239" i="1"/>
  <c r="F239" i="1"/>
  <c r="C239" i="1"/>
  <c r="B239" i="1"/>
  <c r="A240" i="1"/>
  <c r="E240" i="1"/>
  <c r="F240" i="1"/>
  <c r="C240" i="1"/>
  <c r="B240" i="1"/>
  <c r="A241" i="1"/>
  <c r="E241" i="1"/>
  <c r="F241" i="1"/>
  <c r="C241" i="1"/>
  <c r="B241" i="1"/>
  <c r="A242" i="1"/>
  <c r="E242" i="1"/>
  <c r="F242" i="1"/>
  <c r="C242" i="1"/>
  <c r="B242" i="1"/>
  <c r="A243" i="1"/>
  <c r="E243" i="1"/>
  <c r="F243" i="1"/>
  <c r="C243" i="1"/>
  <c r="B243" i="1"/>
  <c r="A244" i="1"/>
  <c r="E244" i="1"/>
  <c r="F244" i="1"/>
  <c r="C244" i="1"/>
  <c r="B244" i="1"/>
  <c r="A245" i="1"/>
  <c r="E245" i="1"/>
  <c r="F245" i="1"/>
  <c r="C245" i="1"/>
  <c r="B245" i="1"/>
  <c r="A246" i="1"/>
  <c r="E246" i="1"/>
  <c r="F246" i="1"/>
  <c r="C246" i="1"/>
  <c r="B246" i="1"/>
  <c r="A247" i="1"/>
  <c r="E247" i="1"/>
  <c r="F247" i="1"/>
  <c r="C247" i="1"/>
  <c r="B247" i="1"/>
  <c r="A248" i="1"/>
  <c r="E248" i="1"/>
  <c r="F248" i="1"/>
  <c r="C248" i="1"/>
  <c r="B248" i="1"/>
  <c r="A249" i="1"/>
  <c r="E249" i="1"/>
  <c r="F249" i="1"/>
  <c r="C249" i="1"/>
  <c r="B249" i="1"/>
  <c r="A250" i="1"/>
  <c r="E250" i="1"/>
  <c r="F250" i="1"/>
  <c r="C250" i="1"/>
  <c r="B250" i="1"/>
  <c r="A251" i="1"/>
  <c r="E251" i="1"/>
  <c r="F251" i="1"/>
  <c r="C251" i="1"/>
  <c r="B251" i="1"/>
  <c r="A252" i="1"/>
  <c r="E252" i="1"/>
  <c r="F252" i="1"/>
  <c r="C252" i="1"/>
  <c r="B252" i="1"/>
  <c r="A253" i="1"/>
  <c r="E253" i="1"/>
  <c r="F253" i="1"/>
  <c r="C253" i="1"/>
  <c r="B253" i="1"/>
  <c r="A254" i="1"/>
  <c r="E254" i="1"/>
  <c r="F254" i="1"/>
  <c r="C254" i="1"/>
  <c r="B254" i="1"/>
  <c r="A255" i="1"/>
  <c r="E255" i="1"/>
  <c r="F255" i="1"/>
  <c r="C255" i="1"/>
  <c r="B255" i="1"/>
  <c r="A256" i="1"/>
  <c r="E256" i="1"/>
  <c r="F256" i="1"/>
  <c r="C256" i="1"/>
  <c r="B256" i="1"/>
  <c r="A257" i="1"/>
  <c r="E257" i="1"/>
  <c r="F257" i="1"/>
  <c r="C257" i="1"/>
  <c r="B257" i="1"/>
  <c r="A258" i="1"/>
  <c r="E258" i="1"/>
  <c r="F258" i="1"/>
  <c r="C258" i="1"/>
  <c r="B258" i="1"/>
  <c r="A259" i="1"/>
  <c r="E259" i="1"/>
  <c r="F259" i="1"/>
  <c r="C259" i="1"/>
  <c r="B259" i="1"/>
  <c r="A260" i="1"/>
  <c r="E260" i="1"/>
  <c r="F260" i="1"/>
  <c r="C260" i="1"/>
  <c r="B260" i="1"/>
  <c r="A261" i="1"/>
  <c r="E261" i="1"/>
  <c r="F261" i="1"/>
  <c r="C261" i="1"/>
  <c r="B261" i="1"/>
  <c r="A262" i="1"/>
  <c r="E262" i="1"/>
  <c r="F262" i="1"/>
  <c r="C262" i="1"/>
  <c r="B262" i="1"/>
  <c r="A263" i="1"/>
  <c r="E263" i="1"/>
  <c r="F263" i="1"/>
  <c r="C263" i="1"/>
  <c r="B263" i="1"/>
  <c r="A264" i="1"/>
  <c r="E264" i="1"/>
  <c r="F264" i="1"/>
  <c r="C264" i="1"/>
  <c r="B264" i="1"/>
  <c r="A265" i="1"/>
  <c r="E265" i="1"/>
  <c r="F265" i="1"/>
  <c r="C265" i="1"/>
  <c r="B265" i="1"/>
  <c r="A266" i="1"/>
  <c r="E266" i="1"/>
  <c r="F266" i="1"/>
  <c r="C266" i="1"/>
  <c r="B266" i="1"/>
  <c r="A267" i="1"/>
  <c r="E267" i="1"/>
  <c r="F267" i="1"/>
  <c r="C267" i="1"/>
  <c r="B267" i="1"/>
  <c r="A268" i="1"/>
  <c r="E268" i="1"/>
  <c r="F268" i="1"/>
  <c r="C268" i="1"/>
  <c r="B268" i="1"/>
  <c r="A269" i="1"/>
  <c r="E269" i="1"/>
  <c r="F269" i="1"/>
  <c r="C269" i="1"/>
  <c r="B269" i="1"/>
  <c r="A270" i="1"/>
  <c r="E270" i="1"/>
  <c r="F270" i="1"/>
  <c r="C270" i="1"/>
  <c r="B270" i="1"/>
  <c r="A271" i="1"/>
  <c r="E271" i="1"/>
  <c r="F271" i="1"/>
  <c r="C271" i="1"/>
  <c r="B271" i="1"/>
  <c r="A272" i="1"/>
  <c r="E272" i="1"/>
  <c r="F272" i="1"/>
  <c r="C272" i="1"/>
  <c r="B272" i="1"/>
  <c r="A273" i="1"/>
  <c r="E273" i="1"/>
  <c r="F273" i="1"/>
  <c r="C273" i="1"/>
  <c r="B273" i="1"/>
  <c r="A274" i="1"/>
  <c r="E274" i="1"/>
  <c r="F274" i="1"/>
  <c r="C274" i="1"/>
  <c r="B274" i="1"/>
  <c r="A275" i="1"/>
  <c r="E275" i="1"/>
  <c r="F275" i="1"/>
  <c r="C275" i="1"/>
  <c r="B275" i="1"/>
  <c r="A276" i="1"/>
  <c r="E276" i="1"/>
  <c r="F276" i="1"/>
  <c r="C276" i="1"/>
  <c r="B276" i="1"/>
  <c r="A277" i="1"/>
  <c r="E277" i="1"/>
  <c r="F277" i="1"/>
  <c r="C277" i="1"/>
  <c r="B277" i="1"/>
  <c r="A278" i="1"/>
  <c r="E278" i="1"/>
  <c r="F278" i="1"/>
  <c r="C278" i="1"/>
  <c r="B278" i="1"/>
  <c r="A279" i="1"/>
  <c r="E279" i="1"/>
  <c r="F279" i="1"/>
  <c r="C279" i="1"/>
  <c r="B279" i="1"/>
  <c r="A280" i="1"/>
  <c r="E280" i="1"/>
  <c r="F280" i="1"/>
  <c r="C280" i="1"/>
  <c r="B280" i="1"/>
  <c r="A281" i="1"/>
  <c r="E281" i="1"/>
  <c r="F281" i="1"/>
  <c r="C281" i="1"/>
  <c r="B281" i="1"/>
  <c r="A282" i="1"/>
  <c r="E282" i="1"/>
  <c r="F282" i="1"/>
  <c r="C282" i="1"/>
  <c r="B282" i="1"/>
  <c r="A283" i="1"/>
  <c r="E283" i="1"/>
  <c r="F283" i="1"/>
  <c r="C283" i="1"/>
  <c r="B283" i="1"/>
  <c r="A284" i="1"/>
  <c r="E284" i="1"/>
  <c r="F284" i="1"/>
  <c r="C284" i="1"/>
  <c r="B284" i="1"/>
  <c r="A285" i="1"/>
  <c r="E285" i="1"/>
  <c r="F285" i="1"/>
  <c r="C285" i="1"/>
  <c r="B285" i="1"/>
  <c r="A286" i="1"/>
  <c r="E286" i="1"/>
  <c r="F286" i="1"/>
  <c r="C286" i="1"/>
  <c r="B286" i="1"/>
  <c r="A287" i="1"/>
  <c r="E287" i="1"/>
  <c r="F287" i="1"/>
  <c r="C287" i="1"/>
  <c r="B287" i="1"/>
  <c r="A288" i="1"/>
  <c r="E288" i="1"/>
  <c r="F288" i="1"/>
  <c r="C288" i="1"/>
  <c r="B288" i="1"/>
  <c r="A289" i="1"/>
  <c r="E289" i="1"/>
  <c r="F289" i="1"/>
  <c r="C289" i="1"/>
  <c r="B289" i="1"/>
  <c r="A290" i="1"/>
  <c r="E290" i="1"/>
  <c r="F290" i="1"/>
  <c r="C290" i="1"/>
  <c r="B290" i="1"/>
  <c r="A291" i="1"/>
  <c r="E291" i="1"/>
  <c r="F291" i="1"/>
  <c r="C291" i="1"/>
  <c r="B291" i="1"/>
  <c r="A292" i="1"/>
  <c r="E292" i="1"/>
  <c r="F292" i="1"/>
  <c r="C292" i="1"/>
  <c r="B292" i="1"/>
  <c r="A293" i="1"/>
  <c r="E293" i="1"/>
  <c r="F293" i="1"/>
  <c r="C293" i="1"/>
  <c r="B293" i="1"/>
  <c r="A294" i="1"/>
  <c r="E294" i="1"/>
  <c r="F294" i="1"/>
  <c r="C294" i="1"/>
  <c r="B294" i="1"/>
  <c r="A295" i="1"/>
  <c r="E295" i="1"/>
  <c r="F295" i="1"/>
  <c r="C295" i="1"/>
  <c r="B295" i="1"/>
  <c r="A296" i="1"/>
  <c r="E296" i="1"/>
  <c r="F296" i="1"/>
  <c r="C296" i="1"/>
  <c r="B296" i="1"/>
  <c r="A297" i="1"/>
  <c r="E297" i="1"/>
  <c r="F297" i="1"/>
  <c r="C297" i="1"/>
  <c r="B297" i="1"/>
  <c r="A298" i="1"/>
  <c r="E298" i="1"/>
  <c r="F298" i="1"/>
  <c r="C298" i="1"/>
  <c r="B298" i="1"/>
  <c r="A299" i="1"/>
  <c r="E299" i="1"/>
  <c r="F299" i="1"/>
  <c r="C299" i="1"/>
  <c r="B299" i="1"/>
  <c r="A300" i="1"/>
  <c r="E300" i="1"/>
  <c r="F300" i="1"/>
  <c r="C300" i="1"/>
  <c r="B300" i="1"/>
  <c r="A301" i="1"/>
  <c r="E301" i="1"/>
  <c r="F301" i="1"/>
  <c r="C301" i="1"/>
  <c r="B301" i="1"/>
  <c r="A302" i="1"/>
  <c r="E302" i="1"/>
  <c r="F302" i="1"/>
  <c r="C302" i="1"/>
  <c r="B302" i="1"/>
  <c r="A303" i="1"/>
  <c r="E303" i="1"/>
  <c r="F303" i="1"/>
  <c r="C303" i="1"/>
  <c r="B303" i="1"/>
  <c r="A304" i="1"/>
  <c r="E304" i="1"/>
  <c r="F304" i="1"/>
  <c r="C304" i="1"/>
  <c r="B304" i="1"/>
  <c r="A305" i="1"/>
  <c r="E305" i="1"/>
  <c r="F305" i="1"/>
  <c r="C305" i="1"/>
  <c r="B305" i="1"/>
  <c r="A306" i="1"/>
  <c r="E306" i="1"/>
  <c r="F306" i="1"/>
  <c r="C306" i="1"/>
  <c r="B306" i="1"/>
  <c r="A307" i="1"/>
  <c r="E307" i="1"/>
  <c r="F307" i="1"/>
  <c r="C307" i="1"/>
  <c r="B307" i="1"/>
  <c r="A308" i="1"/>
  <c r="E308" i="1"/>
  <c r="F308" i="1"/>
  <c r="C308" i="1"/>
  <c r="B308" i="1"/>
  <c r="A309" i="1"/>
  <c r="E309" i="1"/>
  <c r="F309" i="1"/>
  <c r="C309" i="1"/>
  <c r="B309" i="1"/>
  <c r="A310" i="1"/>
  <c r="E310" i="1"/>
  <c r="F310" i="1"/>
  <c r="C310" i="1"/>
  <c r="B310" i="1"/>
  <c r="A311" i="1"/>
  <c r="E311" i="1"/>
  <c r="F311" i="1"/>
  <c r="C311" i="1"/>
  <c r="B311" i="1"/>
  <c r="A312" i="1"/>
  <c r="E312" i="1"/>
  <c r="F312" i="1"/>
  <c r="C312" i="1"/>
  <c r="B312" i="1"/>
  <c r="A313" i="1"/>
  <c r="E313" i="1"/>
  <c r="F313" i="1"/>
  <c r="C313" i="1"/>
  <c r="B313" i="1"/>
  <c r="A314" i="1"/>
  <c r="E314" i="1"/>
  <c r="F314" i="1"/>
  <c r="C314" i="1"/>
  <c r="B314" i="1"/>
  <c r="A315" i="1"/>
  <c r="E315" i="1"/>
  <c r="F315" i="1"/>
  <c r="C315" i="1"/>
  <c r="B315" i="1"/>
  <c r="A316" i="1"/>
  <c r="E316" i="1"/>
  <c r="F316" i="1"/>
  <c r="C316" i="1"/>
  <c r="B316" i="1"/>
  <c r="A317" i="1"/>
  <c r="E317" i="1"/>
  <c r="F317" i="1"/>
  <c r="C317" i="1"/>
  <c r="B317" i="1"/>
  <c r="A318" i="1"/>
  <c r="E318" i="1"/>
  <c r="F318" i="1"/>
  <c r="C318" i="1"/>
  <c r="B318" i="1"/>
  <c r="A319" i="1"/>
  <c r="E319" i="1"/>
  <c r="F319" i="1"/>
  <c r="C319" i="1"/>
  <c r="B319" i="1"/>
  <c r="A320" i="1"/>
  <c r="E320" i="1"/>
  <c r="F320" i="1"/>
  <c r="C320" i="1"/>
  <c r="B320" i="1"/>
  <c r="A321" i="1"/>
  <c r="E321" i="1"/>
  <c r="F321" i="1"/>
  <c r="C321" i="1"/>
  <c r="B321" i="1"/>
  <c r="A322" i="1"/>
  <c r="E322" i="1"/>
  <c r="F322" i="1"/>
  <c r="C322" i="1"/>
  <c r="B322" i="1"/>
  <c r="A323" i="1"/>
  <c r="E323" i="1"/>
  <c r="F323" i="1"/>
  <c r="C323" i="1"/>
  <c r="B323" i="1"/>
  <c r="A324" i="1"/>
  <c r="E324" i="1"/>
  <c r="F324" i="1"/>
  <c r="C324" i="1"/>
  <c r="B324" i="1"/>
  <c r="A325" i="1"/>
  <c r="E325" i="1"/>
  <c r="F325" i="1"/>
  <c r="C325" i="1"/>
  <c r="B325" i="1"/>
  <c r="A326" i="1"/>
  <c r="E326" i="1"/>
  <c r="F326" i="1"/>
  <c r="C326" i="1"/>
  <c r="B326" i="1"/>
  <c r="A327" i="1"/>
  <c r="E327" i="1"/>
  <c r="F327" i="1"/>
  <c r="C327" i="1"/>
  <c r="B327" i="1"/>
  <c r="A328" i="1"/>
  <c r="E328" i="1"/>
  <c r="F328" i="1"/>
  <c r="C328" i="1"/>
  <c r="B328" i="1"/>
  <c r="A329" i="1"/>
  <c r="E329" i="1"/>
  <c r="F329" i="1"/>
  <c r="C329" i="1"/>
  <c r="B329" i="1"/>
  <c r="A330" i="1"/>
  <c r="E330" i="1"/>
  <c r="F330" i="1"/>
  <c r="C330" i="1"/>
  <c r="B330" i="1"/>
  <c r="A331" i="1"/>
  <c r="E331" i="1"/>
  <c r="F331" i="1"/>
  <c r="C331" i="1"/>
  <c r="B331" i="1"/>
  <c r="A332" i="1"/>
  <c r="E332" i="1"/>
  <c r="F332" i="1"/>
  <c r="C332" i="1"/>
  <c r="B332" i="1"/>
  <c r="A333" i="1"/>
  <c r="E333" i="1"/>
  <c r="F333" i="1"/>
  <c r="C333" i="1"/>
  <c r="B333" i="1"/>
  <c r="A334" i="1"/>
  <c r="E334" i="1"/>
  <c r="F334" i="1"/>
  <c r="C334" i="1"/>
  <c r="B334" i="1"/>
  <c r="A335" i="1"/>
  <c r="E335" i="1"/>
  <c r="F335" i="1"/>
  <c r="C335" i="1"/>
  <c r="B335" i="1"/>
  <c r="A336" i="1"/>
  <c r="E336" i="1"/>
  <c r="F336" i="1"/>
  <c r="C336" i="1"/>
  <c r="B336" i="1"/>
  <c r="A337" i="1"/>
  <c r="E337" i="1"/>
  <c r="F337" i="1"/>
  <c r="C337" i="1"/>
  <c r="B337" i="1"/>
  <c r="A338" i="1"/>
  <c r="E338" i="1"/>
  <c r="F338" i="1"/>
  <c r="C338" i="1"/>
  <c r="B338" i="1"/>
  <c r="A339" i="1"/>
  <c r="E339" i="1"/>
  <c r="F339" i="1"/>
  <c r="C339" i="1"/>
  <c r="B339" i="1"/>
  <c r="A340" i="1"/>
  <c r="E340" i="1"/>
  <c r="F340" i="1"/>
  <c r="C340" i="1"/>
  <c r="B340" i="1"/>
  <c r="A341" i="1"/>
  <c r="E341" i="1"/>
  <c r="F341" i="1"/>
  <c r="C341" i="1"/>
  <c r="B341" i="1"/>
  <c r="A342" i="1"/>
  <c r="E342" i="1"/>
  <c r="F342" i="1"/>
  <c r="C342" i="1"/>
  <c r="B342" i="1"/>
  <c r="A343" i="1"/>
  <c r="E343" i="1"/>
  <c r="F343" i="1"/>
  <c r="C343" i="1"/>
  <c r="B343" i="1"/>
  <c r="A344" i="1"/>
  <c r="E344" i="1"/>
  <c r="F344" i="1"/>
  <c r="C344" i="1"/>
  <c r="B344" i="1"/>
  <c r="A345" i="1"/>
  <c r="E345" i="1"/>
  <c r="F345" i="1"/>
  <c r="C345" i="1"/>
  <c r="B345" i="1"/>
  <c r="A346" i="1"/>
  <c r="E346" i="1"/>
  <c r="F346" i="1"/>
  <c r="C346" i="1"/>
  <c r="B346" i="1"/>
  <c r="A347" i="1"/>
  <c r="E347" i="1"/>
  <c r="F347" i="1"/>
  <c r="C347" i="1"/>
  <c r="B347" i="1"/>
  <c r="A348" i="1"/>
  <c r="E348" i="1"/>
  <c r="F348" i="1"/>
  <c r="C348" i="1"/>
  <c r="B348" i="1"/>
  <c r="A349" i="1"/>
  <c r="E349" i="1"/>
  <c r="F349" i="1"/>
  <c r="C349" i="1"/>
  <c r="B349" i="1"/>
  <c r="A350" i="1"/>
  <c r="E350" i="1"/>
  <c r="F350" i="1"/>
  <c r="C350" i="1"/>
  <c r="B350" i="1"/>
  <c r="A351" i="1"/>
  <c r="E351" i="1"/>
  <c r="F351" i="1"/>
  <c r="C351" i="1"/>
  <c r="B351" i="1"/>
  <c r="A352" i="1"/>
  <c r="E352" i="1"/>
  <c r="F352" i="1"/>
  <c r="C352" i="1"/>
  <c r="B352" i="1"/>
  <c r="A353" i="1"/>
  <c r="E353" i="1"/>
  <c r="F353" i="1"/>
  <c r="C353" i="1"/>
  <c r="B353" i="1"/>
  <c r="A354" i="1"/>
  <c r="E354" i="1"/>
  <c r="F354" i="1"/>
  <c r="C354" i="1"/>
  <c r="B354" i="1"/>
  <c r="A355" i="1"/>
  <c r="E355" i="1"/>
  <c r="F355" i="1"/>
  <c r="C355" i="1"/>
  <c r="B355" i="1"/>
  <c r="A356" i="1"/>
  <c r="E356" i="1"/>
  <c r="F356" i="1"/>
  <c r="C356" i="1"/>
  <c r="B356" i="1"/>
  <c r="A357" i="1"/>
  <c r="E357" i="1"/>
  <c r="F357" i="1"/>
  <c r="C357" i="1"/>
  <c r="B357" i="1"/>
  <c r="A358" i="1"/>
  <c r="E358" i="1"/>
  <c r="F358" i="1"/>
  <c r="C358" i="1"/>
  <c r="B358" i="1"/>
  <c r="A359" i="1"/>
  <c r="E359" i="1"/>
  <c r="F359" i="1"/>
  <c r="C359" i="1"/>
  <c r="B359" i="1"/>
  <c r="A360" i="1"/>
  <c r="E360" i="1"/>
  <c r="F360" i="1"/>
  <c r="C360" i="1"/>
  <c r="B360" i="1"/>
  <c r="A361" i="1"/>
  <c r="E361" i="1"/>
  <c r="F361" i="1"/>
  <c r="C361" i="1"/>
  <c r="B361" i="1"/>
  <c r="A362" i="1"/>
  <c r="E362" i="1"/>
  <c r="F362" i="1"/>
  <c r="C362" i="1"/>
  <c r="B362" i="1"/>
  <c r="A363" i="1"/>
  <c r="E363" i="1"/>
  <c r="F363" i="1"/>
  <c r="C363" i="1"/>
  <c r="B363" i="1"/>
  <c r="A364" i="1"/>
  <c r="E364" i="1"/>
  <c r="F364" i="1"/>
  <c r="C364" i="1"/>
  <c r="B364" i="1"/>
  <c r="A365" i="1"/>
  <c r="E365" i="1"/>
  <c r="F365" i="1"/>
  <c r="C365" i="1"/>
  <c r="B365" i="1"/>
  <c r="A366" i="1"/>
  <c r="E366" i="1"/>
  <c r="F366" i="1"/>
  <c r="C366" i="1"/>
  <c r="B366" i="1"/>
  <c r="A367" i="1"/>
  <c r="E367" i="1"/>
  <c r="F367" i="1"/>
  <c r="C367" i="1"/>
  <c r="B367" i="1"/>
  <c r="A368" i="1"/>
  <c r="E368" i="1"/>
  <c r="F368" i="1"/>
  <c r="C368" i="1"/>
  <c r="B368" i="1"/>
  <c r="A369" i="1"/>
  <c r="E369" i="1"/>
  <c r="F369" i="1"/>
  <c r="C369" i="1"/>
  <c r="B369" i="1"/>
  <c r="A370" i="1"/>
  <c r="E370" i="1"/>
  <c r="F370" i="1"/>
  <c r="C370" i="1"/>
  <c r="B370" i="1"/>
  <c r="A371" i="1"/>
  <c r="E371" i="1"/>
  <c r="F371" i="1"/>
  <c r="C371" i="1"/>
  <c r="B371" i="1"/>
  <c r="A372" i="1"/>
  <c r="E372" i="1"/>
  <c r="F372" i="1"/>
  <c r="C372" i="1"/>
  <c r="B372" i="1"/>
  <c r="A373" i="1"/>
  <c r="E373" i="1"/>
  <c r="F373" i="1"/>
  <c r="C373" i="1"/>
  <c r="B373" i="1"/>
  <c r="A374" i="1"/>
  <c r="E374" i="1"/>
  <c r="F374" i="1"/>
  <c r="C374" i="1"/>
  <c r="B374" i="1"/>
  <c r="A375" i="1"/>
  <c r="E375" i="1"/>
  <c r="F375" i="1"/>
  <c r="C375" i="1"/>
  <c r="B375" i="1"/>
  <c r="A376" i="1"/>
  <c r="E376" i="1"/>
  <c r="F376" i="1"/>
  <c r="C376" i="1"/>
  <c r="B376" i="1"/>
  <c r="A377" i="1"/>
  <c r="E377" i="1"/>
  <c r="F377" i="1"/>
  <c r="C377" i="1"/>
  <c r="B377" i="1"/>
  <c r="A378" i="1"/>
  <c r="E378" i="1"/>
  <c r="F378" i="1"/>
  <c r="C378" i="1"/>
  <c r="B378" i="1"/>
  <c r="A379" i="1"/>
  <c r="E379" i="1"/>
  <c r="F379" i="1"/>
  <c r="C379" i="1"/>
  <c r="B379" i="1"/>
  <c r="A380" i="1"/>
  <c r="E380" i="1"/>
  <c r="F380" i="1"/>
  <c r="C380" i="1"/>
  <c r="B380" i="1"/>
  <c r="A381" i="1"/>
  <c r="E381" i="1"/>
  <c r="F381" i="1"/>
  <c r="C381" i="1"/>
  <c r="B381" i="1"/>
  <c r="A382" i="1"/>
  <c r="E382" i="1"/>
  <c r="F382" i="1"/>
  <c r="C382" i="1"/>
  <c r="B382" i="1"/>
  <c r="A383" i="1"/>
  <c r="E383" i="1"/>
  <c r="F383" i="1"/>
  <c r="C383" i="1"/>
  <c r="B383" i="1"/>
  <c r="A384" i="1"/>
  <c r="E384" i="1"/>
  <c r="F384" i="1"/>
  <c r="C384" i="1"/>
  <c r="B384" i="1"/>
  <c r="A385" i="1"/>
  <c r="E385" i="1"/>
  <c r="F385" i="1"/>
  <c r="C385" i="1"/>
  <c r="B385" i="1"/>
  <c r="A386" i="1"/>
  <c r="E386" i="1"/>
  <c r="F386" i="1"/>
  <c r="C386" i="1"/>
  <c r="B386" i="1"/>
  <c r="A387" i="1"/>
  <c r="E387" i="1"/>
  <c r="F387" i="1"/>
  <c r="C387" i="1"/>
  <c r="B387" i="1"/>
  <c r="A388" i="1"/>
  <c r="E388" i="1"/>
  <c r="F388" i="1"/>
  <c r="C388" i="1"/>
  <c r="B388" i="1"/>
  <c r="A389" i="1"/>
  <c r="E389" i="1"/>
  <c r="F389" i="1"/>
  <c r="C389" i="1"/>
  <c r="B389" i="1"/>
  <c r="A390" i="1"/>
  <c r="E390" i="1"/>
  <c r="F390" i="1"/>
  <c r="C390" i="1"/>
  <c r="B390" i="1"/>
  <c r="A391" i="1"/>
  <c r="E391" i="1"/>
  <c r="F391" i="1"/>
  <c r="C391" i="1"/>
  <c r="B391" i="1"/>
  <c r="A392" i="1"/>
  <c r="E392" i="1"/>
  <c r="F392" i="1"/>
  <c r="C392" i="1"/>
  <c r="B392" i="1"/>
  <c r="A393" i="1"/>
  <c r="E393" i="1"/>
  <c r="F393" i="1"/>
  <c r="C393" i="1"/>
  <c r="B393" i="1"/>
  <c r="A394" i="1"/>
  <c r="E394" i="1"/>
  <c r="F394" i="1"/>
  <c r="C394" i="1"/>
  <c r="B394" i="1"/>
  <c r="A395" i="1"/>
  <c r="E395" i="1"/>
  <c r="F395" i="1"/>
  <c r="C395" i="1"/>
  <c r="B395" i="1"/>
  <c r="A396" i="1"/>
  <c r="E396" i="1"/>
  <c r="F396" i="1"/>
  <c r="C396" i="1"/>
  <c r="B396" i="1"/>
  <c r="A397" i="1"/>
  <c r="E397" i="1"/>
  <c r="F397" i="1"/>
  <c r="C397" i="1"/>
  <c r="B397" i="1"/>
  <c r="A398" i="1"/>
  <c r="E398" i="1"/>
  <c r="F398" i="1"/>
  <c r="C398" i="1"/>
  <c r="B398" i="1"/>
  <c r="A399" i="1"/>
  <c r="E399" i="1"/>
  <c r="F399" i="1"/>
  <c r="C399" i="1"/>
  <c r="B399" i="1"/>
  <c r="A400" i="1"/>
  <c r="E400" i="1"/>
  <c r="F400" i="1"/>
  <c r="C400" i="1"/>
  <c r="B400" i="1"/>
  <c r="A401" i="1"/>
  <c r="E401" i="1"/>
  <c r="F401" i="1"/>
  <c r="C401" i="1"/>
  <c r="B401" i="1"/>
  <c r="A402" i="1"/>
  <c r="E402" i="1"/>
  <c r="F402" i="1"/>
  <c r="C402" i="1"/>
  <c r="B402" i="1"/>
  <c r="A403" i="1"/>
  <c r="E403" i="1"/>
  <c r="F403" i="1"/>
  <c r="C403" i="1"/>
  <c r="B403" i="1"/>
  <c r="A404" i="1"/>
  <c r="E404" i="1"/>
  <c r="F404" i="1"/>
  <c r="C404" i="1"/>
  <c r="B404" i="1"/>
  <c r="A405" i="1"/>
  <c r="E405" i="1"/>
  <c r="F405" i="1"/>
  <c r="C405" i="1"/>
  <c r="B405" i="1"/>
  <c r="A406" i="1"/>
  <c r="E406" i="1"/>
  <c r="F406" i="1"/>
  <c r="C406" i="1"/>
  <c r="B406" i="1"/>
  <c r="A407" i="1"/>
  <c r="E407" i="1"/>
  <c r="F407" i="1"/>
  <c r="C407" i="1"/>
  <c r="B407" i="1"/>
  <c r="A408" i="1"/>
  <c r="E408" i="1"/>
  <c r="F408" i="1"/>
  <c r="C408" i="1"/>
  <c r="B408" i="1"/>
  <c r="A409" i="1"/>
  <c r="E409" i="1"/>
  <c r="F409" i="1"/>
  <c r="C409" i="1"/>
  <c r="B409" i="1"/>
  <c r="A410" i="1"/>
  <c r="E410" i="1"/>
  <c r="F410" i="1"/>
  <c r="C410" i="1"/>
  <c r="B410" i="1"/>
  <c r="A411" i="1"/>
  <c r="E411" i="1"/>
  <c r="F411" i="1"/>
  <c r="C411" i="1"/>
  <c r="B411" i="1"/>
  <c r="A412" i="1"/>
  <c r="E412" i="1"/>
  <c r="F412" i="1"/>
  <c r="C412" i="1"/>
  <c r="B412" i="1"/>
  <c r="A413" i="1"/>
  <c r="E413" i="1"/>
  <c r="F413" i="1"/>
  <c r="C413" i="1"/>
  <c r="B413" i="1"/>
  <c r="A414" i="1"/>
  <c r="E414" i="1"/>
  <c r="F414" i="1"/>
  <c r="C414" i="1"/>
  <c r="B414" i="1"/>
  <c r="A415" i="1"/>
  <c r="E415" i="1"/>
  <c r="F415" i="1"/>
  <c r="C415" i="1"/>
  <c r="B415" i="1"/>
  <c r="A416" i="1"/>
  <c r="E416" i="1"/>
  <c r="F416" i="1"/>
  <c r="C416" i="1"/>
  <c r="B416" i="1"/>
  <c r="A417" i="1"/>
  <c r="E417" i="1"/>
  <c r="F417" i="1"/>
  <c r="C417" i="1"/>
  <c r="B417" i="1"/>
  <c r="A418" i="1"/>
  <c r="E418" i="1"/>
  <c r="F418" i="1"/>
  <c r="C418" i="1"/>
  <c r="B418" i="1"/>
  <c r="A419" i="1"/>
  <c r="E419" i="1"/>
  <c r="F419" i="1"/>
  <c r="C419" i="1"/>
  <c r="B419" i="1"/>
  <c r="A420" i="1"/>
  <c r="E420" i="1"/>
  <c r="F420" i="1"/>
  <c r="C420" i="1"/>
  <c r="B420" i="1"/>
  <c r="A421" i="1"/>
  <c r="E421" i="1"/>
  <c r="F421" i="1"/>
  <c r="C421" i="1"/>
  <c r="B421" i="1"/>
  <c r="A422" i="1"/>
  <c r="E422" i="1"/>
  <c r="F422" i="1"/>
  <c r="C422" i="1"/>
  <c r="B422" i="1"/>
  <c r="A423" i="1"/>
  <c r="E423" i="1"/>
  <c r="F423" i="1"/>
  <c r="C423" i="1"/>
  <c r="B423" i="1"/>
  <c r="A424" i="1"/>
  <c r="E424" i="1"/>
  <c r="F424" i="1"/>
  <c r="C424" i="1"/>
  <c r="B424" i="1"/>
  <c r="A425" i="1"/>
  <c r="E425" i="1"/>
  <c r="F425" i="1"/>
  <c r="C425" i="1"/>
  <c r="B425" i="1"/>
  <c r="A426" i="1"/>
  <c r="E426" i="1"/>
  <c r="F426" i="1"/>
  <c r="C426" i="1"/>
  <c r="B426" i="1"/>
  <c r="A427" i="1"/>
  <c r="E427" i="1"/>
  <c r="F427" i="1"/>
  <c r="C427" i="1"/>
  <c r="B427" i="1"/>
  <c r="A428" i="1"/>
  <c r="E428" i="1"/>
  <c r="F428" i="1"/>
  <c r="C428" i="1"/>
  <c r="B428" i="1"/>
  <c r="A429" i="1"/>
  <c r="E429" i="1"/>
  <c r="F429" i="1"/>
  <c r="C429" i="1"/>
  <c r="B429" i="1"/>
  <c r="A430" i="1"/>
  <c r="E430" i="1"/>
  <c r="F430" i="1"/>
  <c r="C430" i="1"/>
  <c r="B430" i="1"/>
  <c r="A431" i="1"/>
  <c r="E431" i="1"/>
  <c r="F431" i="1"/>
  <c r="C431" i="1"/>
  <c r="B431" i="1"/>
  <c r="A432" i="1"/>
  <c r="E432" i="1"/>
  <c r="F432" i="1"/>
  <c r="C432" i="1"/>
  <c r="B432" i="1"/>
  <c r="A433" i="1"/>
  <c r="E433" i="1"/>
  <c r="F433" i="1"/>
  <c r="C433" i="1"/>
  <c r="B433" i="1"/>
  <c r="A434" i="1"/>
  <c r="E434" i="1"/>
  <c r="F434" i="1"/>
  <c r="C434" i="1"/>
  <c r="B434" i="1"/>
  <c r="A435" i="1"/>
  <c r="E435" i="1"/>
  <c r="F435" i="1"/>
  <c r="C435" i="1"/>
  <c r="B435" i="1"/>
  <c r="A436" i="1"/>
  <c r="E436" i="1"/>
  <c r="F436" i="1"/>
  <c r="C436" i="1"/>
  <c r="B436" i="1"/>
  <c r="A437" i="1"/>
  <c r="E437" i="1"/>
  <c r="F437" i="1"/>
  <c r="C437" i="1"/>
  <c r="B437" i="1"/>
  <c r="A438" i="1"/>
  <c r="E438" i="1"/>
  <c r="F438" i="1"/>
  <c r="C438" i="1"/>
  <c r="B438" i="1"/>
  <c r="A439" i="1"/>
  <c r="E439" i="1"/>
  <c r="F439" i="1"/>
  <c r="C439" i="1"/>
  <c r="B439" i="1"/>
  <c r="A440" i="1"/>
  <c r="E440" i="1"/>
  <c r="F440" i="1"/>
  <c r="C440" i="1"/>
  <c r="B440" i="1"/>
  <c r="A441" i="1"/>
  <c r="E441" i="1"/>
  <c r="F441" i="1"/>
  <c r="C441" i="1"/>
  <c r="B441" i="1"/>
  <c r="A442" i="1"/>
  <c r="E442" i="1"/>
  <c r="F442" i="1"/>
  <c r="C442" i="1"/>
  <c r="B442" i="1"/>
  <c r="A443" i="1"/>
  <c r="E443" i="1"/>
  <c r="F443" i="1"/>
  <c r="C443" i="1"/>
  <c r="B443" i="1"/>
  <c r="A444" i="1"/>
  <c r="E444" i="1"/>
  <c r="F444" i="1"/>
  <c r="C444" i="1"/>
  <c r="B444" i="1"/>
  <c r="A445" i="1"/>
  <c r="E445" i="1"/>
  <c r="F445" i="1"/>
  <c r="C445" i="1"/>
  <c r="B445" i="1"/>
  <c r="A446" i="1"/>
  <c r="E446" i="1"/>
  <c r="F446" i="1"/>
  <c r="C446" i="1"/>
  <c r="B446" i="1"/>
  <c r="A447" i="1"/>
  <c r="E447" i="1"/>
  <c r="F447" i="1"/>
  <c r="C447" i="1"/>
  <c r="B447" i="1"/>
  <c r="A448" i="1"/>
  <c r="E448" i="1"/>
  <c r="F448" i="1"/>
  <c r="C448" i="1"/>
  <c r="B448" i="1"/>
  <c r="A449" i="1"/>
  <c r="E449" i="1"/>
  <c r="F449" i="1"/>
  <c r="C449" i="1"/>
  <c r="B449" i="1"/>
  <c r="A450" i="1"/>
  <c r="E450" i="1"/>
  <c r="F450" i="1"/>
  <c r="C450" i="1"/>
  <c r="B450" i="1"/>
  <c r="A451" i="1"/>
  <c r="E451" i="1"/>
  <c r="F451" i="1"/>
  <c r="C451" i="1"/>
  <c r="B451" i="1"/>
  <c r="A452" i="1"/>
  <c r="E452" i="1"/>
  <c r="F452" i="1"/>
  <c r="C452" i="1"/>
  <c r="B452" i="1"/>
  <c r="A453" i="1"/>
  <c r="E453" i="1"/>
  <c r="F453" i="1"/>
  <c r="C453" i="1"/>
  <c r="B453" i="1"/>
  <c r="A454" i="1"/>
  <c r="E454" i="1"/>
  <c r="F454" i="1"/>
  <c r="C454" i="1"/>
  <c r="B454" i="1"/>
  <c r="A455" i="1"/>
  <c r="E455" i="1"/>
  <c r="F455" i="1"/>
  <c r="C455" i="1"/>
  <c r="B455" i="1"/>
  <c r="A456" i="1"/>
  <c r="E456" i="1"/>
  <c r="F456" i="1"/>
  <c r="C456" i="1"/>
  <c r="B456" i="1"/>
  <c r="A457" i="1"/>
  <c r="E457" i="1"/>
  <c r="F457" i="1"/>
  <c r="C457" i="1"/>
  <c r="B457" i="1"/>
  <c r="A458" i="1"/>
  <c r="E458" i="1"/>
  <c r="F458" i="1"/>
  <c r="C458" i="1"/>
  <c r="B458" i="1"/>
  <c r="A459" i="1"/>
  <c r="E459" i="1"/>
  <c r="F459" i="1"/>
  <c r="C459" i="1"/>
  <c r="B459" i="1"/>
  <c r="A460" i="1"/>
  <c r="E460" i="1"/>
  <c r="F460" i="1"/>
  <c r="C460" i="1"/>
  <c r="B460" i="1"/>
  <c r="A461" i="1"/>
  <c r="E461" i="1"/>
  <c r="F461" i="1"/>
  <c r="C461" i="1"/>
  <c r="B461" i="1"/>
  <c r="A462" i="1"/>
  <c r="E462" i="1"/>
  <c r="F462" i="1"/>
  <c r="C462" i="1"/>
  <c r="B462" i="1"/>
  <c r="A463" i="1"/>
  <c r="E463" i="1"/>
  <c r="F463" i="1"/>
  <c r="C463" i="1"/>
  <c r="B463" i="1"/>
  <c r="A464" i="1"/>
  <c r="E464" i="1"/>
  <c r="F464" i="1"/>
  <c r="C464" i="1"/>
  <c r="B464" i="1"/>
  <c r="A465" i="1"/>
  <c r="E465" i="1"/>
  <c r="F465" i="1"/>
  <c r="C465" i="1"/>
  <c r="B465" i="1"/>
  <c r="A466" i="1"/>
  <c r="E466" i="1"/>
  <c r="F466" i="1"/>
  <c r="C466" i="1"/>
  <c r="B466" i="1"/>
  <c r="A467" i="1"/>
  <c r="E467" i="1"/>
  <c r="F467" i="1"/>
  <c r="C467" i="1"/>
  <c r="B467" i="1"/>
  <c r="A468" i="1"/>
  <c r="E468" i="1"/>
  <c r="F468" i="1"/>
  <c r="C468" i="1"/>
  <c r="B468" i="1"/>
  <c r="A469" i="1"/>
  <c r="E469" i="1"/>
  <c r="F469" i="1"/>
  <c r="C469" i="1"/>
  <c r="B469" i="1"/>
  <c r="A470" i="1"/>
  <c r="E470" i="1"/>
  <c r="F470" i="1"/>
  <c r="C470" i="1"/>
  <c r="B470" i="1"/>
  <c r="A471" i="1"/>
  <c r="E471" i="1"/>
  <c r="F471" i="1"/>
  <c r="C471" i="1"/>
  <c r="B471" i="1"/>
  <c r="A472" i="1"/>
  <c r="E472" i="1"/>
  <c r="F472" i="1"/>
  <c r="C472" i="1"/>
  <c r="B472" i="1"/>
  <c r="A473" i="1"/>
  <c r="E473" i="1"/>
  <c r="F473" i="1"/>
  <c r="C473" i="1"/>
  <c r="B473" i="1"/>
  <c r="A474" i="1"/>
  <c r="E474" i="1"/>
  <c r="F474" i="1"/>
  <c r="C474" i="1"/>
  <c r="B474" i="1"/>
  <c r="A475" i="1"/>
  <c r="E475" i="1"/>
  <c r="F475" i="1"/>
  <c r="C475" i="1"/>
  <c r="B475" i="1"/>
  <c r="A476" i="1"/>
  <c r="E476" i="1"/>
  <c r="F476" i="1"/>
  <c r="C476" i="1"/>
  <c r="B476" i="1"/>
  <c r="A477" i="1"/>
  <c r="E477" i="1"/>
  <c r="F477" i="1"/>
  <c r="C477" i="1"/>
  <c r="B477" i="1"/>
  <c r="A478" i="1"/>
  <c r="E478" i="1"/>
  <c r="F478" i="1"/>
  <c r="C478" i="1"/>
  <c r="B478" i="1"/>
  <c r="A479" i="1"/>
  <c r="E479" i="1"/>
  <c r="F479" i="1"/>
  <c r="C479" i="1"/>
  <c r="B479" i="1"/>
  <c r="A480" i="1"/>
  <c r="E480" i="1"/>
  <c r="F480" i="1"/>
  <c r="C480" i="1"/>
  <c r="B480" i="1"/>
  <c r="A481" i="1"/>
  <c r="E481" i="1"/>
  <c r="F481" i="1"/>
  <c r="C481" i="1"/>
  <c r="B481" i="1"/>
  <c r="A482" i="1"/>
  <c r="E482" i="1"/>
  <c r="F482" i="1"/>
  <c r="C482" i="1"/>
  <c r="B482" i="1"/>
  <c r="A483" i="1"/>
  <c r="E483" i="1"/>
  <c r="F483" i="1"/>
  <c r="C483" i="1"/>
  <c r="B483" i="1"/>
  <c r="A484" i="1"/>
  <c r="E484" i="1"/>
  <c r="F484" i="1"/>
  <c r="C484" i="1"/>
  <c r="B484" i="1"/>
  <c r="A485" i="1"/>
  <c r="E485" i="1"/>
  <c r="F485" i="1"/>
  <c r="C485" i="1"/>
  <c r="B485" i="1"/>
  <c r="A486" i="1"/>
  <c r="E486" i="1"/>
  <c r="F486" i="1"/>
  <c r="C486" i="1"/>
  <c r="B486" i="1"/>
  <c r="A487" i="1"/>
  <c r="E487" i="1"/>
  <c r="F487" i="1"/>
  <c r="C487" i="1"/>
  <c r="B487" i="1"/>
  <c r="A488" i="1"/>
  <c r="E488" i="1"/>
  <c r="F488" i="1"/>
  <c r="C488" i="1"/>
  <c r="B488" i="1"/>
  <c r="A489" i="1"/>
  <c r="E489" i="1"/>
  <c r="F489" i="1"/>
  <c r="C489" i="1"/>
  <c r="B489" i="1"/>
  <c r="A490" i="1"/>
  <c r="E490" i="1"/>
  <c r="F490" i="1"/>
  <c r="C490" i="1"/>
  <c r="B490" i="1"/>
  <c r="A491" i="1"/>
  <c r="E491" i="1"/>
  <c r="F491" i="1"/>
  <c r="C491" i="1"/>
  <c r="B491" i="1"/>
  <c r="A492" i="1"/>
  <c r="E492" i="1"/>
  <c r="F492" i="1"/>
  <c r="C492" i="1"/>
  <c r="B492" i="1"/>
  <c r="A493" i="1"/>
  <c r="E493" i="1"/>
  <c r="F493" i="1"/>
  <c r="C493" i="1"/>
  <c r="B493" i="1"/>
  <c r="A494" i="1"/>
  <c r="E494" i="1"/>
  <c r="F494" i="1"/>
  <c r="C494" i="1"/>
  <c r="B494" i="1"/>
  <c r="A495" i="1"/>
  <c r="E495" i="1"/>
  <c r="F495" i="1"/>
  <c r="C495" i="1"/>
  <c r="B495" i="1"/>
  <c r="A496" i="1"/>
  <c r="E496" i="1"/>
  <c r="F496" i="1"/>
  <c r="C496" i="1"/>
  <c r="B496" i="1"/>
  <c r="A497" i="1"/>
  <c r="E497" i="1"/>
  <c r="F497" i="1"/>
  <c r="C497" i="1"/>
  <c r="B497" i="1"/>
  <c r="A498" i="1"/>
  <c r="E498" i="1"/>
  <c r="F498" i="1"/>
  <c r="C498" i="1"/>
  <c r="B498" i="1"/>
  <c r="A499" i="1"/>
  <c r="E499" i="1"/>
  <c r="F499" i="1"/>
  <c r="C499" i="1"/>
  <c r="B499" i="1"/>
  <c r="A500" i="1"/>
  <c r="E500" i="1"/>
  <c r="F500" i="1"/>
  <c r="C500" i="1"/>
  <c r="B500" i="1"/>
  <c r="A501" i="1"/>
  <c r="E501" i="1"/>
  <c r="F501" i="1"/>
  <c r="C501" i="1"/>
  <c r="B501" i="1"/>
  <c r="A502" i="1"/>
  <c r="E502" i="1"/>
  <c r="F502" i="1"/>
  <c r="C502" i="1"/>
  <c r="B502" i="1"/>
  <c r="A503" i="1"/>
  <c r="E503" i="1"/>
  <c r="F503" i="1"/>
  <c r="C503" i="1"/>
  <c r="B503" i="1"/>
  <c r="A504" i="1"/>
  <c r="E504" i="1"/>
  <c r="F504" i="1"/>
  <c r="C504" i="1"/>
  <c r="B504" i="1"/>
</calcChain>
</file>

<file path=xl/sharedStrings.xml><?xml version="1.0" encoding="utf-8"?>
<sst xmlns="http://schemas.openxmlformats.org/spreadsheetml/2006/main" count="6" uniqueCount="6">
  <si>
    <t>開設者氏名</t>
  </si>
  <si>
    <t>許可番号</t>
    <phoneticPr fontId="18"/>
  </si>
  <si>
    <t>店舗の名称</t>
    <phoneticPr fontId="18"/>
  </si>
  <si>
    <t>店舗の所在地</t>
    <phoneticPr fontId="18"/>
  </si>
  <si>
    <t>有効期間（始）</t>
    <rPh sb="2" eb="4">
      <t>キカン</t>
    </rPh>
    <phoneticPr fontId="18"/>
  </si>
  <si>
    <t>有効期間（終）</t>
    <rPh sb="2" eb="4">
      <t>キカン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</si>
</sst>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34DA-87DA-4C36-8765-15C560609874}">
  <dimension ref="A1:F504"/>
  <sheetViews>
    <sheetView tabSelected="1" zoomScale="85" zoomScaleNormal="85" workbookViewId="0">
      <selection activeCell="F2" sqref="F2"/>
    </sheetView>
  </sheetViews>
  <sheetFormatPr defaultRowHeight="13" x14ac:dyDescent="0.2"/>
  <cols>
    <col min="1" max="1" width="19.36328125" bestFit="1" customWidth="1"/>
    <col min="2" max="2" width="40.453125" bestFit="1" customWidth="1"/>
    <col min="3" max="3" width="44.81640625" bestFit="1" customWidth="1"/>
    <col min="4" max="4" width="43.1796875" bestFit="1" customWidth="1"/>
    <col min="5" max="6" width="11.7265625" bestFit="1" customWidth="1"/>
  </cols>
  <sheetData>
    <row r="1" spans="1:6" x14ac:dyDescent="0.2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tr">
        <f>"第2304号"</f>
        <v>第2304号</v>
      </c>
      <c r="B2" t="str">
        <f>"株式会社メディスン"</f>
        <v>株式会社メディスン</v>
      </c>
      <c r="C2" t="str">
        <f>"こじか薬局"</f>
        <v>こじか薬局</v>
      </c>
      <c r="D2" t="str">
        <f>"山鹿市方保田３６４６－４"</f>
        <v>山鹿市方保田３６４６－４</v>
      </c>
      <c r="E2" t="str">
        <f>"R05.01.01"</f>
        <v>R05.01.01</v>
      </c>
      <c r="F2" t="str">
        <f>"R10.12.31"</f>
        <v>R10.12.31</v>
      </c>
    </row>
    <row r="3" spans="1:6" x14ac:dyDescent="0.2">
      <c r="A3" t="str">
        <f>"第2651号"</f>
        <v>第2651号</v>
      </c>
      <c r="B3" t="str">
        <f>"クオール株式会社"</f>
        <v>クオール株式会社</v>
      </c>
      <c r="C3" t="str">
        <f>"クオール薬局山鹿店"</f>
        <v>クオール薬局山鹿店</v>
      </c>
      <c r="D3" t="str">
        <f>"山鹿市山鹿１４７９"</f>
        <v>山鹿市山鹿１４７９</v>
      </c>
      <c r="E3" t="str">
        <f>"R06.03.14"</f>
        <v>R06.03.14</v>
      </c>
      <c r="F3" t="str">
        <f>"R12.03.13"</f>
        <v>R12.03.13</v>
      </c>
    </row>
    <row r="4" spans="1:6" x14ac:dyDescent="0.2">
      <c r="A4" t="str">
        <f>"第1904号"</f>
        <v>第1904号</v>
      </c>
      <c r="B4" t="str">
        <f>"有限会社江上薬局"</f>
        <v>有限会社江上薬局</v>
      </c>
      <c r="C4" t="str">
        <f>"江上薬局大橋通"</f>
        <v>江上薬局大橋通</v>
      </c>
      <c r="D4" t="str">
        <f>"山鹿市大橋通７０４－１"</f>
        <v>山鹿市大橋通７０４－１</v>
      </c>
      <c r="E4" t="str">
        <f>"R03.01.01"</f>
        <v>R03.01.01</v>
      </c>
      <c r="F4" t="str">
        <f>"R08.12.31"</f>
        <v>R08.12.31</v>
      </c>
    </row>
    <row r="5" spans="1:6" x14ac:dyDescent="0.2">
      <c r="A5" t="str">
        <f>"第2071号"</f>
        <v>第2071号</v>
      </c>
      <c r="B5" t="str">
        <f>"有限会社エース・薬局"</f>
        <v>有限会社エース・薬局</v>
      </c>
      <c r="C5" t="str">
        <f>"エース・薬局"</f>
        <v>エース・薬局</v>
      </c>
      <c r="D5" t="str">
        <f>"山鹿市古閑１０００番地１"</f>
        <v>山鹿市古閑１０００番地１</v>
      </c>
      <c r="E5" t="str">
        <f>"R07.01.01"</f>
        <v>R07.01.01</v>
      </c>
      <c r="F5" t="str">
        <f>"R12.12.31"</f>
        <v>R12.12.31</v>
      </c>
    </row>
    <row r="6" spans="1:6" x14ac:dyDescent="0.2">
      <c r="A6" t="str">
        <f>"第2425号"</f>
        <v>第2425号</v>
      </c>
      <c r="B6" t="str">
        <f>"ヤマトファルマ有限会社"</f>
        <v>ヤマトファルマ有限会社</v>
      </c>
      <c r="C6" t="str">
        <f>"かおうまち薬局"</f>
        <v>かおうまち薬局</v>
      </c>
      <c r="D6" t="str">
        <f>"熊本県山鹿市鹿央町合里４１１番地２"</f>
        <v>熊本県山鹿市鹿央町合里４１１番地２</v>
      </c>
      <c r="E6" t="str">
        <f>"R02.09.17"</f>
        <v>R02.09.17</v>
      </c>
      <c r="F6" t="str">
        <f>"R08.09.16"</f>
        <v>R08.09.16</v>
      </c>
    </row>
    <row r="7" spans="1:6" x14ac:dyDescent="0.2">
      <c r="A7" t="str">
        <f>"第2437号"</f>
        <v>第2437号</v>
      </c>
      <c r="B7" t="str">
        <f>"株式会社キラキラファーマ"</f>
        <v>株式会社キラキラファーマ</v>
      </c>
      <c r="C7" t="str">
        <f>"きらきら薬局"</f>
        <v>きらきら薬局</v>
      </c>
      <c r="D7" t="str">
        <f>"熊本県山鹿市中９７４"</f>
        <v>熊本県山鹿市中９７４</v>
      </c>
      <c r="E7" t="str">
        <f>"R03.02.13"</f>
        <v>R03.02.13</v>
      </c>
      <c r="F7" t="str">
        <f>"R09.02.12"</f>
        <v>R09.02.12</v>
      </c>
    </row>
    <row r="8" spans="1:6" x14ac:dyDescent="0.2">
      <c r="A8" t="str">
        <f>"第2559号"</f>
        <v>第2559号</v>
      </c>
      <c r="B8" t="str">
        <f>"Ｇｒｏｗ　Ｕｐ株式会社"</f>
        <v>Ｇｒｏｗ　Ｕｐ株式会社</v>
      </c>
      <c r="C8" t="str">
        <f>"えいせい堂薬局"</f>
        <v>えいせい堂薬局</v>
      </c>
      <c r="D8" t="str">
        <f>"山鹿市山鹿３４３番地４"</f>
        <v>山鹿市山鹿３４３番地４</v>
      </c>
      <c r="E8" t="str">
        <f>"R02.04.01"</f>
        <v>R02.04.01</v>
      </c>
      <c r="F8" t="str">
        <f>"R08.03.31"</f>
        <v>R08.03.31</v>
      </c>
    </row>
    <row r="9" spans="1:6" x14ac:dyDescent="0.2">
      <c r="A9" t="str">
        <f>"第2398号"</f>
        <v>第2398号</v>
      </c>
      <c r="B9" t="str">
        <f>"吉野　勝哉"</f>
        <v>吉野　勝哉</v>
      </c>
      <c r="C9" t="str">
        <f>"ハニー薬局"</f>
        <v>ハニー薬局</v>
      </c>
      <c r="D9" t="str">
        <f>"熊本県山鹿市熊入町３１５"</f>
        <v>熊本県山鹿市熊入町３１５</v>
      </c>
      <c r="E9" t="str">
        <f>"R01.12.18"</f>
        <v>R01.12.18</v>
      </c>
      <c r="F9" t="str">
        <f>"R07.12.17"</f>
        <v>R07.12.17</v>
      </c>
    </row>
    <row r="10" spans="1:6" x14ac:dyDescent="0.2">
      <c r="A10" t="str">
        <f>"第2241号"</f>
        <v>第2241号</v>
      </c>
      <c r="B10" t="str">
        <f>"鹿本菊池地区薬局事業協同組合"</f>
        <v>鹿本菊池地区薬局事業協同組合</v>
      </c>
      <c r="C10" t="str">
        <f>"城北中央薬局"</f>
        <v>城北中央薬局</v>
      </c>
      <c r="D10" t="str">
        <f>"山鹿市山鹿４９９－３番地"</f>
        <v>山鹿市山鹿４９９－３番地</v>
      </c>
      <c r="E10" t="str">
        <f>"R04.05.01"</f>
        <v>R04.05.01</v>
      </c>
      <c r="F10" t="str">
        <f>"R10.04.30"</f>
        <v>R10.04.30</v>
      </c>
    </row>
    <row r="11" spans="1:6" x14ac:dyDescent="0.2">
      <c r="A11" t="str">
        <f>"第2213号"</f>
        <v>第2213号</v>
      </c>
      <c r="B11" t="str">
        <f>"有限会社まつ薬局"</f>
        <v>有限会社まつ薬局</v>
      </c>
      <c r="C11" t="str">
        <f>"まつ薬局"</f>
        <v>まつ薬局</v>
      </c>
      <c r="D11" t="str">
        <f>"山鹿市山鹿１番地"</f>
        <v>山鹿市山鹿１番地</v>
      </c>
      <c r="E11" t="str">
        <f>"R03.12.12"</f>
        <v>R03.12.12</v>
      </c>
      <c r="F11" t="str">
        <f>"R09.12.11"</f>
        <v>R09.12.11</v>
      </c>
    </row>
    <row r="12" spans="1:6" x14ac:dyDescent="0.2">
      <c r="A12" t="str">
        <f>"第2517号"</f>
        <v>第2517号</v>
      </c>
      <c r="B12" t="str">
        <f>"株式会社ＶＥＮＵＳ"</f>
        <v>株式会社ＶＥＮＵＳ</v>
      </c>
      <c r="C12" t="str">
        <f>"山鹿いちご薬局"</f>
        <v>山鹿いちご薬局</v>
      </c>
      <c r="D12" t="str">
        <f>"山鹿市大橋通６０８番地"</f>
        <v>山鹿市大橋通６０８番地</v>
      </c>
      <c r="E12" t="str">
        <f>"R06.07.01"</f>
        <v>R06.07.01</v>
      </c>
      <c r="F12" t="str">
        <f>"R12.06.30"</f>
        <v>R12.06.30</v>
      </c>
    </row>
    <row r="13" spans="1:6" x14ac:dyDescent="0.2">
      <c r="A13" t="str">
        <f>"第2508号"</f>
        <v>第2508号</v>
      </c>
      <c r="B13" t="str">
        <f>"株式会社ＳＫＹ　ＣＲＥＡＴＥ"</f>
        <v>株式会社ＳＫＹ　ＣＲＥＡＴＥ</v>
      </c>
      <c r="C13" t="str">
        <f>"海浜総合薬局　山鹿店"</f>
        <v>海浜総合薬局　山鹿店</v>
      </c>
      <c r="D13" t="str">
        <f>"山鹿市新町２０５番地２"</f>
        <v>山鹿市新町２０５番地２</v>
      </c>
      <c r="E13" t="str">
        <f>"R06.04.16"</f>
        <v>R06.04.16</v>
      </c>
      <c r="F13" t="str">
        <f>"R12.04.15"</f>
        <v>R12.04.15</v>
      </c>
    </row>
    <row r="14" spans="1:6" x14ac:dyDescent="0.2">
      <c r="A14" t="str">
        <f>"第2620号"</f>
        <v>第2620号</v>
      </c>
      <c r="B14" t="str">
        <f>"合同会社エリミノ"</f>
        <v>合同会社エリミノ</v>
      </c>
      <c r="C14" t="str">
        <f>"ゆらぎ薬局"</f>
        <v>ゆらぎ薬局</v>
      </c>
      <c r="D14" t="str">
        <f>"山鹿市山鹿１７００－１"</f>
        <v>山鹿市山鹿１７００－１</v>
      </c>
      <c r="E14" t="str">
        <f>"R05.03.13"</f>
        <v>R05.03.13</v>
      </c>
      <c r="F14" t="str">
        <f>"R11.03.12"</f>
        <v>R11.03.12</v>
      </c>
    </row>
    <row r="15" spans="1:6" x14ac:dyDescent="0.2">
      <c r="A15" t="str">
        <f>"第1275号"</f>
        <v>第1275号</v>
      </c>
      <c r="B15" t="str">
        <f>"有限会社江上薬局"</f>
        <v>有限会社江上薬局</v>
      </c>
      <c r="C15" t="str">
        <f>"（有）江上薬局　グリーン・ファーマシイ"</f>
        <v>（有）江上薬局　グリーン・ファーマシイ</v>
      </c>
      <c r="D15" t="str">
        <f>"山鹿市山鹿１８４２－１８"</f>
        <v>山鹿市山鹿１８４２－１８</v>
      </c>
      <c r="E15" t="str">
        <f>"R04.01.01"</f>
        <v>R04.01.01</v>
      </c>
      <c r="F15" t="str">
        <f>"R09.12.31"</f>
        <v>R09.12.31</v>
      </c>
    </row>
    <row r="16" spans="1:6" x14ac:dyDescent="0.2">
      <c r="A16" t="str">
        <f>"第2469号"</f>
        <v>第2469号</v>
      </c>
      <c r="B16" t="str">
        <f>"株式会社クロスファーマ"</f>
        <v>株式会社クロスファーマ</v>
      </c>
      <c r="C16" t="str">
        <f>"きりん薬局松坂店"</f>
        <v>きりん薬局松坂店</v>
      </c>
      <c r="D16" t="str">
        <f>"山鹿市山鹿１０８７番地３"</f>
        <v>山鹿市山鹿１０８７番地３</v>
      </c>
      <c r="E16" t="str">
        <f>"R04.07.01"</f>
        <v>R04.07.01</v>
      </c>
      <c r="F16" t="str">
        <f>"R10.06.30"</f>
        <v>R10.06.30</v>
      </c>
    </row>
    <row r="17" spans="1:6" x14ac:dyDescent="0.2">
      <c r="A17" t="str">
        <f>"第2453号"</f>
        <v>第2453号</v>
      </c>
      <c r="B17" t="str">
        <f>"株式会社K’Sファーマシー"</f>
        <v>株式会社K’Sファーマシー</v>
      </c>
      <c r="C17" t="str">
        <f>"鹿校通薬局"</f>
        <v>鹿校通薬局</v>
      </c>
      <c r="D17" t="str">
        <f>"山鹿市鹿校通三丁目２番４５－２号"</f>
        <v>山鹿市鹿校通三丁目２番４５－２号</v>
      </c>
      <c r="E17" t="str">
        <f>"R03.11.01"</f>
        <v>R03.11.01</v>
      </c>
      <c r="F17" t="str">
        <f>"R09.10.31"</f>
        <v>R09.10.31</v>
      </c>
    </row>
    <row r="18" spans="1:6" x14ac:dyDescent="0.2">
      <c r="A18" t="str">
        <f>"第2562号"</f>
        <v>第2562号</v>
      </c>
      <c r="B18" t="str">
        <f>"御宇田メディカル株式会社"</f>
        <v>御宇田メディカル株式会社</v>
      </c>
      <c r="C18" t="str">
        <f>"みうた薬局"</f>
        <v>みうた薬局</v>
      </c>
      <c r="D18" t="str">
        <f>"山鹿市鹿本町御宇田６６３番地２"</f>
        <v>山鹿市鹿本町御宇田６６３番地２</v>
      </c>
      <c r="E18" t="str">
        <f>"R02.05.01"</f>
        <v>R02.05.01</v>
      </c>
      <c r="F18" t="str">
        <f>"R08.04.30"</f>
        <v>R08.04.30</v>
      </c>
    </row>
    <row r="19" spans="1:6" x14ac:dyDescent="0.2">
      <c r="A19" t="str">
        <f>"第2669号"</f>
        <v>第2669号</v>
      </c>
      <c r="B19" t="str">
        <f>"株式会社ファルマウニオン"</f>
        <v>株式会社ファルマウニオン</v>
      </c>
      <c r="C19" t="str">
        <f>"アップル薬局　飛田バイパス店"</f>
        <v>アップル薬局　飛田バイパス店</v>
      </c>
      <c r="D19" t="str">
        <f>"合志市須屋７０６－２"</f>
        <v>合志市須屋７０６－２</v>
      </c>
      <c r="E19" t="str">
        <f>"R07.01.01"</f>
        <v>R07.01.01</v>
      </c>
      <c r="F19" t="str">
        <f>"R12.12.31"</f>
        <v>R12.12.31</v>
      </c>
    </row>
    <row r="20" spans="1:6" x14ac:dyDescent="0.2">
      <c r="A20" t="str">
        <f>"第2667号"</f>
        <v>第2667号</v>
      </c>
      <c r="B20" t="str">
        <f>"株式会社ファルマウニオン"</f>
        <v>株式会社ファルマウニオン</v>
      </c>
      <c r="C20" t="str">
        <f>"アップル調剤薬局大津店"</f>
        <v>アップル調剤薬局大津店</v>
      </c>
      <c r="D20" t="str">
        <f>"菊池郡大津町室５３９―１１"</f>
        <v>菊池郡大津町室５３９―１１</v>
      </c>
      <c r="E20" t="str">
        <f>"R07.01.01"</f>
        <v>R07.01.01</v>
      </c>
      <c r="F20" t="str">
        <f>"R12.12.31"</f>
        <v>R12.12.31</v>
      </c>
    </row>
    <row r="21" spans="1:6" x14ac:dyDescent="0.2">
      <c r="A21" t="str">
        <f>"第2034号"</f>
        <v>第2034号</v>
      </c>
      <c r="B21" t="str">
        <f>"有限会社あきよし調剤薬局"</f>
        <v>有限会社あきよし調剤薬局</v>
      </c>
      <c r="C21" t="str">
        <f>"あきよし調剤薬局　むさし店"</f>
        <v>あきよし調剤薬局　むさし店</v>
      </c>
      <c r="D21" t="str">
        <f>"菊池郡菊陽町光の森３丁目１８番地８"</f>
        <v>菊池郡菊陽町光の森３丁目１８番地８</v>
      </c>
      <c r="E21" t="str">
        <f>"R06.01.01"</f>
        <v>R06.01.01</v>
      </c>
      <c r="F21" t="str">
        <f>"R11.12.31"</f>
        <v>R11.12.31</v>
      </c>
    </row>
    <row r="22" spans="1:6" x14ac:dyDescent="0.2">
      <c r="A22" t="str">
        <f>"第2436号"</f>
        <v>第2436号</v>
      </c>
      <c r="B22" t="str">
        <f>"株式会社　新生堂薬局"</f>
        <v>株式会社　新生堂薬局</v>
      </c>
      <c r="C22" t="str">
        <f>"新生堂薬局　すずかけ台店"</f>
        <v>新生堂薬局　すずかけ台店</v>
      </c>
      <c r="D22" t="str">
        <f>"合志市豊岡字拾三町２０００番２４７７"</f>
        <v>合志市豊岡字拾三町２０００番２４７７</v>
      </c>
      <c r="E22" t="str">
        <f>"R03.02.13"</f>
        <v>R03.02.13</v>
      </c>
      <c r="F22" t="str">
        <f>"R09.02.12"</f>
        <v>R09.02.12</v>
      </c>
    </row>
    <row r="23" spans="1:6" x14ac:dyDescent="0.2">
      <c r="A23" t="str">
        <f>"第2105号"</f>
        <v>第2105号</v>
      </c>
      <c r="B23" t="str">
        <f>"株式会社　新生堂薬局"</f>
        <v>株式会社　新生堂薬局</v>
      </c>
      <c r="C23" t="str">
        <f>"新生堂薬局　大津店"</f>
        <v>新生堂薬局　大津店</v>
      </c>
      <c r="D23" t="str">
        <f>"菊池郡大津町大字大津字門出１２１１－１"</f>
        <v>菊池郡大津町大字大津字門出１２１１－１</v>
      </c>
      <c r="E23" t="str">
        <f>"R07.10.16"</f>
        <v>R07.10.16</v>
      </c>
      <c r="F23" t="str">
        <f>"R13.10.15"</f>
        <v>R13.10.15</v>
      </c>
    </row>
    <row r="24" spans="1:6" x14ac:dyDescent="0.2">
      <c r="A24" t="str">
        <f>"第2101号"</f>
        <v>第2101号</v>
      </c>
      <c r="B24" t="str">
        <f>"株式会社タカヒロメディカル"</f>
        <v>株式会社タカヒロメディカル</v>
      </c>
      <c r="C24" t="str">
        <f>"すや調剤薬局"</f>
        <v>すや調剤薬局</v>
      </c>
      <c r="D24" t="str">
        <f>"合志市須屋２６２番３２"</f>
        <v>合志市須屋２６２番３２</v>
      </c>
      <c r="E24" t="str">
        <f>"R07.01.01"</f>
        <v>R07.01.01</v>
      </c>
      <c r="F24" t="str">
        <f>"R12.12.31"</f>
        <v>R12.12.31</v>
      </c>
    </row>
    <row r="25" spans="1:6" x14ac:dyDescent="0.2">
      <c r="A25" t="str">
        <f>"第2633号"</f>
        <v>第2633号</v>
      </c>
      <c r="B25" t="str">
        <f>"さくら薬局株式会社"</f>
        <v>さくら薬局株式会社</v>
      </c>
      <c r="C25" t="str">
        <f>"さくら調剤薬局　菊陽東店"</f>
        <v>さくら調剤薬局　菊陽東店</v>
      </c>
      <c r="D25" t="str">
        <f>"菊池郡菊陽町大字馬場楠字屋敷４２７番７"</f>
        <v>菊池郡菊陽町大字馬場楠字屋敷４２７番７</v>
      </c>
      <c r="E25" t="str">
        <f>"R05.11.01"</f>
        <v>R05.11.01</v>
      </c>
      <c r="F25" t="str">
        <f>"R11.10.31"</f>
        <v>R11.10.31</v>
      </c>
    </row>
    <row r="26" spans="1:6" x14ac:dyDescent="0.2">
      <c r="A26" t="str">
        <f>"第2632号"</f>
        <v>第2632号</v>
      </c>
      <c r="B26" t="str">
        <f>"さくら薬局株式会社"</f>
        <v>さくら薬局株式会社</v>
      </c>
      <c r="C26" t="str">
        <f>"さくら調剤薬局　菊陽店"</f>
        <v>さくら調剤薬局　菊陽店</v>
      </c>
      <c r="D26" t="str">
        <f>"菊池郡菊陽町大字津久礼３００９番地３"</f>
        <v>菊池郡菊陽町大字津久礼３００９番地３</v>
      </c>
      <c r="E26" t="str">
        <f>"R05.11.01"</f>
        <v>R05.11.01</v>
      </c>
      <c r="F26" t="str">
        <f>"R11.10.31"</f>
        <v>R11.10.31</v>
      </c>
    </row>
    <row r="27" spans="1:6" x14ac:dyDescent="0.2">
      <c r="A27" t="str">
        <f>"第2318号"</f>
        <v>第2318号</v>
      </c>
      <c r="B27" t="str">
        <f>"有限会社岡山薬局"</f>
        <v>有限会社岡山薬局</v>
      </c>
      <c r="C27" t="str">
        <f>"栄町薬局"</f>
        <v>栄町薬局</v>
      </c>
      <c r="D27" t="str">
        <f>"菊池市隈府７８０－１３"</f>
        <v>菊池市隈府７８０－１３</v>
      </c>
      <c r="E27" t="str">
        <f>"R06.03.12"</f>
        <v>R06.03.12</v>
      </c>
      <c r="F27" t="str">
        <f>"R12.03.11"</f>
        <v>R12.03.11</v>
      </c>
    </row>
    <row r="28" spans="1:6" x14ac:dyDescent="0.2">
      <c r="A28" t="str">
        <f>"第2338号"</f>
        <v>第2338号</v>
      </c>
      <c r="B28" t="str">
        <f>"鹿本菊池地区薬局事業協同組合"</f>
        <v>鹿本菊池地区薬局事業協同組合</v>
      </c>
      <c r="C28" t="str">
        <f>"きくち薬局"</f>
        <v>きくち薬局</v>
      </c>
      <c r="D28" t="str">
        <f>"菊池市大琳寺７５－４"</f>
        <v>菊池市大琳寺７５－４</v>
      </c>
      <c r="E28" t="str">
        <f>"R06.01.01"</f>
        <v>R06.01.01</v>
      </c>
      <c r="F28" t="str">
        <f>"R11.12.31"</f>
        <v>R11.12.31</v>
      </c>
    </row>
    <row r="29" spans="1:6" x14ac:dyDescent="0.2">
      <c r="A29" t="str">
        <f>"第2413号"</f>
        <v>第2413号</v>
      </c>
      <c r="B29" t="str">
        <f>"株式会社なの花九州"</f>
        <v>株式会社なの花九州</v>
      </c>
      <c r="C29" t="str">
        <f>"菊南薬局"</f>
        <v>菊南薬局</v>
      </c>
      <c r="D29" t="str">
        <f>"合志市須屋７０８－６"</f>
        <v>合志市須屋７０８－６</v>
      </c>
      <c r="E29" t="str">
        <f>"R02.07.01"</f>
        <v>R02.07.01</v>
      </c>
      <c r="F29" t="str">
        <f>"R08.06.30"</f>
        <v>R08.06.30</v>
      </c>
    </row>
    <row r="30" spans="1:6" x14ac:dyDescent="0.2">
      <c r="A30" t="str">
        <f>"第2603号"</f>
        <v>第2603号</v>
      </c>
      <c r="B30" t="str">
        <f>"有限会社メディックス"</f>
        <v>有限会社メディックス</v>
      </c>
      <c r="C30" t="str">
        <f>"グリーン薬局豊岡店"</f>
        <v>グリーン薬局豊岡店</v>
      </c>
      <c r="D30" t="str">
        <f>"合志市豊岡字須屋久保２０００番４１３"</f>
        <v>合志市豊岡字須屋久保２０００番４１３</v>
      </c>
      <c r="E30" t="str">
        <f>"R04.03.04"</f>
        <v>R04.03.04</v>
      </c>
      <c r="F30" t="str">
        <f>"R09.12.31"</f>
        <v>R09.12.31</v>
      </c>
    </row>
    <row r="31" spans="1:6" x14ac:dyDescent="0.2">
      <c r="A31" t="str">
        <f>"第2171号"</f>
        <v>第2171号</v>
      </c>
      <c r="B31" t="str">
        <f>"有限会社武蔵野台薬局"</f>
        <v>有限会社武蔵野台薬局</v>
      </c>
      <c r="C31" t="str">
        <f>"きくちハート薬局"</f>
        <v>きくちハート薬局</v>
      </c>
      <c r="D31" t="str">
        <f>"菊池市亘字堀木11番６"</f>
        <v>菊池市亘字堀木11番６</v>
      </c>
      <c r="E31" t="str">
        <f>"R02.12.08"</f>
        <v>R02.12.08</v>
      </c>
      <c r="F31" t="str">
        <f>"R08.12.07"</f>
        <v>R08.12.07</v>
      </c>
    </row>
    <row r="32" spans="1:6" x14ac:dyDescent="0.2">
      <c r="A32" t="str">
        <f>"第2655号"</f>
        <v>第2655号</v>
      </c>
      <c r="B32" t="str">
        <f>"株式会社大賀薬局"</f>
        <v>株式会社大賀薬局</v>
      </c>
      <c r="C32" t="str">
        <f>"株式会社大賀薬局　菊陽２号店"</f>
        <v>株式会社大賀薬局　菊陽２号店</v>
      </c>
      <c r="D32" t="str">
        <f>"菊池郡菊陽町大字原水２９０９-３"</f>
        <v>菊池郡菊陽町大字原水２９０９-３</v>
      </c>
      <c r="E32" t="str">
        <f>"R06.04.17"</f>
        <v>R06.04.17</v>
      </c>
      <c r="F32" t="str">
        <f>"R12.04.16"</f>
        <v>R12.04.16</v>
      </c>
    </row>
    <row r="33" spans="1:6" x14ac:dyDescent="0.2">
      <c r="A33" t="str">
        <f>"第2595号"</f>
        <v>第2595号</v>
      </c>
      <c r="B33" t="str">
        <f>"株式会社ファーマダイワ"</f>
        <v>株式会社ファーマダイワ</v>
      </c>
      <c r="C33" t="str">
        <f>"ひまわり薬局　西合志店"</f>
        <v>ひまわり薬局　西合志店</v>
      </c>
      <c r="D33" t="str">
        <f>"合志市須屋２６６５－１０"</f>
        <v>合志市須屋２６６５－１０</v>
      </c>
      <c r="E33" t="str">
        <f>"R03.11.01"</f>
        <v>R03.11.01</v>
      </c>
      <c r="F33" t="str">
        <f>"R09.10.31"</f>
        <v>R09.10.31</v>
      </c>
    </row>
    <row r="34" spans="1:6" x14ac:dyDescent="0.2">
      <c r="A34" t="str">
        <f>"第2159号"</f>
        <v>第2159号</v>
      </c>
      <c r="B34" t="str">
        <f>"株式会社ファーマダイワ"</f>
        <v>株式会社ファーマダイワ</v>
      </c>
      <c r="C34" t="str">
        <f>"ひなぎく薬局"</f>
        <v>ひなぎく薬局</v>
      </c>
      <c r="D34" t="str">
        <f>"合志市幾久富１７５８－１５０"</f>
        <v>合志市幾久富１７５８－１５０</v>
      </c>
      <c r="E34" t="str">
        <f>"R02.01.01"</f>
        <v>R02.01.01</v>
      </c>
      <c r="F34" t="str">
        <f>"R07.12.31"</f>
        <v>R07.12.31</v>
      </c>
    </row>
    <row r="35" spans="1:6" x14ac:dyDescent="0.2">
      <c r="A35" t="str">
        <f>"第2125号"</f>
        <v>第2125号</v>
      </c>
      <c r="B35" t="str">
        <f>"株式会社　ファーマダイワ"</f>
        <v>株式会社　ファーマダイワ</v>
      </c>
      <c r="C35" t="str">
        <f>"光の森７丁目薬局"</f>
        <v>光の森７丁目薬局</v>
      </c>
      <c r="D35" t="str">
        <f>"菊池郡菊陽町光の森七丁目４１番地１８"</f>
        <v>菊池郡菊陽町光の森七丁目４１番地１８</v>
      </c>
      <c r="E35" t="str">
        <f>"R02.01.01"</f>
        <v>R02.01.01</v>
      </c>
      <c r="F35" t="str">
        <f>"R07.12.31"</f>
        <v>R07.12.31</v>
      </c>
    </row>
    <row r="36" spans="1:6" x14ac:dyDescent="0.2">
      <c r="A36" t="str">
        <f>"第2693号"</f>
        <v>第2693号</v>
      </c>
      <c r="B36" t="str">
        <f>"株式会社ファーマダイワ"</f>
        <v>株式会社ファーマダイワ</v>
      </c>
      <c r="C36" t="str">
        <f>"あいおい薬局"</f>
        <v>あいおい薬局</v>
      </c>
      <c r="D36" t="str">
        <f>"合志市合生３８２８番３"</f>
        <v>合志市合生３８２８番３</v>
      </c>
      <c r="E36" t="str">
        <f>"R07.06.10"</f>
        <v>R07.06.10</v>
      </c>
      <c r="F36" t="str">
        <f>"R13.06.09"</f>
        <v>R13.06.09</v>
      </c>
    </row>
    <row r="37" spans="1:6" x14ac:dyDescent="0.2">
      <c r="A37" t="str">
        <f>"第2423号"</f>
        <v>第2423号</v>
      </c>
      <c r="B37" t="str">
        <f>"株式会社うさぎの谷メディカル"</f>
        <v>株式会社うさぎの谷メディカル</v>
      </c>
      <c r="C37" t="str">
        <f>"うさぎの谷薬局　泗水店"</f>
        <v>うさぎの谷薬局　泗水店</v>
      </c>
      <c r="D37" t="str">
        <f>"菊池市泗水町吉富３１６９番地９"</f>
        <v>菊池市泗水町吉富３１６９番地９</v>
      </c>
      <c r="E37" t="str">
        <f>"R02.01.01"</f>
        <v>R02.01.01</v>
      </c>
      <c r="F37" t="str">
        <f>"R07.12.31"</f>
        <v>R07.12.31</v>
      </c>
    </row>
    <row r="38" spans="1:6" x14ac:dyDescent="0.2">
      <c r="A38" t="str">
        <f>"第2400号"</f>
        <v>第2400号</v>
      </c>
      <c r="B38" t="str">
        <f>"有限会社泗水中央薬局"</f>
        <v>有限会社泗水中央薬局</v>
      </c>
      <c r="C38" t="str">
        <f>"泗水中央薬局"</f>
        <v>泗水中央薬局</v>
      </c>
      <c r="D38" t="str">
        <f>"菊池市泗水町豊水３４９２"</f>
        <v>菊池市泗水町豊水３４９２</v>
      </c>
      <c r="E38" t="str">
        <f>"R02.02.01"</f>
        <v>R02.02.01</v>
      </c>
      <c r="F38" t="str">
        <f>"R07.12.31"</f>
        <v>R07.12.31</v>
      </c>
    </row>
    <row r="39" spans="1:6" x14ac:dyDescent="0.2">
      <c r="A39" t="str">
        <f>"第1868号"</f>
        <v>第1868号</v>
      </c>
      <c r="B39" t="str">
        <f>"有限会社泗水中央薬局"</f>
        <v>有限会社泗水中央薬局</v>
      </c>
      <c r="C39" t="str">
        <f>"高江バス停前薬局"</f>
        <v>高江バス停前薬局</v>
      </c>
      <c r="D39" t="str">
        <f>"菊池市泗水町豊水３７２７－１"</f>
        <v>菊池市泗水町豊水３７２７－１</v>
      </c>
      <c r="E39" t="str">
        <f>"R02.09.17"</f>
        <v>R02.09.17</v>
      </c>
      <c r="F39" t="str">
        <f>"R08.09.16"</f>
        <v>R08.09.16</v>
      </c>
    </row>
    <row r="40" spans="1:6" x14ac:dyDescent="0.2">
      <c r="A40" t="str">
        <f>"第2643号"</f>
        <v>第2643号</v>
      </c>
      <c r="B40" t="str">
        <f>"有限会社泗水中央薬局"</f>
        <v>有限会社泗水中央薬局</v>
      </c>
      <c r="C40" t="str">
        <f>"菊池中通り薬局"</f>
        <v>菊池中通り薬局</v>
      </c>
      <c r="D40" t="str">
        <f>"菊池市隈府１１５番地６"</f>
        <v>菊池市隈府１１５番地６</v>
      </c>
      <c r="E40" t="str">
        <f>"R05.10.01"</f>
        <v>R05.10.01</v>
      </c>
      <c r="F40" t="str">
        <f>"R11.09.30"</f>
        <v>R11.09.30</v>
      </c>
    </row>
    <row r="41" spans="1:6" x14ac:dyDescent="0.2">
      <c r="A41" t="str">
        <f>"第2609号"</f>
        <v>第2609号</v>
      </c>
      <c r="B41" t="str">
        <f>"有限会社　泗水中央薬局"</f>
        <v>有限会社　泗水中央薬局</v>
      </c>
      <c r="C41" t="str">
        <f>"泗水よしとみ薬局"</f>
        <v>泗水よしとみ薬局</v>
      </c>
      <c r="D41" t="str">
        <f>"菊池市泗水町吉富１８５９番地"</f>
        <v>菊池市泗水町吉富１８５９番地</v>
      </c>
      <c r="E41" t="str">
        <f>"R04.05.18"</f>
        <v>R04.05.18</v>
      </c>
      <c r="F41" t="str">
        <f>"R10.05.17"</f>
        <v>R10.05.17</v>
      </c>
    </row>
    <row r="42" spans="1:6" x14ac:dyDescent="0.2">
      <c r="A42" t="str">
        <f>"第1635号"</f>
        <v>第1635号</v>
      </c>
      <c r="B42" t="str">
        <f>"有限会社七城中央薬局"</f>
        <v>有限会社七城中央薬局</v>
      </c>
      <c r="C42" t="str">
        <f>"七城中央薬局"</f>
        <v>七城中央薬局</v>
      </c>
      <c r="D42" t="str">
        <f>"菊池市七城町甲佐町２９８－２"</f>
        <v>菊池市七城町甲佐町２９８－２</v>
      </c>
      <c r="E42" t="str">
        <f>"R04.01.01"</f>
        <v>R04.01.01</v>
      </c>
      <c r="F42" t="str">
        <f>"R09.12.31"</f>
        <v>R09.12.31</v>
      </c>
    </row>
    <row r="43" spans="1:6" x14ac:dyDescent="0.2">
      <c r="A43" t="str">
        <f>"第1611号"</f>
        <v>第1611号</v>
      </c>
      <c r="B43" t="str">
        <f>"総合メディカル株式会社"</f>
        <v>総合メディカル株式会社</v>
      </c>
      <c r="C43" t="str">
        <f>"そうごう薬局菊池店"</f>
        <v>そうごう薬局菊池店</v>
      </c>
      <c r="D43" t="str">
        <f>"菊池市隈府南古町４７２－５"</f>
        <v>菊池市隈府南古町４７２－５</v>
      </c>
      <c r="E43" t="str">
        <f>"R04.01.01"</f>
        <v>R04.01.01</v>
      </c>
      <c r="F43" t="str">
        <f>"R09.12.31"</f>
        <v>R09.12.31</v>
      </c>
    </row>
    <row r="44" spans="1:6" x14ac:dyDescent="0.2">
      <c r="A44" t="str">
        <f>"第2571号"</f>
        <v>第2571号</v>
      </c>
      <c r="B44" t="str">
        <f>"株式会社大賀薬局"</f>
        <v>株式会社大賀薬局</v>
      </c>
      <c r="C44" t="str">
        <f>"株式会社大賀薬局　菊陽店"</f>
        <v>株式会社大賀薬局　菊陽店</v>
      </c>
      <c r="D44" t="str">
        <f>"菊池郡菊陽町大字原水２９１０番地１"</f>
        <v>菊池郡菊陽町大字原水２９１０番地１</v>
      </c>
      <c r="E44" t="str">
        <f>"R02.12.17"</f>
        <v>R02.12.17</v>
      </c>
      <c r="F44" t="str">
        <f>"R08.12.16"</f>
        <v>R08.12.16</v>
      </c>
    </row>
    <row r="45" spans="1:6" x14ac:dyDescent="0.2">
      <c r="A45" t="str">
        <f>"第2668号"</f>
        <v>第2668号</v>
      </c>
      <c r="B45" t="str">
        <f>"イオンウエルシア九州株式会社"</f>
        <v>イオンウエルシア九州株式会社</v>
      </c>
      <c r="C45" t="str">
        <f>"ウエルシアプラス薬局永江団地店"</f>
        <v>ウエルシアプラス薬局永江団地店</v>
      </c>
      <c r="D45" t="str">
        <f>"合志市幾久富１８６６―１３９５"</f>
        <v>合志市幾久富１８６６―１３９５</v>
      </c>
      <c r="E45" t="str">
        <f>"R06.12.09"</f>
        <v>R06.12.09</v>
      </c>
      <c r="F45" t="str">
        <f>"R12.12.08"</f>
        <v>R12.12.08</v>
      </c>
    </row>
    <row r="46" spans="1:6" x14ac:dyDescent="0.2">
      <c r="A46" t="str">
        <f>"第2516号"</f>
        <v>第2516号</v>
      </c>
      <c r="B46" t="str">
        <f>"株式会社コーレア"</f>
        <v>株式会社コーレア</v>
      </c>
      <c r="C46" t="str">
        <f>"光の森ごふく薬局"</f>
        <v>光の森ごふく薬局</v>
      </c>
      <c r="D46" t="str">
        <f>"菊池郡菊陽町光の森３丁目３－７"</f>
        <v>菊池郡菊陽町光の森３丁目３－７</v>
      </c>
      <c r="E46" t="str">
        <f>"R06.06.13"</f>
        <v>R06.06.13</v>
      </c>
      <c r="F46" t="str">
        <f>"R12.06.12"</f>
        <v>R12.06.12</v>
      </c>
    </row>
    <row r="47" spans="1:6" x14ac:dyDescent="0.2">
      <c r="A47" t="str">
        <f>"第2461号"</f>
        <v>第2461号</v>
      </c>
      <c r="B47" t="str">
        <f>"一般社団法人健康共同ファルマ"</f>
        <v>一般社団法人健康共同ファルマ</v>
      </c>
      <c r="C47" t="str">
        <f>"たんぽぽ薬局"</f>
        <v>たんぽぽ薬局</v>
      </c>
      <c r="D47" t="str">
        <f>"菊池郡菊陽町原水字下中野５５８７－４"</f>
        <v>菊池郡菊陽町原水字下中野５５８７－４</v>
      </c>
      <c r="E47" t="str">
        <f>"R04.04.01"</f>
        <v>R04.04.01</v>
      </c>
      <c r="F47" t="str">
        <f>"R10.03.31"</f>
        <v>R10.03.31</v>
      </c>
    </row>
    <row r="48" spans="1:6" x14ac:dyDescent="0.2">
      <c r="A48" t="str">
        <f>"第1956号"</f>
        <v>第1956号</v>
      </c>
      <c r="B48" t="str">
        <f>"株式会社メビウス"</f>
        <v>株式会社メビウス</v>
      </c>
      <c r="C48" t="str">
        <f>"オレンジ薬局"</f>
        <v>オレンジ薬局</v>
      </c>
      <c r="D48" t="str">
        <f>"菊池郡大津町室２１５－２２"</f>
        <v>菊池郡大津町室２１５－２２</v>
      </c>
      <c r="E48" t="str">
        <f>"R04.01.01"</f>
        <v>R04.01.01</v>
      </c>
      <c r="F48" t="str">
        <f>"R09.12.31"</f>
        <v>R09.12.31</v>
      </c>
    </row>
    <row r="49" spans="1:6" x14ac:dyDescent="0.2">
      <c r="A49" t="str">
        <f>"第2688号"</f>
        <v>第2688号</v>
      </c>
      <c r="B49" t="str">
        <f>"株式会社やまもと薬局"</f>
        <v>株式会社やまもと薬局</v>
      </c>
      <c r="C49" t="str">
        <f>"やまもと薬局　菊陽店"</f>
        <v>やまもと薬局　菊陽店</v>
      </c>
      <c r="D49" t="str">
        <f>"菊池郡菊陽町大字津久礼１６５番地７"</f>
        <v>菊池郡菊陽町大字津久礼１６５番地７</v>
      </c>
      <c r="E49" t="str">
        <f>"R07.04.11"</f>
        <v>R07.04.11</v>
      </c>
      <c r="F49" t="str">
        <f>"R13.04.10"</f>
        <v>R13.04.10</v>
      </c>
    </row>
    <row r="50" spans="1:6" x14ac:dyDescent="0.2">
      <c r="A50" t="str">
        <f>"第2694号"</f>
        <v>第2694号</v>
      </c>
      <c r="B50" t="str">
        <f>"キヤマアポテイク株式会社"</f>
        <v>キヤマアポテイク株式会社</v>
      </c>
      <c r="C50" t="str">
        <f>"熊本調剤薬局　大津店"</f>
        <v>熊本調剤薬局　大津店</v>
      </c>
      <c r="D50" t="str">
        <f>"菊池郡大津町室５１－１"</f>
        <v>菊池郡大津町室５１－１</v>
      </c>
      <c r="E50" t="str">
        <f>"R07.06.16"</f>
        <v>R07.06.16</v>
      </c>
      <c r="F50" t="str">
        <f>"R13.06.15"</f>
        <v>R13.06.15</v>
      </c>
    </row>
    <row r="51" spans="1:6" x14ac:dyDescent="0.2">
      <c r="A51" t="str">
        <f>"第2663号"</f>
        <v>第2663号</v>
      </c>
      <c r="B51" t="str">
        <f>"株式会社メディバリー"</f>
        <v>株式会社メディバリー</v>
      </c>
      <c r="C51" t="str">
        <f>"アル薬局　光の森店"</f>
        <v>アル薬局　光の森店</v>
      </c>
      <c r="D51" t="str">
        <f>"菊池郡菊陽町光の森５丁目２０-１１"</f>
        <v>菊池郡菊陽町光の森５丁目２０-１１</v>
      </c>
      <c r="E51" t="str">
        <f>"R06.10.01"</f>
        <v>R06.10.01</v>
      </c>
      <c r="F51" t="str">
        <f>"R12.09.30"</f>
        <v>R12.09.30</v>
      </c>
    </row>
    <row r="52" spans="1:6" x14ac:dyDescent="0.2">
      <c r="A52" t="str">
        <f>"第2583号"</f>
        <v>第2583号</v>
      </c>
      <c r="B52" t="str">
        <f>"株式会社衛"</f>
        <v>株式会社衛</v>
      </c>
      <c r="C52" t="str">
        <f>"おおづまち薬局"</f>
        <v>おおづまち薬局</v>
      </c>
      <c r="D52" t="str">
        <f>"菊池郡大津町引水７３１－３"</f>
        <v>菊池郡大津町引水７３１－３</v>
      </c>
      <c r="E52" t="str">
        <f>"R03.04.07"</f>
        <v>R03.04.07</v>
      </c>
      <c r="F52" t="str">
        <f>"R09.04.06"</f>
        <v>R09.04.06</v>
      </c>
    </row>
    <row r="53" spans="1:6" x14ac:dyDescent="0.2">
      <c r="A53" t="str">
        <f>"第2264号"</f>
        <v>第2264号</v>
      </c>
      <c r="B53" t="str">
        <f>"総合メディカル株式会社"</f>
        <v>総合メディカル株式会社</v>
      </c>
      <c r="C53" t="str">
        <f>"そうごう薬局　合志店"</f>
        <v>そうごう薬局　合志店</v>
      </c>
      <c r="D53" t="str">
        <f>"合志市須屋字中ノ平１４１５番地６"</f>
        <v>合志市須屋字中ノ平１４１５番地６</v>
      </c>
      <c r="E53" t="str">
        <f>"R04.01.01"</f>
        <v>R04.01.01</v>
      </c>
      <c r="F53" t="str">
        <f>"R09.12.31"</f>
        <v>R09.12.31</v>
      </c>
    </row>
    <row r="54" spans="1:6" x14ac:dyDescent="0.2">
      <c r="A54" t="str">
        <f>"第2618号"</f>
        <v>第2618号</v>
      </c>
      <c r="B54" t="str">
        <f>"株式会社新星薬局"</f>
        <v>株式会社新星薬局</v>
      </c>
      <c r="C54" t="str">
        <f>"フレンド薬局　合志店"</f>
        <v>フレンド薬局　合志店</v>
      </c>
      <c r="D54" t="str">
        <f>"合志市幾久富１９０９－２２１"</f>
        <v>合志市幾久富１９０９－２２１</v>
      </c>
      <c r="E54" t="str">
        <f>"R05.02.13"</f>
        <v>R05.02.13</v>
      </c>
      <c r="F54" t="str">
        <f>"R10.12.31"</f>
        <v>R10.12.31</v>
      </c>
    </row>
    <row r="55" spans="1:6" x14ac:dyDescent="0.2">
      <c r="A55" t="str">
        <f>"第2564号"</f>
        <v>第2564号</v>
      </c>
      <c r="B55" t="str">
        <f>"株式会社メディカルパートナーズ"</f>
        <v>株式会社メディカルパートナーズ</v>
      </c>
      <c r="C55" t="str">
        <f>"むろ薬局"</f>
        <v>むろ薬局</v>
      </c>
      <c r="D55" t="str">
        <f>"菊池郡大津町室２１３番地１０"</f>
        <v>菊池郡大津町室２１３番地１０</v>
      </c>
      <c r="E55" t="str">
        <f>"R02.05.18"</f>
        <v>R02.05.18</v>
      </c>
      <c r="F55" t="str">
        <f>"R07.12.31"</f>
        <v>R07.12.31</v>
      </c>
    </row>
    <row r="56" spans="1:6" x14ac:dyDescent="0.2">
      <c r="A56" t="str">
        <f>"第2630号"</f>
        <v>第2630号</v>
      </c>
      <c r="B56" t="str">
        <f>"株式会社新生堂薬局"</f>
        <v>株式会社新生堂薬局</v>
      </c>
      <c r="C56" t="str">
        <f>"新生堂薬局　光の森店"</f>
        <v>新生堂薬局　光の森店</v>
      </c>
      <c r="D56" t="str">
        <f>"菊池郡菊陽町光の森３丁目１２－５"</f>
        <v>菊池郡菊陽町光の森３丁目１２－５</v>
      </c>
      <c r="E56" t="str">
        <f>"R05.09.12"</f>
        <v>R05.09.12</v>
      </c>
      <c r="F56" t="str">
        <f>"R11.09.11"</f>
        <v>R11.09.11</v>
      </c>
    </row>
    <row r="57" spans="1:6" x14ac:dyDescent="0.2">
      <c r="A57" t="str">
        <f>"第2541号"</f>
        <v>第2541号</v>
      </c>
      <c r="B57" t="str">
        <f>"株式会社ｆｏｕｒｌｅａｆｃｌｏｖｅｒ"</f>
        <v>株式会社ｆｏｕｒｌｅａｆｃｌｏｖｅｒ</v>
      </c>
      <c r="C57" t="str">
        <f>"みつばち薬局"</f>
        <v>みつばち薬局</v>
      </c>
      <c r="D57" t="str">
        <f>"菊池市隈府９５２番地１"</f>
        <v>菊池市隈府９５２番地１</v>
      </c>
      <c r="E57" t="str">
        <f>"R07.06.18"</f>
        <v>R07.06.18</v>
      </c>
      <c r="F57" t="str">
        <f>"R13.06.17"</f>
        <v>R13.06.17</v>
      </c>
    </row>
    <row r="58" spans="1:6" x14ac:dyDescent="0.2">
      <c r="A58" t="str">
        <f>"第2610号"</f>
        <v>第2610号</v>
      </c>
      <c r="B58" t="str">
        <f>"ＯＣＭ株式会社"</f>
        <v>ＯＣＭ株式会社</v>
      </c>
      <c r="C58" t="str">
        <f>"なないろ薬局　菊陽店"</f>
        <v>なないろ薬局　菊陽店</v>
      </c>
      <c r="D58" t="str">
        <f>"菊池郡菊陽町津久礼２４１７－３"</f>
        <v>菊池郡菊陽町津久礼２４１７－３</v>
      </c>
      <c r="E58" t="str">
        <f>"R04.06.10"</f>
        <v>R04.06.10</v>
      </c>
      <c r="F58" t="str">
        <f>"R10.06.09"</f>
        <v>R10.06.09</v>
      </c>
    </row>
    <row r="59" spans="1:6" x14ac:dyDescent="0.2">
      <c r="A59" t="str">
        <f>"第2383号"</f>
        <v>第2383号</v>
      </c>
      <c r="B59" t="str">
        <f>"株式会社ミズ"</f>
        <v>株式会社ミズ</v>
      </c>
      <c r="C59" t="str">
        <f>"溝上薬局　隈府店"</f>
        <v>溝上薬局　隈府店</v>
      </c>
      <c r="D59" t="str">
        <f>"菊池市隈府字藪ノ内９２３－１"</f>
        <v>菊池市隈府字藪ノ内９２３－１</v>
      </c>
      <c r="E59" t="str">
        <f>"R07.06.13"</f>
        <v>R07.06.13</v>
      </c>
      <c r="F59" t="str">
        <f>"R13.06.12"</f>
        <v>R13.06.12</v>
      </c>
    </row>
    <row r="60" spans="1:6" x14ac:dyDescent="0.2">
      <c r="A60" t="str">
        <f>"第2412号"</f>
        <v>第2412号</v>
      </c>
      <c r="B60" t="str">
        <f>"有限会社呉服薬局"</f>
        <v>有限会社呉服薬局</v>
      </c>
      <c r="C60" t="str">
        <f>"大津ごふく薬局"</f>
        <v>大津ごふく薬局</v>
      </c>
      <c r="D60" t="str">
        <f>"菊池郡大津町室９２５－５"</f>
        <v>菊池郡大津町室９２５－５</v>
      </c>
      <c r="E60" t="str">
        <f>"R02.07.01"</f>
        <v>R02.07.01</v>
      </c>
      <c r="F60" t="str">
        <f>"R08.06.30"</f>
        <v>R08.06.30</v>
      </c>
    </row>
    <row r="61" spans="1:6" x14ac:dyDescent="0.2">
      <c r="A61" t="str">
        <f>"第2378号"</f>
        <v>第2378号</v>
      </c>
      <c r="B61" t="str">
        <f>"有限会社西口晴秀堂"</f>
        <v>有限会社西口晴秀堂</v>
      </c>
      <c r="C61" t="str">
        <f>"すこやか堂薬局　みよし店"</f>
        <v>すこやか堂薬局　みよし店</v>
      </c>
      <c r="D61" t="str">
        <f>"合志市御代志２０３７－５"</f>
        <v>合志市御代志２０３７－５</v>
      </c>
      <c r="E61" t="str">
        <f>"R07.01.01"</f>
        <v>R07.01.01</v>
      </c>
      <c r="F61" t="str">
        <f>"R12.12.31"</f>
        <v>R12.12.31</v>
      </c>
    </row>
    <row r="62" spans="1:6" x14ac:dyDescent="0.2">
      <c r="A62" t="str">
        <f>"第2530号"</f>
        <v>第2530号</v>
      </c>
      <c r="B62" t="str">
        <f>"キヤマアポテイク株式会社"</f>
        <v>キヤマアポテイク株式会社</v>
      </c>
      <c r="C62" t="str">
        <f>"熊本調剤薬局　熊リハ店"</f>
        <v>熊本調剤薬局　熊リハ店</v>
      </c>
      <c r="D62" t="str">
        <f>"菊池郡菊陽町曲手７６０"</f>
        <v>菊池郡菊陽町曲手７６０</v>
      </c>
      <c r="E62" t="str">
        <f>"R07.02.14"</f>
        <v>R07.02.14</v>
      </c>
      <c r="F62" t="str">
        <f>"R13.02.13"</f>
        <v>R13.02.13</v>
      </c>
    </row>
    <row r="63" spans="1:6" x14ac:dyDescent="0.2">
      <c r="A63" t="str">
        <f>"第1968号"</f>
        <v>第1968号</v>
      </c>
      <c r="B63" t="str">
        <f>"有限会社泰斗"</f>
        <v>有限会社泰斗</v>
      </c>
      <c r="C63" t="str">
        <f>"アトム薬局"</f>
        <v>アトム薬局</v>
      </c>
      <c r="D63" t="str">
        <f>"菊池市大字大琳寺２７５番地５"</f>
        <v>菊池市大字大琳寺２７５番地５</v>
      </c>
      <c r="E63" t="str">
        <f>"R04.07.20"</f>
        <v>R04.07.20</v>
      </c>
      <c r="F63" t="str">
        <f>"R10.07.19"</f>
        <v>R10.07.19</v>
      </c>
    </row>
    <row r="64" spans="1:6" x14ac:dyDescent="0.2">
      <c r="A64" t="str">
        <f>"第2409号"</f>
        <v>第2409号</v>
      </c>
      <c r="B64" t="str">
        <f>"有限会社泰斗"</f>
        <v>有限会社泰斗</v>
      </c>
      <c r="C64" t="str">
        <f>"ふくはら薬局"</f>
        <v>ふくはら薬局</v>
      </c>
      <c r="D64" t="str">
        <f>"合志市福原字中通１４３０番２"</f>
        <v>合志市福原字中通１４３０番２</v>
      </c>
      <c r="E64" t="str">
        <f>"R02.04.07"</f>
        <v>R02.04.07</v>
      </c>
      <c r="F64" t="str">
        <f>"R08.04.06"</f>
        <v>R08.04.06</v>
      </c>
    </row>
    <row r="65" spans="1:6" x14ac:dyDescent="0.2">
      <c r="A65" t="str">
        <f>"第2439号"</f>
        <v>第2439号</v>
      </c>
      <c r="B65" t="str">
        <f>"株式会社タカヒロメディカル"</f>
        <v>株式会社タカヒロメディカル</v>
      </c>
      <c r="C65" t="str">
        <f>"おおづ調剤薬局"</f>
        <v>おおづ調剤薬局</v>
      </c>
      <c r="D65" t="str">
        <f>"菊池郡大津町大字大津字門出１２０７番７"</f>
        <v>菊池郡大津町大字大津字門出１２０７番７</v>
      </c>
      <c r="E65" t="str">
        <f>"R03.01.01"</f>
        <v>R03.01.01</v>
      </c>
      <c r="F65" t="str">
        <f>"R08.12.31"</f>
        <v>R08.12.31</v>
      </c>
    </row>
    <row r="66" spans="1:6" x14ac:dyDescent="0.2">
      <c r="A66" t="str">
        <f>"第2681号"</f>
        <v>第2681号</v>
      </c>
      <c r="B66" t="str">
        <f>"合同会社ゆうあいファーマ"</f>
        <v>合同会社ゆうあいファーマ</v>
      </c>
      <c r="C66" t="str">
        <f>"ほおじろ薬局"</f>
        <v>ほおじろ薬局</v>
      </c>
      <c r="D66" t="str">
        <f>"菊池郡大津町大字大津２４１１－７"</f>
        <v>菊池郡大津町大字大津２４１１－７</v>
      </c>
      <c r="E66" t="str">
        <f>"R07.03.18"</f>
        <v>R07.03.18</v>
      </c>
      <c r="F66" t="str">
        <f>"R12.12.31"</f>
        <v>R12.12.31</v>
      </c>
    </row>
    <row r="67" spans="1:6" x14ac:dyDescent="0.2">
      <c r="A67" t="str">
        <f>"第1288号"</f>
        <v>第1288号</v>
      </c>
      <c r="B67" t="str">
        <f>"有限会社武蔵野台薬局"</f>
        <v>有限会社武蔵野台薬局</v>
      </c>
      <c r="C67" t="str">
        <f>"武蔵野台薬局"</f>
        <v>武蔵野台薬局</v>
      </c>
      <c r="D67" t="str">
        <f>"合志市幾久富１９０９－１４８０"</f>
        <v>合志市幾久富１９０９－１４８０</v>
      </c>
      <c r="E67" t="str">
        <f>"R04.01.01"</f>
        <v>R04.01.01</v>
      </c>
      <c r="F67" t="str">
        <f>"R09.12.31"</f>
        <v>R09.12.31</v>
      </c>
    </row>
    <row r="68" spans="1:6" x14ac:dyDescent="0.2">
      <c r="A68" t="str">
        <f>"第2502号"</f>
        <v>第2502号</v>
      </c>
      <c r="B68" t="str">
        <f>"キヤマアポテイク株式会社"</f>
        <v>キヤマアポテイク株式会社</v>
      </c>
      <c r="C68" t="str">
        <f>"熊本調剤薬局　光の森店"</f>
        <v>熊本調剤薬局　光の森店</v>
      </c>
      <c r="D68" t="str">
        <f>"菊池郡菊陽町光の森７丁目２５－５"</f>
        <v>菊池郡菊陽町光の森７丁目２５－５</v>
      </c>
      <c r="E68" t="str">
        <f>"R06.01.01"</f>
        <v>R06.01.01</v>
      </c>
      <c r="F68" t="str">
        <f>"R11.12.31"</f>
        <v>R11.12.31</v>
      </c>
    </row>
    <row r="69" spans="1:6" x14ac:dyDescent="0.2">
      <c r="A69" t="str">
        <f>"第2624号"</f>
        <v>第2624号</v>
      </c>
      <c r="B69" t="str">
        <f>"株式会社Ｗｉｓｄｏｍ"</f>
        <v>株式会社Ｗｉｓｄｏｍ</v>
      </c>
      <c r="C69" t="str">
        <f>"やまと薬局　光の森店"</f>
        <v>やまと薬局　光の森店</v>
      </c>
      <c r="D69" t="str">
        <f>"合志市幾久富１９０９－１３８７"</f>
        <v>合志市幾久富１９０９－１３８７</v>
      </c>
      <c r="E69" t="str">
        <f>"R05.07.01"</f>
        <v>R05.07.01</v>
      </c>
      <c r="F69" t="str">
        <f>"R10.12.31"</f>
        <v>R10.12.31</v>
      </c>
    </row>
    <row r="70" spans="1:6" x14ac:dyDescent="0.2">
      <c r="A70" t="str">
        <f>"第2044号"</f>
        <v>第2044号</v>
      </c>
      <c r="B70" t="str">
        <f>"株式会社すずらん薬局"</f>
        <v>株式会社すずらん薬局</v>
      </c>
      <c r="C70" t="str">
        <f>"あざりあ薬局"</f>
        <v>あざりあ薬局</v>
      </c>
      <c r="D70" t="str">
        <f>"菊池郡大津町大字室２１０－７"</f>
        <v>菊池郡大津町大字室２１０－７</v>
      </c>
      <c r="E70" t="str">
        <f>"R06.01.01"</f>
        <v>R06.01.01</v>
      </c>
      <c r="F70" t="str">
        <f>"R11.12.31"</f>
        <v>R11.12.31</v>
      </c>
    </row>
    <row r="71" spans="1:6" x14ac:dyDescent="0.2">
      <c r="A71" t="str">
        <f>"第1370号"</f>
        <v>第1370号</v>
      </c>
      <c r="B71" t="str">
        <f>"有限会社深川調剤薬局"</f>
        <v>有限会社深川調剤薬局</v>
      </c>
      <c r="C71" t="str">
        <f>"有限会社深川調剤薬局"</f>
        <v>有限会社深川調剤薬局</v>
      </c>
      <c r="D71" t="str">
        <f>"菊池市深川４１１－７"</f>
        <v>菊池市深川４１１－７</v>
      </c>
      <c r="E71" t="str">
        <f>"R06.01.01"</f>
        <v>R06.01.01</v>
      </c>
      <c r="F71" t="str">
        <f>"R11.12.31"</f>
        <v>R11.12.31</v>
      </c>
    </row>
    <row r="72" spans="1:6" x14ac:dyDescent="0.2">
      <c r="A72" t="str">
        <f>"第2615号"</f>
        <v>第2615号</v>
      </c>
      <c r="B72" t="str">
        <f>"株式会社笑実メディカル"</f>
        <v>株式会社笑実メディカル</v>
      </c>
      <c r="C72" t="str">
        <f>"カロータ薬局"</f>
        <v>カロータ薬局</v>
      </c>
      <c r="D72" t="str">
        <f>"菊池郡菊陽町津久礼２４２２番地４"</f>
        <v>菊池郡菊陽町津久礼２４２２番地４</v>
      </c>
      <c r="E72" t="str">
        <f>"R04.10.01"</f>
        <v>R04.10.01</v>
      </c>
      <c r="F72" t="str">
        <f>"R10.09.30"</f>
        <v>R10.09.30</v>
      </c>
    </row>
    <row r="73" spans="1:6" x14ac:dyDescent="0.2">
      <c r="A73" t="str">
        <f>"第2446号"</f>
        <v>第2446号</v>
      </c>
      <c r="B73" t="str">
        <f>"有限会社ソラリス"</f>
        <v>有限会社ソラリス</v>
      </c>
      <c r="C73" t="str">
        <f>"みさきの薬局"</f>
        <v>みさきの薬局</v>
      </c>
      <c r="D73" t="str">
        <f>"菊池郡大津町引水５７８番地８"</f>
        <v>菊池郡大津町引水５７８番地８</v>
      </c>
      <c r="E73" t="str">
        <f>"R03.07.10"</f>
        <v>R03.07.10</v>
      </c>
      <c r="F73" t="str">
        <f>"R09.07.09"</f>
        <v>R09.07.09</v>
      </c>
    </row>
    <row r="74" spans="1:6" x14ac:dyDescent="0.2">
      <c r="A74" t="str">
        <f>"第1730号"</f>
        <v>第1730号</v>
      </c>
      <c r="B74" t="str">
        <f>"有限会社ソラリス"</f>
        <v>有限会社ソラリス</v>
      </c>
      <c r="C74" t="str">
        <f>"菊陽調剤薬局"</f>
        <v>菊陽調剤薬局</v>
      </c>
      <c r="D74" t="str">
        <f>"菊池郡菊陽町大字津久礼２４２２番地１４"</f>
        <v>菊池郡菊陽町大字津久礼２４２２番地１４</v>
      </c>
      <c r="E74" t="str">
        <f>"R06.01.01"</f>
        <v>R06.01.01</v>
      </c>
      <c r="F74" t="str">
        <f>"R11.12.31"</f>
        <v>R11.12.31</v>
      </c>
    </row>
    <row r="75" spans="1:6" x14ac:dyDescent="0.2">
      <c r="A75" t="str">
        <f>"第2528号"</f>
        <v>第2528号</v>
      </c>
      <c r="B75" t="str">
        <f>"株式会社トイク"</f>
        <v>株式会社トイク</v>
      </c>
      <c r="C75" t="str">
        <f>"すみれ薬局　熊本大津駅前"</f>
        <v>すみれ薬局　熊本大津駅前</v>
      </c>
      <c r="D75" t="str">
        <f>"菊池郡大津町室１０７－４"</f>
        <v>菊池郡大津町室１０７－４</v>
      </c>
      <c r="E75" t="str">
        <f>"R07.02.01"</f>
        <v>R07.02.01</v>
      </c>
      <c r="F75" t="str">
        <f>"R13.01.31"</f>
        <v>R13.01.31</v>
      </c>
    </row>
    <row r="76" spans="1:6" x14ac:dyDescent="0.2">
      <c r="A76" t="str">
        <f>"第2363号"</f>
        <v>第2363号</v>
      </c>
      <c r="B76" t="str">
        <f>"株式会社下川薬局"</f>
        <v>株式会社下川薬局</v>
      </c>
      <c r="C76" t="str">
        <f>"シモカワ合志調剤薬局"</f>
        <v>シモカワ合志調剤薬局</v>
      </c>
      <c r="D76" t="str">
        <f>"合志市幾久富１９０９番１７２０"</f>
        <v>合志市幾久富１９０９番１７２０</v>
      </c>
      <c r="E76" t="str">
        <f>"R07.01.01"</f>
        <v>R07.01.01</v>
      </c>
      <c r="F76" t="str">
        <f>"R12.12.31"</f>
        <v>R12.12.31</v>
      </c>
    </row>
    <row r="77" spans="1:6" x14ac:dyDescent="0.2">
      <c r="A77" t="str">
        <f>"第2434号"</f>
        <v>第2434号</v>
      </c>
      <c r="B77" t="str">
        <f>"株式会社ファーマダイワ"</f>
        <v>株式会社ファーマダイワ</v>
      </c>
      <c r="C77" t="str">
        <f>"ハロー薬局"</f>
        <v>ハロー薬局</v>
      </c>
      <c r="D77" t="str">
        <f>"菊池郡大津町室２２６－１"</f>
        <v>菊池郡大津町室２２６－１</v>
      </c>
      <c r="E77" t="str">
        <f>"R03.02.01"</f>
        <v>R03.02.01</v>
      </c>
      <c r="F77" t="str">
        <f>"R09.01.31"</f>
        <v>R09.01.31</v>
      </c>
    </row>
    <row r="78" spans="1:6" x14ac:dyDescent="0.2">
      <c r="A78" t="str">
        <f>"第2538号"</f>
        <v>第2538号</v>
      </c>
      <c r="B78" t="str">
        <f>"株式会社アルファブレイン"</f>
        <v>株式会社アルファブレイン</v>
      </c>
      <c r="C78" t="str">
        <f>"温新堂薬局　菊陽店"</f>
        <v>温新堂薬局　菊陽店</v>
      </c>
      <c r="D78" t="str">
        <f>"菊池郡菊陽町原水１１５６－１６"</f>
        <v>菊池郡菊陽町原水１１５６－１６</v>
      </c>
      <c r="E78" t="str">
        <f>"R07.01.01"</f>
        <v>R07.01.01</v>
      </c>
      <c r="F78" t="str">
        <f>"R12.12.31"</f>
        <v>R12.12.31</v>
      </c>
    </row>
    <row r="79" spans="1:6" x14ac:dyDescent="0.2">
      <c r="A79" t="str">
        <f>"第1780号"</f>
        <v>第1780号</v>
      </c>
      <c r="B79" t="str">
        <f>"有限会社すみれ調剤薬局"</f>
        <v>有限会社すみれ調剤薬局</v>
      </c>
      <c r="C79" t="str">
        <f>"あおぞら薬局"</f>
        <v>あおぞら薬局</v>
      </c>
      <c r="D79" t="str">
        <f>"菊池郡大津町室２６１－１０"</f>
        <v>菊池郡大津町室２６１－１０</v>
      </c>
      <c r="E79" t="str">
        <f>"R07.01.01"</f>
        <v>R07.01.01</v>
      </c>
      <c r="F79" t="str">
        <f>"R12.12.31"</f>
        <v>R12.12.31</v>
      </c>
    </row>
    <row r="80" spans="1:6" x14ac:dyDescent="0.2">
      <c r="A80" t="str">
        <f>"第1847号"</f>
        <v>第1847号</v>
      </c>
      <c r="B80" t="str">
        <f>"有限会社　メディ・ケア－"</f>
        <v>有限会社　メディ・ケア－</v>
      </c>
      <c r="C80" t="str">
        <f>"すずらん薬局"</f>
        <v>すずらん薬局</v>
      </c>
      <c r="D80" t="str">
        <f>"合志市竹迫１９９１"</f>
        <v>合志市竹迫１９９１</v>
      </c>
      <c r="E80" t="str">
        <f>"R02.01.01"</f>
        <v>R02.01.01</v>
      </c>
      <c r="F80" t="str">
        <f>"R07.12.31"</f>
        <v>R07.12.31</v>
      </c>
    </row>
    <row r="81" spans="1:6" x14ac:dyDescent="0.2">
      <c r="A81" t="str">
        <f>"第2397号"</f>
        <v>第2397号</v>
      </c>
      <c r="B81" t="str">
        <f>"株式会社西本真生堂"</f>
        <v>株式会社西本真生堂</v>
      </c>
      <c r="C81" t="str">
        <f>"西本真生堂薬局　御代志店"</f>
        <v>西本真生堂薬局　御代志店</v>
      </c>
      <c r="D81" t="str">
        <f>"合志市御代志字高良木４６８－３"</f>
        <v>合志市御代志字高良木４６８－３</v>
      </c>
      <c r="E81" t="str">
        <f>"R01.12.10"</f>
        <v>R01.12.10</v>
      </c>
      <c r="F81" t="str">
        <f>"R07.12.09"</f>
        <v>R07.12.09</v>
      </c>
    </row>
    <row r="82" spans="1:6" x14ac:dyDescent="0.2">
      <c r="A82" t="str">
        <f>"第962号"</f>
        <v>第962号</v>
      </c>
      <c r="B82" t="str">
        <f>"有限会社大塚薬品"</f>
        <v>有限会社大塚薬品</v>
      </c>
      <c r="C82" t="str">
        <f>"大塚薬局"</f>
        <v>大塚薬局</v>
      </c>
      <c r="D82" t="str">
        <f>"合志市須屋二本松２７８４－２"</f>
        <v>合志市須屋二本松２７８４－２</v>
      </c>
      <c r="E82" t="str">
        <f>"R04.01.01"</f>
        <v>R04.01.01</v>
      </c>
      <c r="F82" t="str">
        <f>"R09.12.31"</f>
        <v>R09.12.31</v>
      </c>
    </row>
    <row r="83" spans="1:6" x14ac:dyDescent="0.2">
      <c r="A83" t="str">
        <f>"第1714号"</f>
        <v>第1714号</v>
      </c>
      <c r="B83" t="str">
        <f>"有限会社大塚薬品"</f>
        <v>有限会社大塚薬品</v>
      </c>
      <c r="C83" t="str">
        <f>"大塚調剤薬局"</f>
        <v>大塚調剤薬局</v>
      </c>
      <c r="D83" t="str">
        <f>"合志市須屋栗山２５２６－５"</f>
        <v>合志市須屋栗山２５２６－５</v>
      </c>
      <c r="E83" t="str">
        <f>"R05.01.01"</f>
        <v>R05.01.01</v>
      </c>
      <c r="F83" t="str">
        <f>"R10.12.31"</f>
        <v>R10.12.31</v>
      </c>
    </row>
    <row r="84" spans="1:6" x14ac:dyDescent="0.2">
      <c r="A84" t="str">
        <f>"第1642号"</f>
        <v>第1642号</v>
      </c>
      <c r="B84" t="str">
        <f>"有限会社みやもと薬局"</f>
        <v>有限会社みやもと薬局</v>
      </c>
      <c r="C84" t="str">
        <f>"フラワー薬局"</f>
        <v>フラワー薬局</v>
      </c>
      <c r="D84" t="str">
        <f>"菊池市隈府８１５－１"</f>
        <v>菊池市隈府８１５－１</v>
      </c>
      <c r="E84" t="str">
        <f>"R04.08.24"</f>
        <v>R04.08.24</v>
      </c>
      <c r="F84" t="str">
        <f>"R10.08.23"</f>
        <v>R10.08.23</v>
      </c>
    </row>
    <row r="85" spans="1:6" x14ac:dyDescent="0.2">
      <c r="A85" t="str">
        <f>"第1428号"</f>
        <v>第1428号</v>
      </c>
      <c r="B85" t="str">
        <f>"有限会社大津岩下薬局"</f>
        <v>有限会社大津岩下薬局</v>
      </c>
      <c r="C85" t="str">
        <f>"有限会社大津岩下薬局"</f>
        <v>有限会社大津岩下薬局</v>
      </c>
      <c r="D85" t="str">
        <f>"菊池郡大津町大字大津１１７６番地３"</f>
        <v>菊池郡大津町大字大津１１７６番地３</v>
      </c>
      <c r="E85" t="str">
        <f>"R04.01.01"</f>
        <v>R04.01.01</v>
      </c>
      <c r="F85" t="str">
        <f>"R09.12.31"</f>
        <v>R09.12.31</v>
      </c>
    </row>
    <row r="86" spans="1:6" x14ac:dyDescent="0.2">
      <c r="A86" t="str">
        <f>"第1711号"</f>
        <v>第1711号</v>
      </c>
      <c r="B86" t="str">
        <f>"有限会社わたなべ薬局"</f>
        <v>有限会社わたなべ薬局</v>
      </c>
      <c r="C86" t="str">
        <f>"わたなべ薬局"</f>
        <v>わたなべ薬局</v>
      </c>
      <c r="D86" t="str">
        <f>"菊池郡菊陽町大字津久礼２３７６番地３"</f>
        <v>菊池郡菊陽町大字津久礼２３７６番地３</v>
      </c>
      <c r="E86" t="str">
        <f>"R05.01.01"</f>
        <v>R05.01.01</v>
      </c>
      <c r="F86" t="str">
        <f>"R10.12.31"</f>
        <v>R10.12.31</v>
      </c>
    </row>
    <row r="87" spans="1:6" x14ac:dyDescent="0.2">
      <c r="A87" t="str">
        <f>"第2503号"</f>
        <v>第2503号</v>
      </c>
      <c r="B87" t="str">
        <f>"有限会社峰正商事"</f>
        <v>有限会社峰正商事</v>
      </c>
      <c r="C87" t="str">
        <f>"三恵薬局　合志店"</f>
        <v>三恵薬局　合志店</v>
      </c>
      <c r="D87" t="str">
        <f>"合志市御代志８１７－４"</f>
        <v>合志市御代志８１７－４</v>
      </c>
      <c r="E87" t="str">
        <f>"R06.02.19"</f>
        <v>R06.02.19</v>
      </c>
      <c r="F87" t="str">
        <f>"R12.02.18"</f>
        <v>R12.02.18</v>
      </c>
    </row>
    <row r="88" spans="1:6" x14ac:dyDescent="0.2">
      <c r="A88" t="str">
        <f>"第2323号"</f>
        <v>第2323号</v>
      </c>
      <c r="B88" t="str">
        <f>"株式会社西本真生堂"</f>
        <v>株式会社西本真生堂</v>
      </c>
      <c r="C88" t="str">
        <f>"西本真生堂薬局　合志店"</f>
        <v>西本真生堂薬局　合志店</v>
      </c>
      <c r="D88" t="str">
        <f>"合志市幾久富１７５８－８０２"</f>
        <v>合志市幾久富１７５８－８０２</v>
      </c>
      <c r="E88" t="str">
        <f>"R06.03.13"</f>
        <v>R06.03.13</v>
      </c>
      <c r="F88" t="str">
        <f>"R12.03.12"</f>
        <v>R12.03.12</v>
      </c>
    </row>
    <row r="89" spans="1:6" x14ac:dyDescent="0.2">
      <c r="A89" t="str">
        <f>"第2444号"</f>
        <v>第2444号</v>
      </c>
      <c r="B89" t="str">
        <f>"キヤマアポテイク株式会社"</f>
        <v>キヤマアポテイク株式会社</v>
      </c>
      <c r="C89" t="str">
        <f>"熊本調剤薬局　津久礼店"</f>
        <v>熊本調剤薬局　津久礼店</v>
      </c>
      <c r="D89" t="str">
        <f>"菊池郡菊陽町大字津久礼８６９番地２"</f>
        <v>菊池郡菊陽町大字津久礼８６９番地２</v>
      </c>
      <c r="E89" t="str">
        <f>"R03.06.17"</f>
        <v>R03.06.17</v>
      </c>
      <c r="F89" t="str">
        <f>"R09.06.16"</f>
        <v>R09.06.16</v>
      </c>
    </row>
    <row r="90" spans="1:6" x14ac:dyDescent="0.2">
      <c r="A90" t="str">
        <f>"第189号"</f>
        <v>第189号</v>
      </c>
      <c r="B90" t="str">
        <f>"合同会社山田薬局"</f>
        <v>合同会社山田薬局</v>
      </c>
      <c r="C90" t="str">
        <f>"合同会社山田薬局"</f>
        <v>合同会社山田薬局</v>
      </c>
      <c r="D90" t="str">
        <f>"菊池市隈府２９６"</f>
        <v>菊池市隈府２９６</v>
      </c>
      <c r="E90" t="str">
        <f>"R06.01.01"</f>
        <v>R06.01.01</v>
      </c>
      <c r="F90" t="str">
        <f>"R11.12.31"</f>
        <v>R11.12.31</v>
      </c>
    </row>
    <row r="91" spans="1:6" x14ac:dyDescent="0.2">
      <c r="A91" t="str">
        <f>"第2497号"</f>
        <v>第2497号</v>
      </c>
      <c r="B91" t="str">
        <f>"有限会社深川調剤薬局"</f>
        <v>有限会社深川調剤薬局</v>
      </c>
      <c r="C91" t="str">
        <f>"きくちドライブスルー薬局"</f>
        <v>きくちドライブスルー薬局</v>
      </c>
      <c r="D91" t="str">
        <f>"菊池市西寺１３９２－１"</f>
        <v>菊池市西寺１３９２－１</v>
      </c>
      <c r="E91" t="str">
        <f>"R05.12.12"</f>
        <v>R05.12.12</v>
      </c>
      <c r="F91" t="str">
        <f>"R11.12.11"</f>
        <v>R11.12.11</v>
      </c>
    </row>
    <row r="92" spans="1:6" x14ac:dyDescent="0.2">
      <c r="A92" t="str">
        <f>"第2346号"</f>
        <v>第2346号</v>
      </c>
      <c r="B92" t="str">
        <f>"キヤマアポテイク株式会社"</f>
        <v>キヤマアポテイク株式会社</v>
      </c>
      <c r="C92" t="str">
        <f>"熊本調剤薬局　菊池店"</f>
        <v>熊本調剤薬局　菊池店</v>
      </c>
      <c r="D92" t="str">
        <f>"菊池市大琳寺44番地１"</f>
        <v>菊池市大琳寺44番地１</v>
      </c>
      <c r="E92" t="str">
        <f>"R06.01.01"</f>
        <v>R06.01.01</v>
      </c>
      <c r="F92" t="str">
        <f>"R11.12.31"</f>
        <v>R11.12.31</v>
      </c>
    </row>
    <row r="93" spans="1:6" x14ac:dyDescent="0.2">
      <c r="A93" t="str">
        <f>"第2133号"</f>
        <v>第2133号</v>
      </c>
      <c r="B93" t="str">
        <f>"合同会社ケイ・メディサポート"</f>
        <v>合同会社ケイ・メディサポート</v>
      </c>
      <c r="C93" t="str">
        <f>"つぼみ調剤薬局"</f>
        <v>つぼみ調剤薬局</v>
      </c>
      <c r="D93" t="str">
        <f>"菊池郡菊陽町光の森３丁目１７番７号"</f>
        <v>菊池郡菊陽町光の森３丁目１７番７号</v>
      </c>
      <c r="E93" t="str">
        <f>"R02.05.09"</f>
        <v>R02.05.09</v>
      </c>
      <c r="F93" t="str">
        <f>"R08.05.08"</f>
        <v>R08.05.08</v>
      </c>
    </row>
    <row r="94" spans="1:6" x14ac:dyDescent="0.2">
      <c r="A94" t="str">
        <f>"第2553号"</f>
        <v>第2553号</v>
      </c>
      <c r="B94" t="str">
        <f>"株式会社西本真生堂"</f>
        <v>株式会社西本真生堂</v>
      </c>
      <c r="C94" t="str">
        <f>"西本真生堂薬局　泗水店"</f>
        <v>西本真生堂薬局　泗水店</v>
      </c>
      <c r="D94" t="str">
        <f>"菊池市泗水町豊水３３７０－３"</f>
        <v>菊池市泗水町豊水３３７０－３</v>
      </c>
      <c r="E94" t="str">
        <f>"R02.01.01"</f>
        <v>R02.01.01</v>
      </c>
      <c r="F94" t="str">
        <f>"R07.12.31"</f>
        <v>R07.12.31</v>
      </c>
    </row>
    <row r="95" spans="1:6" x14ac:dyDescent="0.2">
      <c r="A95" t="str">
        <f>"第2550号"</f>
        <v>第2550号</v>
      </c>
      <c r="B95" t="str">
        <f>"株式会社下川薬局"</f>
        <v>株式会社下川薬局</v>
      </c>
      <c r="C95" t="str">
        <f>"アンビー中央薬局"</f>
        <v>アンビー中央薬局</v>
      </c>
      <c r="D95" t="str">
        <f>"合志市竹迫２２９２"</f>
        <v>合志市竹迫２２９２</v>
      </c>
      <c r="E95" t="str">
        <f>"R02.01.01"</f>
        <v>R02.01.01</v>
      </c>
      <c r="F95" t="str">
        <f>"R07.12.31"</f>
        <v>R07.12.31</v>
      </c>
    </row>
    <row r="96" spans="1:6" x14ac:dyDescent="0.2">
      <c r="A96" t="str">
        <f>"第1816号"</f>
        <v>第1816号</v>
      </c>
      <c r="B96" t="str">
        <f>"有限会社　愛薬局"</f>
        <v>有限会社　愛薬局</v>
      </c>
      <c r="C96" t="str">
        <f>"有限会社　愛薬局"</f>
        <v>有限会社　愛薬局</v>
      </c>
      <c r="D96" t="str">
        <f>"菊池市大琳寺２４１－１８"</f>
        <v>菊池市大琳寺２４１－１８</v>
      </c>
      <c r="E96" t="str">
        <f>"R02.02.01"</f>
        <v>R02.02.01</v>
      </c>
      <c r="F96" t="str">
        <f>"R07.12.31"</f>
        <v>R07.12.31</v>
      </c>
    </row>
    <row r="97" spans="1:6" x14ac:dyDescent="0.2">
      <c r="A97" t="str">
        <f>"第1344号"</f>
        <v>第1344号</v>
      </c>
      <c r="B97" t="str">
        <f>"有限会社いちご薬局"</f>
        <v>有限会社いちご薬局</v>
      </c>
      <c r="C97" t="str">
        <f>"いちご薬局"</f>
        <v>いちご薬局</v>
      </c>
      <c r="D97" t="str">
        <f>"合志市幾久富１８６６－１３３７"</f>
        <v>合志市幾久富１８６６－１３３７</v>
      </c>
      <c r="E97" t="str">
        <f>"R05.01.01"</f>
        <v>R05.01.01</v>
      </c>
      <c r="F97" t="str">
        <f>"R10.12.31"</f>
        <v>R10.12.31</v>
      </c>
    </row>
    <row r="98" spans="1:6" x14ac:dyDescent="0.2">
      <c r="A98" t="str">
        <f>"第2017号"</f>
        <v>第2017号</v>
      </c>
      <c r="B98" t="str">
        <f>"林　泰男"</f>
        <v>林　泰男</v>
      </c>
      <c r="C98" t="str">
        <f>"はやし調剤薬局"</f>
        <v>はやし調剤薬局</v>
      </c>
      <c r="D98" t="str">
        <f>"菊池郡菊陽町大字久保田２８０２－５"</f>
        <v>菊池郡菊陽町大字久保田２８０２－５</v>
      </c>
      <c r="E98" t="str">
        <f>"R05.01.01"</f>
        <v>R05.01.01</v>
      </c>
      <c r="F98" t="str">
        <f>"R10.12.31"</f>
        <v>R10.12.31</v>
      </c>
    </row>
    <row r="99" spans="1:6" x14ac:dyDescent="0.2">
      <c r="A99" t="str">
        <f>"第2228号"</f>
        <v>第2228号</v>
      </c>
      <c r="B99" t="str">
        <f>"合同会社しずく企画"</f>
        <v>合同会社しずく企画</v>
      </c>
      <c r="C99" t="str">
        <f>"しずく薬局"</f>
        <v>しずく薬局</v>
      </c>
      <c r="D99" t="str">
        <f>"合志市幾久富１８６６－３５６"</f>
        <v>合志市幾久富１８６６－３５６</v>
      </c>
      <c r="E99" t="str">
        <f>"R04.01.01"</f>
        <v>R04.01.01</v>
      </c>
      <c r="F99" t="str">
        <f>"R09.12.31"</f>
        <v>R09.12.31</v>
      </c>
    </row>
    <row r="100" spans="1:6" x14ac:dyDescent="0.2">
      <c r="A100" t="str">
        <f>"第2215号"</f>
        <v>第2215号</v>
      </c>
      <c r="B100" t="str">
        <f>"株式会社ＩＦオリーブ"</f>
        <v>株式会社ＩＦオリーブ</v>
      </c>
      <c r="C100" t="str">
        <f>"よつば調剤薬局"</f>
        <v>よつば調剤薬局</v>
      </c>
      <c r="D100" t="str">
        <f>"菊池郡菊陽町久保田字中原２９８７番地２"</f>
        <v>菊池郡菊陽町久保田字中原２９８７番地２</v>
      </c>
      <c r="E100" t="str">
        <f>"R03.11.18"</f>
        <v>R03.11.18</v>
      </c>
      <c r="F100" t="str">
        <f>"R09.11.17"</f>
        <v>R09.11.17</v>
      </c>
    </row>
    <row r="101" spans="1:6" x14ac:dyDescent="0.2">
      <c r="A101" t="str">
        <f>"第2195号"</f>
        <v>第2195号</v>
      </c>
      <c r="B101" t="str">
        <f>"有限会社みよし薬局"</f>
        <v>有限会社みよし薬局</v>
      </c>
      <c r="C101" t="str">
        <f>"有限会社みよし薬局"</f>
        <v>有限会社みよし薬局</v>
      </c>
      <c r="D101" t="str">
        <f>"合志市野々島字駄飼場２４４９番地２"</f>
        <v>合志市野々島字駄飼場２４４９番地２</v>
      </c>
      <c r="E101" t="str">
        <f>"R03.06.04"</f>
        <v>R03.06.04</v>
      </c>
      <c r="F101" t="str">
        <f>"R09.06.03"</f>
        <v>R09.06.03</v>
      </c>
    </row>
    <row r="102" spans="1:6" x14ac:dyDescent="0.2">
      <c r="A102" t="str">
        <f>"第1838号"</f>
        <v>第1838号</v>
      </c>
      <c r="B102" t="str">
        <f>"株式会社ユニスマイル"</f>
        <v>株式会社ユニスマイル</v>
      </c>
      <c r="C102" t="str">
        <f>"ユニスマイル薬局　小国店"</f>
        <v>ユニスマイル薬局　小国店</v>
      </c>
      <c r="D102" t="str">
        <f>"阿蘇郡小国町宮原１７４８－５"</f>
        <v>阿蘇郡小国町宮原１７４８－５</v>
      </c>
      <c r="E102" t="str">
        <f>"R02.03.28"</f>
        <v>R02.03.28</v>
      </c>
      <c r="F102" t="str">
        <f>"R08.03.27"</f>
        <v>R08.03.27</v>
      </c>
    </row>
    <row r="103" spans="1:6" x14ac:dyDescent="0.2">
      <c r="A103" t="str">
        <f>"第2414号"</f>
        <v>第2414号</v>
      </c>
      <c r="B103" t="str">
        <f>"株式会社アスリード"</f>
        <v>株式会社アスリード</v>
      </c>
      <c r="C103" t="str">
        <f>"アスリード阿蘇医療センター前薬局"</f>
        <v>アスリード阿蘇医療センター前薬局</v>
      </c>
      <c r="D103" t="str">
        <f>"阿蘇市黒川１４８８番地１"</f>
        <v>阿蘇市黒川１４８８番地１</v>
      </c>
      <c r="E103" t="str">
        <f>"R02.07.03"</f>
        <v>R02.07.03</v>
      </c>
      <c r="F103" t="str">
        <f>"R08.07.02"</f>
        <v>R08.07.02</v>
      </c>
    </row>
    <row r="104" spans="1:6" x14ac:dyDescent="0.2">
      <c r="A104" t="str">
        <f>"第2653号"</f>
        <v>第2653号</v>
      </c>
      <c r="B104" t="str">
        <f>"有限会社松林堂"</f>
        <v>有限会社松林堂</v>
      </c>
      <c r="C104" t="str">
        <f>"有限会社　松林堂薬局　一の宮店"</f>
        <v>有限会社　松林堂薬局　一の宮店</v>
      </c>
      <c r="D104" t="str">
        <f>"阿蘇市一の宮町宮地１７９３－１"</f>
        <v>阿蘇市一の宮町宮地１７９３－１</v>
      </c>
      <c r="E104" t="str">
        <f>"R06.04.01"</f>
        <v>R06.04.01</v>
      </c>
      <c r="F104" t="str">
        <f>"R11.12.31"</f>
        <v>R11.12.31</v>
      </c>
    </row>
    <row r="105" spans="1:6" x14ac:dyDescent="0.2">
      <c r="A105" t="str">
        <f>"第1805号"</f>
        <v>第1805号</v>
      </c>
      <c r="B105" t="str">
        <f>"有限会社　野の花薬局"</f>
        <v>有限会社　野の花薬局</v>
      </c>
      <c r="C105" t="str">
        <f>"野の花薬局"</f>
        <v>野の花薬局</v>
      </c>
      <c r="D105" t="str">
        <f>"阿蘇市小里２５０－４"</f>
        <v>阿蘇市小里２５０－４</v>
      </c>
      <c r="E105" t="str">
        <f>"R07.01.01"</f>
        <v>R07.01.01</v>
      </c>
      <c r="F105" t="str">
        <f>"R12.12.31"</f>
        <v>R12.12.31</v>
      </c>
    </row>
    <row r="106" spans="1:6" x14ac:dyDescent="0.2">
      <c r="A106" t="str">
        <f>"第1603号"</f>
        <v>第1603号</v>
      </c>
      <c r="B106" t="str">
        <f>"株式会社ファーマダイワ"</f>
        <v>株式会社ファーマダイワ</v>
      </c>
      <c r="C106" t="str">
        <f>"阿蘇りんどう薬局"</f>
        <v>阿蘇りんどう薬局</v>
      </c>
      <c r="D106" t="str">
        <f>"阿蘇市内牧字宝仙向１１６０番地９"</f>
        <v>阿蘇市内牧字宝仙向１１６０番地９</v>
      </c>
      <c r="E106" t="str">
        <f>"R04.01.01"</f>
        <v>R04.01.01</v>
      </c>
      <c r="F106" t="str">
        <f>"R09.12.31"</f>
        <v>R09.12.31</v>
      </c>
    </row>
    <row r="107" spans="1:6" x14ac:dyDescent="0.2">
      <c r="A107" t="str">
        <f>"第2416号"</f>
        <v>第2416号</v>
      </c>
      <c r="B107" t="str">
        <f>"有限会社内牧中央薬局"</f>
        <v>有限会社内牧中央薬局</v>
      </c>
      <c r="C107" t="str">
        <f>"阿蘇中央薬局"</f>
        <v>阿蘇中央薬局</v>
      </c>
      <c r="D107" t="str">
        <f>"阿蘇市黒川１２４９"</f>
        <v>阿蘇市黒川１２４９</v>
      </c>
      <c r="E107" t="str">
        <f>"R02.08.06"</f>
        <v>R02.08.06</v>
      </c>
      <c r="F107" t="str">
        <f>"R08.08.05"</f>
        <v>R08.08.05</v>
      </c>
    </row>
    <row r="108" spans="1:6" x14ac:dyDescent="0.2">
      <c r="A108" t="str">
        <f>"第2070号"</f>
        <v>第2070号</v>
      </c>
      <c r="B108" t="str">
        <f>"株式会社ハートフェルト"</f>
        <v>株式会社ハートフェルト</v>
      </c>
      <c r="C108" t="str">
        <f>"白川水源薬局"</f>
        <v>白川水源薬局</v>
      </c>
      <c r="D108" t="str">
        <f>"阿蘇郡南阿蘇村大字白川２１１１－１"</f>
        <v>阿蘇郡南阿蘇村大字白川２１１１－１</v>
      </c>
      <c r="E108" t="str">
        <f>"R07.01.01"</f>
        <v>R07.01.01</v>
      </c>
      <c r="F108" t="str">
        <f>"R12.12.31"</f>
        <v>R12.12.31</v>
      </c>
    </row>
    <row r="109" spans="1:6" x14ac:dyDescent="0.2">
      <c r="A109" t="str">
        <f>"第2466号"</f>
        <v>第2466号</v>
      </c>
      <c r="B109" t="str">
        <f>"株式会社ハートフェルト"</f>
        <v>株式会社ハートフェルト</v>
      </c>
      <c r="C109" t="str">
        <f>"下野中央薬局"</f>
        <v>下野中央薬局</v>
      </c>
      <c r="D109" t="str">
        <f>"阿蘇郡南阿蘇村大字下野４０１－３"</f>
        <v>阿蘇郡南阿蘇村大字下野４０１－３</v>
      </c>
      <c r="E109" t="str">
        <f>"R04.06.16"</f>
        <v>R04.06.16</v>
      </c>
      <c r="F109" t="str">
        <f>"R10.06.15"</f>
        <v>R10.06.15</v>
      </c>
    </row>
    <row r="110" spans="1:6" x14ac:dyDescent="0.2">
      <c r="A110" t="str">
        <f>"第1755号"</f>
        <v>第1755号</v>
      </c>
      <c r="B110" t="str">
        <f>"有限会社　内牧中央薬局"</f>
        <v>有限会社　内牧中央薬局</v>
      </c>
      <c r="C110" t="str">
        <f>"有限会社　内牧中央薬局"</f>
        <v>有限会社　内牧中央薬局</v>
      </c>
      <c r="D110" t="str">
        <f>"阿蘇市内牧１６１番地８"</f>
        <v>阿蘇市内牧１６１番地８</v>
      </c>
      <c r="E110" t="str">
        <f>"R06.01.01"</f>
        <v>R06.01.01</v>
      </c>
      <c r="F110" t="str">
        <f>"R11.12.31"</f>
        <v>R11.12.31</v>
      </c>
    </row>
    <row r="111" spans="1:6" x14ac:dyDescent="0.2">
      <c r="A111" t="str">
        <f>"第2678号"</f>
        <v>第2678号</v>
      </c>
      <c r="B111" t="str">
        <f>"株式会社ハートフェルト"</f>
        <v>株式会社ハートフェルト</v>
      </c>
      <c r="C111" t="str">
        <f>"内牧かみまち薬局"</f>
        <v>内牧かみまち薬局</v>
      </c>
      <c r="D111" t="str">
        <f>"阿蘇市内牧１０６番地１"</f>
        <v>阿蘇市内牧１０６番地１</v>
      </c>
      <c r="E111" t="str">
        <f>"R07.02.17"</f>
        <v>R07.02.17</v>
      </c>
      <c r="F111" t="str">
        <f>"R12.12.31"</f>
        <v>R12.12.31</v>
      </c>
    </row>
    <row r="112" spans="1:6" x14ac:dyDescent="0.2">
      <c r="A112" t="str">
        <f>"第2569号"</f>
        <v>第2569号</v>
      </c>
      <c r="B112" t="str">
        <f>"株式会社ハートフェルト"</f>
        <v>株式会社ハートフェルト</v>
      </c>
      <c r="C112" t="str">
        <f>"陽だまり薬局"</f>
        <v>陽だまり薬局</v>
      </c>
      <c r="D112" t="str">
        <f>"阿蘇郡南阿蘇村大字立野１８７－２"</f>
        <v>阿蘇郡南阿蘇村大字立野１８７－２</v>
      </c>
      <c r="E112" t="str">
        <f>"R02.11.01"</f>
        <v>R02.11.01</v>
      </c>
      <c r="F112" t="str">
        <f>"R08.10.31"</f>
        <v>R08.10.31</v>
      </c>
    </row>
    <row r="113" spans="1:6" x14ac:dyDescent="0.2">
      <c r="A113" t="str">
        <f>"第1433号"</f>
        <v>第1433号</v>
      </c>
      <c r="B113" t="str">
        <f>"有限会社阿蘇中央調剤薬局"</f>
        <v>有限会社阿蘇中央調剤薬局</v>
      </c>
      <c r="C113" t="str">
        <f>"小国調剤薬局"</f>
        <v>小国調剤薬局</v>
      </c>
      <c r="D113" t="str">
        <f>"阿蘇郡小国町宮原１７３５－９"</f>
        <v>阿蘇郡小国町宮原１７３５－９</v>
      </c>
      <c r="E113" t="str">
        <f>"R04.01.01"</f>
        <v>R04.01.01</v>
      </c>
      <c r="F113" t="str">
        <f>"R09.12.31"</f>
        <v>R09.12.31</v>
      </c>
    </row>
    <row r="114" spans="1:6" x14ac:dyDescent="0.2">
      <c r="A114" t="str">
        <f>"第2380号"</f>
        <v>第2380号</v>
      </c>
      <c r="B114" t="str">
        <f>"有限会社阿蘇中央調剤薬局"</f>
        <v>有限会社阿蘇中央調剤薬局</v>
      </c>
      <c r="C114" t="str">
        <f>"きよらのさと薬局"</f>
        <v>きよらのさと薬局</v>
      </c>
      <c r="D114" t="str">
        <f>"阿蘇郡南小国町大字赤馬場１９６３－５"</f>
        <v>阿蘇郡南小国町大字赤馬場１９６３－５</v>
      </c>
      <c r="E114" t="str">
        <f>"R07.01.01"</f>
        <v>R07.01.01</v>
      </c>
      <c r="F114" t="str">
        <f>"R12.12.31"</f>
        <v>R12.12.31</v>
      </c>
    </row>
    <row r="115" spans="1:6" x14ac:dyDescent="0.2">
      <c r="A115" t="str">
        <f>"第2534号"</f>
        <v>第2534号</v>
      </c>
      <c r="B115" t="str">
        <f>"有限会社阿蘇中央調剤薬局"</f>
        <v>有限会社阿蘇中央調剤薬局</v>
      </c>
      <c r="C115" t="str">
        <f>"おぐに薬局"</f>
        <v>おぐに薬局</v>
      </c>
      <c r="D115" t="str">
        <f>"阿蘇郡小国町宮原１７７１－１"</f>
        <v>阿蘇郡小国町宮原１７７１－１</v>
      </c>
      <c r="E115" t="str">
        <f>"R07.05.01"</f>
        <v>R07.05.01</v>
      </c>
      <c r="F115" t="str">
        <f>"R13.04.30"</f>
        <v>R13.04.30</v>
      </c>
    </row>
    <row r="116" spans="1:6" x14ac:dyDescent="0.2">
      <c r="A116" t="str">
        <f>"第2622号"</f>
        <v>第2622号</v>
      </c>
      <c r="B116" t="str">
        <f>"株式会社SKY CREATE"</f>
        <v>株式会社SKY CREATE</v>
      </c>
      <c r="C116" t="str">
        <f>"海浜総合薬局　西原店"</f>
        <v>海浜総合薬局　西原店</v>
      </c>
      <c r="D116" t="str">
        <f>"阿蘇郡西原村小森３２０９－３"</f>
        <v>阿蘇郡西原村小森３２０９－３</v>
      </c>
      <c r="E116" t="str">
        <f>"R05.04.01"</f>
        <v>R05.04.01</v>
      </c>
      <c r="F116" t="str">
        <f>"R11.03.31"</f>
        <v>R11.03.31</v>
      </c>
    </row>
    <row r="117" spans="1:6" x14ac:dyDescent="0.2">
      <c r="A117" t="str">
        <f>"第2110号"</f>
        <v>第2110号</v>
      </c>
      <c r="B117" t="str">
        <f>"有限会社　南阿蘇調剤薬局"</f>
        <v>有限会社　南阿蘇調剤薬局</v>
      </c>
      <c r="C117" t="str">
        <f>"南阿蘇調剤薬局"</f>
        <v>南阿蘇調剤薬局</v>
      </c>
      <c r="D117" t="str">
        <f>"阿蘇郡高森町大字高森１６１２番地１"</f>
        <v>阿蘇郡高森町大字高森１６１２番地１</v>
      </c>
      <c r="E117" t="str">
        <f>"R07.01.01"</f>
        <v>R07.01.01</v>
      </c>
      <c r="F117" t="str">
        <f>"R12.12.31"</f>
        <v>R12.12.31</v>
      </c>
    </row>
    <row r="118" spans="1:6" x14ac:dyDescent="0.2">
      <c r="A118" t="str">
        <f>"第2367号"</f>
        <v>第2367号</v>
      </c>
      <c r="B118" t="str">
        <f>"ヤマトファルマ有限会社"</f>
        <v>ヤマトファルマ有限会社</v>
      </c>
      <c r="C118" t="str">
        <f>"高森わたなべ薬局"</f>
        <v>高森わたなべ薬局</v>
      </c>
      <c r="D118" t="str">
        <f>"阿蘇郡高森町大字高森２０２２－１"</f>
        <v>阿蘇郡高森町大字高森２０２２－１</v>
      </c>
      <c r="E118" t="str">
        <f>"R07.01.01"</f>
        <v>R07.01.01</v>
      </c>
      <c r="F118" t="str">
        <f>"R12.12.31"</f>
        <v>R12.12.31</v>
      </c>
    </row>
    <row r="119" spans="1:6" x14ac:dyDescent="0.2">
      <c r="A119" t="str">
        <f>"第1494号"</f>
        <v>第1494号</v>
      </c>
      <c r="B119" t="str">
        <f>"有限会社岩下薬局"</f>
        <v>有限会社岩下薬局</v>
      </c>
      <c r="C119" t="str">
        <f>"岩下調剤薬局"</f>
        <v>岩下調剤薬局</v>
      </c>
      <c r="D119" t="str">
        <f>"阿蘇市内牧１０４８の１"</f>
        <v>阿蘇市内牧１０４８の１</v>
      </c>
      <c r="E119" t="str">
        <f>"R05.01.01"</f>
        <v>R05.01.01</v>
      </c>
      <c r="F119" t="str">
        <f>"R10.12.31"</f>
        <v>R10.12.31</v>
      </c>
    </row>
    <row r="120" spans="1:6" x14ac:dyDescent="0.2">
      <c r="A120" t="str">
        <f>"第2407号"</f>
        <v>第2407号</v>
      </c>
      <c r="B120" t="str">
        <f>"株式会社テラマツ調剤"</f>
        <v>株式会社テラマツ調剤</v>
      </c>
      <c r="C120" t="str">
        <f>"へきすい薬局"</f>
        <v>へきすい薬局</v>
      </c>
      <c r="D120" t="str">
        <f>"阿蘇市黒川１４８２番地４"</f>
        <v>阿蘇市黒川１４８２番地４</v>
      </c>
      <c r="E120" t="str">
        <f>"R02.01.01"</f>
        <v>R02.01.01</v>
      </c>
      <c r="F120" t="str">
        <f>"R07.12.31"</f>
        <v>R07.12.31</v>
      </c>
    </row>
    <row r="121" spans="1:6" x14ac:dyDescent="0.2">
      <c r="A121" t="str">
        <f>"第2493号"</f>
        <v>第2493号</v>
      </c>
      <c r="B121" t="str">
        <f>"株式会社メディライフプラス"</f>
        <v>株式会社メディライフプラス</v>
      </c>
      <c r="C121" t="str">
        <f>"こもり薬局"</f>
        <v>こもり薬局</v>
      </c>
      <c r="D121" t="str">
        <f>"阿蘇郡西原村小森２８２２－４"</f>
        <v>阿蘇郡西原村小森２８２２－４</v>
      </c>
      <c r="E121" t="str">
        <f>"R05.10.30"</f>
        <v>R05.10.30</v>
      </c>
      <c r="F121" t="str">
        <f>"R11.10.29"</f>
        <v>R11.10.29</v>
      </c>
    </row>
    <row r="122" spans="1:6" x14ac:dyDescent="0.2">
      <c r="A122" t="str">
        <f>"第2504号"</f>
        <v>第2504号</v>
      </c>
      <c r="B122" t="str">
        <f>"ヤマトファルマ有限会社"</f>
        <v>ヤマトファルマ有限会社</v>
      </c>
      <c r="C122" t="str">
        <f>"くぎの薬局"</f>
        <v>くぎの薬局</v>
      </c>
      <c r="D122" t="str">
        <f>"阿蘇郡南阿蘇村河陰４６６８"</f>
        <v>阿蘇郡南阿蘇村河陰４６６８</v>
      </c>
      <c r="E122" t="str">
        <f>"R06.03.12"</f>
        <v>R06.03.12</v>
      </c>
      <c r="F122" t="str">
        <f>"R12.03.11"</f>
        <v>R12.03.11</v>
      </c>
    </row>
    <row r="123" spans="1:6" x14ac:dyDescent="0.2">
      <c r="A123" t="str">
        <f>"第2315号"</f>
        <v>第2315号</v>
      </c>
      <c r="B123" t="str">
        <f>"堤　峰子"</f>
        <v>堤　峰子</v>
      </c>
      <c r="C123" t="str">
        <f>"ツツミ薬局"</f>
        <v>ツツミ薬局</v>
      </c>
      <c r="D123" t="str">
        <f>"阿蘇郡高森町大字高森１９９０－１"</f>
        <v>阿蘇郡高森町大字高森１９９０－１</v>
      </c>
      <c r="E123" t="str">
        <f>"R06.01.05"</f>
        <v>R06.01.05</v>
      </c>
      <c r="F123" t="str">
        <f>"R12.01.04"</f>
        <v>R12.01.04</v>
      </c>
    </row>
    <row r="124" spans="1:6" x14ac:dyDescent="0.2">
      <c r="A124" t="str">
        <f>"第2300号"</f>
        <v>第2300号</v>
      </c>
      <c r="B124" t="str">
        <f>"中村　稔"</f>
        <v>中村　稔</v>
      </c>
      <c r="C124" t="str">
        <f>"中村薬局"</f>
        <v>中村薬局</v>
      </c>
      <c r="D124" t="str">
        <f>"阿蘇郡高森町高森１２９２"</f>
        <v>阿蘇郡高森町高森１２９２</v>
      </c>
      <c r="E124" t="str">
        <f>"R05.09.30"</f>
        <v>R05.09.30</v>
      </c>
      <c r="F124" t="str">
        <f>"R11.09.29"</f>
        <v>R11.09.29</v>
      </c>
    </row>
    <row r="125" spans="1:6" x14ac:dyDescent="0.2">
      <c r="A125" t="str">
        <f>"第1689号"</f>
        <v>第1689号</v>
      </c>
      <c r="B125" t="str">
        <f>"有限会社桐原薬局"</f>
        <v>有限会社桐原薬局</v>
      </c>
      <c r="C125" t="str">
        <f>"桐原薬局本店"</f>
        <v>桐原薬局本店</v>
      </c>
      <c r="D125" t="str">
        <f>"阿蘇郡高森町大字高森１６５１番地３"</f>
        <v>阿蘇郡高森町大字高森１６５１番地３</v>
      </c>
      <c r="E125" t="str">
        <f>"R05.01.01"</f>
        <v>R05.01.01</v>
      </c>
      <c r="F125" t="str">
        <f>"R10.12.31"</f>
        <v>R10.12.31</v>
      </c>
    </row>
    <row r="126" spans="1:6" x14ac:dyDescent="0.2">
      <c r="A126" t="str">
        <f>"第2004号"</f>
        <v>第2004号</v>
      </c>
      <c r="B126" t="str">
        <f>"株式会社アスリード"</f>
        <v>株式会社アスリード</v>
      </c>
      <c r="C126" t="str">
        <f>"アスリード薬局"</f>
        <v>アスリード薬局</v>
      </c>
      <c r="D126" t="str">
        <f>"阿蘇市黒川１４９９番９"</f>
        <v>阿蘇市黒川１４９９番９</v>
      </c>
      <c r="E126" t="str">
        <f>"R05.01.01"</f>
        <v>R05.01.01</v>
      </c>
      <c r="F126" t="str">
        <f>"R10.12.31"</f>
        <v>R10.12.31</v>
      </c>
    </row>
    <row r="127" spans="1:6" x14ac:dyDescent="0.2">
      <c r="A127" t="str">
        <f>"第1672号"</f>
        <v>第1672号</v>
      </c>
      <c r="B127" t="str">
        <f>"株式会社エルピーダ"</f>
        <v>株式会社エルピーダ</v>
      </c>
      <c r="C127" t="str">
        <f>"一の宮薬局"</f>
        <v>一の宮薬局</v>
      </c>
      <c r="D127" t="str">
        <f>"阿蘇市一の宮町宮地５８３３番地５"</f>
        <v>阿蘇市一の宮町宮地５８３３番地５</v>
      </c>
      <c r="E127" t="str">
        <f>"R05.01.01"</f>
        <v>R05.01.01</v>
      </c>
      <c r="F127" t="str">
        <f>"R10.12.31"</f>
        <v>R10.12.31</v>
      </c>
    </row>
    <row r="128" spans="1:6" x14ac:dyDescent="0.2">
      <c r="A128" t="str">
        <f>"第2431号"</f>
        <v>第2431号</v>
      </c>
      <c r="B128" t="str">
        <f>"有限会社ナカムラファーマシー"</f>
        <v>有限会社ナカムラファーマシー</v>
      </c>
      <c r="C128" t="str">
        <f>"ファミリー薬局"</f>
        <v>ファミリー薬局</v>
      </c>
      <c r="D128" t="str">
        <f>"阿蘇郡南阿蘇村中松2850-3"</f>
        <v>阿蘇郡南阿蘇村中松2850-3</v>
      </c>
      <c r="E128" t="str">
        <f>"R02.01.01"</f>
        <v>R02.01.01</v>
      </c>
      <c r="F128" t="str">
        <f>"R07.12.31"</f>
        <v>R07.12.31</v>
      </c>
    </row>
    <row r="129" spans="1:6" x14ac:dyDescent="0.2">
      <c r="A129" t="str">
        <f>"第1911号"</f>
        <v>第1911号</v>
      </c>
      <c r="B129" t="str">
        <f>"株式会社タカサキ"</f>
        <v>株式会社タカサキ</v>
      </c>
      <c r="C129" t="str">
        <f>"タカサキ薬局益城店"</f>
        <v>タカサキ薬局益城店</v>
      </c>
      <c r="D129" t="str">
        <f>"上益城郡益城町大字宮園７３２－１"</f>
        <v>上益城郡益城町大字宮園７３２－１</v>
      </c>
      <c r="E129" t="str">
        <f>"R03.01.01"</f>
        <v>R03.01.01</v>
      </c>
      <c r="F129" t="str">
        <f>"R08.12.31"</f>
        <v>R08.12.31</v>
      </c>
    </row>
    <row r="130" spans="1:6" x14ac:dyDescent="0.2">
      <c r="A130" t="str">
        <f>"第2596号"</f>
        <v>第2596号</v>
      </c>
      <c r="B130" t="str">
        <f>"株式会社ファーマダイワ"</f>
        <v>株式会社ファーマダイワ</v>
      </c>
      <c r="C130" t="str">
        <f>"みどり薬局"</f>
        <v>みどり薬局</v>
      </c>
      <c r="D130" t="str">
        <f>"上益城郡嘉島町上島９６４番地２"</f>
        <v>上益城郡嘉島町上島９６４番地２</v>
      </c>
      <c r="E130" t="str">
        <f>"R03.11.18"</f>
        <v>R03.11.18</v>
      </c>
      <c r="F130" t="str">
        <f>"R09.11.17"</f>
        <v>R09.11.17</v>
      </c>
    </row>
    <row r="131" spans="1:6" x14ac:dyDescent="0.2">
      <c r="A131" t="str">
        <f>"第2661号"</f>
        <v>第2661号</v>
      </c>
      <c r="B131" t="str">
        <f>"有限会社あきよし調剤薬局"</f>
        <v>有限会社あきよし調剤薬局</v>
      </c>
      <c r="C131" t="str">
        <f>"あきよし調剤薬局"</f>
        <v>あきよし調剤薬局</v>
      </c>
      <c r="D131" t="str">
        <f>"上益城郡益城町惣領1317番1"</f>
        <v>上益城郡益城町惣領1317番1</v>
      </c>
      <c r="E131" t="str">
        <f>"R06.09.24"</f>
        <v>R06.09.24</v>
      </c>
      <c r="F131" t="str">
        <f>"R12.09.23"</f>
        <v>R12.09.23</v>
      </c>
    </row>
    <row r="132" spans="1:6" x14ac:dyDescent="0.2">
      <c r="A132" t="str">
        <f>"第2700号"</f>
        <v>第2700号</v>
      </c>
      <c r="B132" t="str">
        <f>"株式会社新生堂薬局"</f>
        <v>株式会社新生堂薬局</v>
      </c>
      <c r="C132" t="str">
        <f>"新生堂薬局　益城木山店"</f>
        <v>新生堂薬局　益城木山店</v>
      </c>
      <c r="D132" t="str">
        <f>"上益城郡益城町大字木山字居屋敷３４１－８"</f>
        <v>上益城郡益城町大字木山字居屋敷３４１－８</v>
      </c>
      <c r="E132" t="str">
        <f>"R07.09.12"</f>
        <v>R07.09.12</v>
      </c>
      <c r="F132" t="str">
        <f>"R13.09.11"</f>
        <v>R13.09.11</v>
      </c>
    </row>
    <row r="133" spans="1:6" x14ac:dyDescent="0.2">
      <c r="A133" t="str">
        <f>"第1815号"</f>
        <v>第1815号</v>
      </c>
      <c r="B133" t="str">
        <f>"有限会社九品寺調剤薬局"</f>
        <v>有限会社九品寺調剤薬局</v>
      </c>
      <c r="C133" t="str">
        <f>"なまず調剤薬局"</f>
        <v>なまず調剤薬局</v>
      </c>
      <c r="D133" t="str">
        <f>"上益城郡嘉島町鯰１８９８－５"</f>
        <v>上益城郡嘉島町鯰１８９８－５</v>
      </c>
      <c r="E133" t="str">
        <f>"R01.12.26"</f>
        <v>R01.12.26</v>
      </c>
      <c r="F133" t="str">
        <f>"R07.12.25"</f>
        <v>R07.12.25</v>
      </c>
    </row>
    <row r="134" spans="1:6" x14ac:dyDescent="0.2">
      <c r="A134" t="str">
        <f>"第2695号"</f>
        <v>第2695号</v>
      </c>
      <c r="B134" t="str">
        <f>"株式会社ファーマダイワ"</f>
        <v>株式会社ファーマダイワ</v>
      </c>
      <c r="C134" t="str">
        <f>"嘉島むすび薬局"</f>
        <v>嘉島むすび薬局</v>
      </c>
      <c r="D134" t="str">
        <f>"上益城郡嘉島町大字上島２６６７番１"</f>
        <v>上益城郡嘉島町大字上島２６６７番１</v>
      </c>
      <c r="E134" t="str">
        <f>"R07.07.10"</f>
        <v>R07.07.10</v>
      </c>
      <c r="F134" t="str">
        <f>"R13.07.09"</f>
        <v>R13.07.09</v>
      </c>
    </row>
    <row r="135" spans="1:6" x14ac:dyDescent="0.2">
      <c r="A135" t="str">
        <f>"第2652号"</f>
        <v>第2652号</v>
      </c>
      <c r="B135" t="str">
        <f>"有限会社松林堂"</f>
        <v>有限会社松林堂</v>
      </c>
      <c r="C135" t="str">
        <f>"有限会社　松林堂薬局　益城店"</f>
        <v>有限会社　松林堂薬局　益城店</v>
      </c>
      <c r="D135" t="str">
        <f>"上益城郡益城町大字安永５７０－４"</f>
        <v>上益城郡益城町大字安永５７０－４</v>
      </c>
      <c r="E135" t="str">
        <f>"R06.04.01"</f>
        <v>R06.04.01</v>
      </c>
      <c r="F135" t="str">
        <f>"R12.03.31"</f>
        <v>R12.03.31</v>
      </c>
    </row>
    <row r="136" spans="1:6" x14ac:dyDescent="0.2">
      <c r="A136" t="str">
        <f>"第2429号"</f>
        <v>第2429号</v>
      </c>
      <c r="B136" t="str">
        <f>"株式会社　新生堂薬局"</f>
        <v>株式会社　新生堂薬局</v>
      </c>
      <c r="C136" t="str">
        <f>"新生堂薬局　益城木山店"</f>
        <v>新生堂薬局　益城木山店</v>
      </c>
      <c r="D136" t="str">
        <f>"上益城郡益城町木山３５７"</f>
        <v>上益城郡益城町木山３５７</v>
      </c>
      <c r="E136" t="str">
        <f>"R02.11.14"</f>
        <v>R02.11.14</v>
      </c>
      <c r="F136" t="str">
        <f>"R08.11.13"</f>
        <v>R08.11.13</v>
      </c>
    </row>
    <row r="137" spans="1:6" x14ac:dyDescent="0.2">
      <c r="A137" t="str">
        <f>"第2482号"</f>
        <v>第2482号</v>
      </c>
      <c r="B137" t="str">
        <f>"株式会社新生堂薬局"</f>
        <v>株式会社新生堂薬局</v>
      </c>
      <c r="C137" t="str">
        <f>"新生堂薬局　益城惣領店"</f>
        <v>新生堂薬局　益城惣領店</v>
      </c>
      <c r="D137" t="str">
        <f>"上益城郡益城町大字惣領１５３９－３"</f>
        <v>上益城郡益城町大字惣領１５３９－３</v>
      </c>
      <c r="E137" t="str">
        <f>"R05.06.15"</f>
        <v>R05.06.15</v>
      </c>
      <c r="F137" t="str">
        <f>"R11.06.14"</f>
        <v>R11.06.14</v>
      </c>
    </row>
    <row r="138" spans="1:6" x14ac:dyDescent="0.2">
      <c r="A138" t="str">
        <f>"第2020号"</f>
        <v>第2020号</v>
      </c>
      <c r="B138" t="str">
        <f>"イオン九州株式会社"</f>
        <v>イオン九州株式会社</v>
      </c>
      <c r="C138" t="str">
        <f>"イオン薬局熊本店"</f>
        <v>イオン薬局熊本店</v>
      </c>
      <c r="D138" t="str">
        <f>"上益城郡嘉島町大字上島字長池２２３２"</f>
        <v>上益城郡嘉島町大字上島字長池２２３２</v>
      </c>
      <c r="E138" t="str">
        <f>"R05.01.01"</f>
        <v>R05.01.01</v>
      </c>
      <c r="F138" t="str">
        <f>"R10.12.31"</f>
        <v>R10.12.31</v>
      </c>
    </row>
    <row r="139" spans="1:6" x14ac:dyDescent="0.2">
      <c r="A139" t="str">
        <f>"第2465号"</f>
        <v>第2465号</v>
      </c>
      <c r="B139" t="str">
        <f>"株式会社ファーマダイワ"</f>
        <v>株式会社ファーマダイワ</v>
      </c>
      <c r="C139" t="str">
        <f>"チューリップ薬局"</f>
        <v>チューリップ薬局</v>
      </c>
      <c r="D139" t="str">
        <f>"上益城郡益城町広崎１０３８－９"</f>
        <v>上益城郡益城町広崎１０３８－９</v>
      </c>
      <c r="E139" t="str">
        <f>"R04.05.19"</f>
        <v>R04.05.19</v>
      </c>
      <c r="F139" t="str">
        <f>"R10.05.18"</f>
        <v>R10.05.18</v>
      </c>
    </row>
    <row r="140" spans="1:6" x14ac:dyDescent="0.2">
      <c r="A140" t="str">
        <f>"第2440号"</f>
        <v>第2440号</v>
      </c>
      <c r="B140" t="str">
        <f>"株式会社ファーマダイワ"</f>
        <v>株式会社ファーマダイワ</v>
      </c>
      <c r="C140" t="str">
        <f>"ひばり薬局"</f>
        <v>ひばり薬局</v>
      </c>
      <c r="D140" t="str">
        <f>"上益城郡嘉島町鯰１８７３－５"</f>
        <v>上益城郡嘉島町鯰１８７３－５</v>
      </c>
      <c r="E140" t="str">
        <f>"R03.06.01"</f>
        <v>R03.06.01</v>
      </c>
      <c r="F140" t="str">
        <f>"R09.05.31"</f>
        <v>R09.05.31</v>
      </c>
    </row>
    <row r="141" spans="1:6" x14ac:dyDescent="0.2">
      <c r="A141" t="str">
        <f>"第2379号"</f>
        <v>第2379号</v>
      </c>
      <c r="B141" t="str">
        <f>"株式会社新生堂薬局"</f>
        <v>株式会社新生堂薬局</v>
      </c>
      <c r="C141" t="str">
        <f>"新生堂薬局　御船店"</f>
        <v>新生堂薬局　御船店</v>
      </c>
      <c r="D141" t="str">
        <f>"上益城郡御船町大字辺田見３４－１"</f>
        <v>上益城郡御船町大字辺田見３４－１</v>
      </c>
      <c r="E141" t="str">
        <f>"R07.04.17"</f>
        <v>R07.04.17</v>
      </c>
      <c r="F141" t="str">
        <f>"R13.04.16"</f>
        <v>R13.04.16</v>
      </c>
    </row>
    <row r="142" spans="1:6" x14ac:dyDescent="0.2">
      <c r="A142" t="str">
        <f>"第2291号"</f>
        <v>第2291号</v>
      </c>
      <c r="B142" t="str">
        <f>"株式会社ファーマン"</f>
        <v>株式会社ファーマン</v>
      </c>
      <c r="C142" t="str">
        <f>"リズム薬局"</f>
        <v>リズム薬局</v>
      </c>
      <c r="D142" t="str">
        <f>"上益城郡御船町大字豊秋１５５８番３"</f>
        <v>上益城郡御船町大字豊秋１５５８番３</v>
      </c>
      <c r="E142" t="str">
        <f>"R05.01.01"</f>
        <v>R05.01.01</v>
      </c>
      <c r="F142" t="str">
        <f>"R10.12.31"</f>
        <v>R10.12.31</v>
      </c>
    </row>
    <row r="143" spans="1:6" x14ac:dyDescent="0.2">
      <c r="A143" t="str">
        <f>"第2411号"</f>
        <v>第2411号</v>
      </c>
      <c r="B143" t="str">
        <f>"株式会社ファーマダイワ"</f>
        <v>株式会社ファーマダイワ</v>
      </c>
      <c r="C143" t="str">
        <f>"そよ風薬局　嘉島店"</f>
        <v>そよ風薬局　嘉島店</v>
      </c>
      <c r="D143" t="str">
        <f>"熊本県上益城郡嘉島町上島２４９６－１"</f>
        <v>熊本県上益城郡嘉島町上島２４９６－１</v>
      </c>
      <c r="E143" t="str">
        <f>"R02.05.01"</f>
        <v>R02.05.01</v>
      </c>
      <c r="F143" t="str">
        <f>"R08.04.30"</f>
        <v>R08.04.30</v>
      </c>
    </row>
    <row r="144" spans="1:6" x14ac:dyDescent="0.2">
      <c r="A144" t="str">
        <f>"第2660号"</f>
        <v>第2660号</v>
      </c>
      <c r="B144" t="str">
        <f>"株式会社エニードア"</f>
        <v>株式会社エニードア</v>
      </c>
      <c r="C144" t="str">
        <f>"ゆうすい調剤薬局"</f>
        <v>ゆうすい調剤薬局</v>
      </c>
      <c r="D144" t="str">
        <f>"上益城郡嘉島町北甘木２２５７番地７"</f>
        <v>上益城郡嘉島町北甘木２２５７番地７</v>
      </c>
      <c r="E144" t="str">
        <f>"R06.06.17"</f>
        <v>R06.06.17</v>
      </c>
      <c r="F144" t="str">
        <f>"R12.06.16"</f>
        <v>R12.06.16</v>
      </c>
    </row>
    <row r="145" spans="1:6" x14ac:dyDescent="0.2">
      <c r="A145" t="str">
        <f>"第2646号"</f>
        <v>第2646号</v>
      </c>
      <c r="B145" t="str">
        <f>"株式会社ミユキメディカル"</f>
        <v>株式会社ミユキメディカル</v>
      </c>
      <c r="C145" t="str">
        <f>"ましき町薬局"</f>
        <v>ましき町薬局</v>
      </c>
      <c r="D145" t="str">
        <f>"上益城郡益城町大字宮園４０８－２"</f>
        <v>上益城郡益城町大字宮園４０８－２</v>
      </c>
      <c r="E145" t="str">
        <f>"R06.01.29"</f>
        <v>R06.01.29</v>
      </c>
      <c r="F145" t="str">
        <f>"R11.12.31"</f>
        <v>R11.12.31</v>
      </c>
    </row>
    <row r="146" spans="1:6" x14ac:dyDescent="0.2">
      <c r="A146" t="str">
        <f>"第1544号"</f>
        <v>第1544号</v>
      </c>
      <c r="B146" t="str">
        <f>"有限会社フィール"</f>
        <v>有限会社フィール</v>
      </c>
      <c r="C146" t="str">
        <f>"甲佐薬局"</f>
        <v>甲佐薬局</v>
      </c>
      <c r="D146" t="str">
        <f>"上益城郡甲佐町岩下８７"</f>
        <v>上益城郡甲佐町岩下８７</v>
      </c>
      <c r="E146" t="str">
        <f>"R06.01.01"</f>
        <v>R06.01.01</v>
      </c>
      <c r="F146" t="str">
        <f>"R11.12.31"</f>
        <v>R11.12.31</v>
      </c>
    </row>
    <row r="147" spans="1:6" x14ac:dyDescent="0.2">
      <c r="A147" t="str">
        <f>"第2680号"</f>
        <v>第2680号</v>
      </c>
      <c r="B147" t="str">
        <f>"株式会社九州メディカルサポート"</f>
        <v>株式会社九州メディカルサポート</v>
      </c>
      <c r="C147" t="str">
        <f>"はままち薬局"</f>
        <v>はままち薬局</v>
      </c>
      <c r="D147" t="str">
        <f>"上益城郡山都町浜町２０２番地３"</f>
        <v>上益城郡山都町浜町２０２番地３</v>
      </c>
      <c r="E147" t="str">
        <f>"R07.04.01"</f>
        <v>R07.04.01</v>
      </c>
      <c r="F147" t="str">
        <f>"R13.03.31"</f>
        <v>R13.03.31</v>
      </c>
    </row>
    <row r="148" spans="1:6" x14ac:dyDescent="0.2">
      <c r="A148" t="str">
        <f>"第1495号"</f>
        <v>第1495号</v>
      </c>
      <c r="B148" t="str">
        <f>"有限会社まこと薬局"</f>
        <v>有限会社まこと薬局</v>
      </c>
      <c r="C148" t="str">
        <f>"まこと薬局"</f>
        <v>まこと薬局</v>
      </c>
      <c r="D148" t="str">
        <f>"上益城郡山都町菅尾１５４－１"</f>
        <v>上益城郡山都町菅尾１５４－１</v>
      </c>
      <c r="E148" t="str">
        <f>"R05.01.01"</f>
        <v>R05.01.01</v>
      </c>
      <c r="F148" t="str">
        <f>"R10.12.31"</f>
        <v>R10.12.31</v>
      </c>
    </row>
    <row r="149" spans="1:6" x14ac:dyDescent="0.2">
      <c r="A149" t="str">
        <f>"第2574号"</f>
        <v>第2574号</v>
      </c>
      <c r="B149" t="str">
        <f>"コストコホールセールジャパン株式会社"</f>
        <v>コストコホールセールジャパン株式会社</v>
      </c>
      <c r="C149" t="str">
        <f>"コストコホールセール熊本御船倉庫店薬局"</f>
        <v>コストコホールセール熊本御船倉庫店薬局</v>
      </c>
      <c r="D149" t="str">
        <f>"上益城郡御船町大字小坂字宮田６８９－１"</f>
        <v>上益城郡御船町大字小坂字宮田６８９－１</v>
      </c>
      <c r="E149" t="str">
        <f>"R03.02.26"</f>
        <v>R03.02.26</v>
      </c>
      <c r="F149" t="str">
        <f>"R09.02.25"</f>
        <v>R09.02.25</v>
      </c>
    </row>
    <row r="150" spans="1:6" x14ac:dyDescent="0.2">
      <c r="A150" t="str">
        <f>"第2587号"</f>
        <v>第2587号</v>
      </c>
      <c r="B150" t="str">
        <f>"彩美調剤株式会社"</f>
        <v>彩美調剤株式会社</v>
      </c>
      <c r="C150" t="str">
        <f>"オオルリ薬局"</f>
        <v>オオルリ薬局</v>
      </c>
      <c r="D150" t="str">
        <f>"上益城郡山都町浜町２１７番地３"</f>
        <v>上益城郡山都町浜町２１７番地３</v>
      </c>
      <c r="E150" t="str">
        <f>"R03.06.09"</f>
        <v>R03.06.09</v>
      </c>
      <c r="F150" t="str">
        <f>"R09.06.08"</f>
        <v>R09.06.08</v>
      </c>
    </row>
    <row r="151" spans="1:6" x14ac:dyDescent="0.2">
      <c r="A151" t="str">
        <f>"第2623号"</f>
        <v>第2623号</v>
      </c>
      <c r="B151" t="str">
        <f>"株式会社Ｗｉｓｄｏｍ"</f>
        <v>株式会社Ｗｉｓｄｏｍ</v>
      </c>
      <c r="C151" t="str">
        <f>"やまと薬局　嘉島店"</f>
        <v>やまと薬局　嘉島店</v>
      </c>
      <c r="D151" t="str">
        <f>"上益城郡嘉島町北甘木２０９４番１"</f>
        <v>上益城郡嘉島町北甘木２０９４番１</v>
      </c>
      <c r="E151" t="str">
        <f>"R05.07.01"</f>
        <v>R05.07.01</v>
      </c>
      <c r="F151" t="str">
        <f>"R10.12.31"</f>
        <v>R10.12.31</v>
      </c>
    </row>
    <row r="152" spans="1:6" x14ac:dyDescent="0.2">
      <c r="A152" t="str">
        <f>"第2529号"</f>
        <v>第2529号</v>
      </c>
      <c r="B152" t="str">
        <f>"株式会社水の里調剤薬局"</f>
        <v>株式会社水の里調剤薬局</v>
      </c>
      <c r="C152" t="str">
        <f>"水の里調剤薬局"</f>
        <v>水の里調剤薬局</v>
      </c>
      <c r="D152" t="str">
        <f>"上益城郡山都町城平８４５－１"</f>
        <v>上益城郡山都町城平８４５－１</v>
      </c>
      <c r="E152" t="str">
        <f>"R07.02.01"</f>
        <v>R07.02.01</v>
      </c>
      <c r="F152" t="str">
        <f>"R13.01.31"</f>
        <v>R13.01.31</v>
      </c>
    </row>
    <row r="153" spans="1:6" x14ac:dyDescent="0.2">
      <c r="A153" t="str">
        <f>"第2676号"</f>
        <v>第2676号</v>
      </c>
      <c r="B153" t="str">
        <f>"有限会社坂梨薬局"</f>
        <v>有限会社坂梨薬局</v>
      </c>
      <c r="C153" t="str">
        <f>"坂梨薬局"</f>
        <v>坂梨薬局</v>
      </c>
      <c r="D153" t="str">
        <f>"上益城郡山都町浜町１７０－１"</f>
        <v>上益城郡山都町浜町１７０－１</v>
      </c>
      <c r="E153" t="str">
        <f>"R07.01.25"</f>
        <v>R07.01.25</v>
      </c>
      <c r="F153" t="str">
        <f>"R12.12.31"</f>
        <v>R12.12.31</v>
      </c>
    </row>
    <row r="154" spans="1:6" x14ac:dyDescent="0.2">
      <c r="A154" t="str">
        <f>"第2543号"</f>
        <v>第2543号</v>
      </c>
      <c r="B154" t="str">
        <f>"株式会社アメックファーマシー"</f>
        <v>株式会社アメックファーマシー</v>
      </c>
      <c r="C154" t="str">
        <f>"こすもす薬局御船店"</f>
        <v>こすもす薬局御船店</v>
      </c>
      <c r="D154" t="str">
        <f>"上益城郡御船町御船９０２－２"</f>
        <v>上益城郡御船町御船９０２－２</v>
      </c>
      <c r="E154" t="str">
        <f>"R07.01.01"</f>
        <v>R07.01.01</v>
      </c>
      <c r="F154" t="str">
        <f>"R12.12.31"</f>
        <v>R12.12.31</v>
      </c>
    </row>
    <row r="155" spans="1:6" x14ac:dyDescent="0.2">
      <c r="A155" t="str">
        <f>"第2473号"</f>
        <v>第2473号</v>
      </c>
      <c r="B155" t="str">
        <f>"ＫＴＭ株式会社"</f>
        <v>ＫＴＭ株式会社</v>
      </c>
      <c r="C155" t="str">
        <f>"御船中央薬局"</f>
        <v>御船中央薬局</v>
      </c>
      <c r="D155" t="str">
        <f>"上益城郡御船町御船１０７１－２"</f>
        <v>上益城郡御船町御船１０７１－２</v>
      </c>
      <c r="E155" t="str">
        <f>"R04.11.01"</f>
        <v>R04.11.01</v>
      </c>
      <c r="F155" t="str">
        <f>"R10.10.31"</f>
        <v>R10.10.31</v>
      </c>
    </row>
    <row r="156" spans="1:6" x14ac:dyDescent="0.2">
      <c r="A156" t="str">
        <f>"第2555号"</f>
        <v>第2555号</v>
      </c>
      <c r="B156" t="str">
        <f>"アルファルマ株式会社"</f>
        <v>アルファルマ株式会社</v>
      </c>
      <c r="C156" t="str">
        <f>"共生薬局　嘉島店"</f>
        <v>共生薬局　嘉島店</v>
      </c>
      <c r="D156" t="str">
        <f>"上益城郡嘉島町大字上島字西塘添２２９７番１"</f>
        <v>上益城郡嘉島町大字上島字西塘添２２９７番１</v>
      </c>
      <c r="E156" t="str">
        <f>"R02.02.12"</f>
        <v>R02.02.12</v>
      </c>
      <c r="F156" t="str">
        <f>"R07.12.31"</f>
        <v>R07.12.31</v>
      </c>
    </row>
    <row r="157" spans="1:6" x14ac:dyDescent="0.2">
      <c r="A157" t="str">
        <f>"第1710号"</f>
        <v>第1710号</v>
      </c>
      <c r="B157" t="str">
        <f>"有限会社コーセイ商事"</f>
        <v>有限会社コーセイ商事</v>
      </c>
      <c r="C157" t="str">
        <f>"コーセイ薬局"</f>
        <v>コーセイ薬局</v>
      </c>
      <c r="D157" t="str">
        <f>"上益城郡甲佐町大字岩下１２３番地３"</f>
        <v>上益城郡甲佐町大字岩下１２３番地３</v>
      </c>
      <c r="E157" t="str">
        <f>"R05.01.01"</f>
        <v>R05.01.01</v>
      </c>
      <c r="F157" t="str">
        <f>"R10.12.31"</f>
        <v>R10.12.31</v>
      </c>
    </row>
    <row r="158" spans="1:6" x14ac:dyDescent="0.2">
      <c r="A158" t="str">
        <f>"第2607号"</f>
        <v>第2607号</v>
      </c>
      <c r="B158" t="str">
        <f>"株式会社西本真生堂"</f>
        <v>株式会社西本真生堂</v>
      </c>
      <c r="C158" t="str">
        <f>"西本真生堂薬局みふね店"</f>
        <v>西本真生堂薬局みふね店</v>
      </c>
      <c r="D158" t="str">
        <f>"上益城郡御船町御船９４８－４"</f>
        <v>上益城郡御船町御船９４８－４</v>
      </c>
      <c r="E158" t="str">
        <f>"R04.05.18"</f>
        <v>R04.05.18</v>
      </c>
      <c r="F158" t="str">
        <f>"R10.05.17"</f>
        <v>R10.05.17</v>
      </c>
    </row>
    <row r="159" spans="1:6" x14ac:dyDescent="0.2">
      <c r="A159" t="str">
        <f>"第2591号"</f>
        <v>第2591号</v>
      </c>
      <c r="B159" t="str">
        <f>"株式会社下川薬局"</f>
        <v>株式会社下川薬局</v>
      </c>
      <c r="C159" t="str">
        <f>"シモカワ広崎調剤薬局"</f>
        <v>シモカワ広崎調剤薬局</v>
      </c>
      <c r="D159" t="str">
        <f>"上益城郡益城町広崎１５７２－２"</f>
        <v>上益城郡益城町広崎１５７２－２</v>
      </c>
      <c r="E159" t="str">
        <f>"R03.08.18"</f>
        <v>R03.08.18</v>
      </c>
      <c r="F159" t="str">
        <f>"R08.12.31"</f>
        <v>R08.12.31</v>
      </c>
    </row>
    <row r="160" spans="1:6" x14ac:dyDescent="0.2">
      <c r="A160" t="str">
        <f>"第2357号"</f>
        <v>第2357号</v>
      </c>
      <c r="B160" t="str">
        <f>"有限会社蘇陽調剤薬局"</f>
        <v>有限会社蘇陽調剤薬局</v>
      </c>
      <c r="C160" t="str">
        <f>"蘇陽調剤薬局"</f>
        <v>蘇陽調剤薬局</v>
      </c>
      <c r="D160" t="str">
        <f>"上益城郡山都町滝上４６４－２"</f>
        <v>上益城郡山都町滝上４６４－２</v>
      </c>
      <c r="E160" t="str">
        <f>"R06.11.12"</f>
        <v>R06.11.12</v>
      </c>
      <c r="F160" t="str">
        <f>"R12.11.11"</f>
        <v>R12.11.11</v>
      </c>
    </row>
    <row r="161" spans="1:6" x14ac:dyDescent="0.2">
      <c r="A161" t="str">
        <f>"第2310号"</f>
        <v>第2310号</v>
      </c>
      <c r="B161" t="str">
        <f>"株式会社さつき薬局"</f>
        <v>株式会社さつき薬局</v>
      </c>
      <c r="C161" t="str">
        <f>"さつき薬局御船店"</f>
        <v>さつき薬局御船店</v>
      </c>
      <c r="D161" t="str">
        <f>"熊本県上益城郡御船町御船９３５番地１"</f>
        <v>熊本県上益城郡御船町御船９３５番地１</v>
      </c>
      <c r="E161" t="str">
        <f>"R05.01.01"</f>
        <v>R05.01.01</v>
      </c>
      <c r="F161" t="str">
        <f>"R10.12.31"</f>
        <v>R10.12.31</v>
      </c>
    </row>
    <row r="162" spans="1:6" x14ac:dyDescent="0.2">
      <c r="A162" t="str">
        <f>"第2498号"</f>
        <v>第2498号</v>
      </c>
      <c r="B162" t="str">
        <f>"有限会社マツヤファーマシー"</f>
        <v>有限会社マツヤファーマシー</v>
      </c>
      <c r="C162" t="str">
        <f>"かしま調剤薬局"</f>
        <v>かしま調剤薬局</v>
      </c>
      <c r="D162" t="str">
        <f>"上益城郡嘉島町鯰１８５５番地１"</f>
        <v>上益城郡嘉島町鯰１８５５番地１</v>
      </c>
      <c r="E162" t="str">
        <f>"R06.01.01"</f>
        <v>R06.01.01</v>
      </c>
      <c r="F162" t="str">
        <f>"R11.12.31"</f>
        <v>R11.12.31</v>
      </c>
    </row>
    <row r="163" spans="1:6" x14ac:dyDescent="0.2">
      <c r="A163" t="str">
        <f>"第2514号"</f>
        <v>第2514号</v>
      </c>
      <c r="B163" t="str">
        <f>"株式会社見行"</f>
        <v>株式会社見行</v>
      </c>
      <c r="C163" t="str">
        <f>"山都もみじ薬局"</f>
        <v>山都もみじ薬局</v>
      </c>
      <c r="D163" t="str">
        <f>"上益城郡山都町北中島字狐平２８０６番１"</f>
        <v>上益城郡山都町北中島字狐平２８０６番１</v>
      </c>
      <c r="E163" t="str">
        <f>"R06.07.01"</f>
        <v>R06.07.01</v>
      </c>
      <c r="F163" t="str">
        <f>"R12.06.30"</f>
        <v>R12.06.30</v>
      </c>
    </row>
    <row r="164" spans="1:6" x14ac:dyDescent="0.2">
      <c r="A164" t="str">
        <f>"第2650号"</f>
        <v>第2650号</v>
      </c>
      <c r="B164" t="str">
        <f>"有限会社メープル"</f>
        <v>有限会社メープル</v>
      </c>
      <c r="C164" t="str">
        <f>"めーぷる薬局"</f>
        <v>めーぷる薬局</v>
      </c>
      <c r="D164" t="str">
        <f>"上益城郡益城町惣領字木神１５１７番地６"</f>
        <v>上益城郡益城町惣領字木神１５１７番地６</v>
      </c>
      <c r="E164" t="str">
        <f>"R06.03.25"</f>
        <v>R06.03.25</v>
      </c>
      <c r="F164" t="str">
        <f>"R11.12.31"</f>
        <v>R11.12.31</v>
      </c>
    </row>
    <row r="165" spans="1:6" x14ac:dyDescent="0.2">
      <c r="A165" t="str">
        <f>"第2337号"</f>
        <v>第2337号</v>
      </c>
      <c r="B165" t="str">
        <f>"有限会社カワグチ薬局"</f>
        <v>有限会社カワグチ薬局</v>
      </c>
      <c r="C165" t="str">
        <f>"有限会社　カワグチ薬局　御船店"</f>
        <v>有限会社　カワグチ薬局　御船店</v>
      </c>
      <c r="D165" t="str">
        <f>"上益城郡御船町木倉１１８４－６"</f>
        <v>上益城郡御船町木倉１１８４－６</v>
      </c>
      <c r="E165" t="str">
        <f>"R06.01.01"</f>
        <v>R06.01.01</v>
      </c>
      <c r="F165" t="str">
        <f>"R11.12.31"</f>
        <v>R11.12.31</v>
      </c>
    </row>
    <row r="166" spans="1:6" x14ac:dyDescent="0.2">
      <c r="A166" t="str">
        <f>"第1232号"</f>
        <v>第1232号</v>
      </c>
      <c r="B166" t="str">
        <f>"有限会社御船薬局"</f>
        <v>有限会社御船薬局</v>
      </c>
      <c r="C166" t="str">
        <f>"有限会社御船薬局"</f>
        <v>有限会社御船薬局</v>
      </c>
      <c r="D166" t="str">
        <f>"上益城郡御船町辺田見４１０－１－２"</f>
        <v>上益城郡御船町辺田見４１０－１－２</v>
      </c>
      <c r="E166" t="str">
        <f>"R06.01.01"</f>
        <v>R06.01.01</v>
      </c>
      <c r="F166" t="str">
        <f>"R11.12.31"</f>
        <v>R11.12.31</v>
      </c>
    </row>
    <row r="167" spans="1:6" x14ac:dyDescent="0.2">
      <c r="A167" t="str">
        <f>"第1310号"</f>
        <v>第1310号</v>
      </c>
      <c r="B167" t="str">
        <f>"有限会社峰正商事"</f>
        <v>有限会社峰正商事</v>
      </c>
      <c r="C167" t="str">
        <f>"三恵薬局甲佐店"</f>
        <v>三恵薬局甲佐店</v>
      </c>
      <c r="D167" t="str">
        <f>"上益城郡甲佐町大字緑町字中野３２９番２号"</f>
        <v>上益城郡甲佐町大字緑町字中野３２９番２号</v>
      </c>
      <c r="E167" t="str">
        <f>"R05.04.22"</f>
        <v>R05.04.22</v>
      </c>
      <c r="F167" t="str">
        <f>"R11.04.21"</f>
        <v>R11.04.21</v>
      </c>
    </row>
    <row r="168" spans="1:6" x14ac:dyDescent="0.2">
      <c r="A168" t="str">
        <f>"第1084号"</f>
        <v>第1084号</v>
      </c>
      <c r="B168" t="str">
        <f>"有限会社みすみや薬局"</f>
        <v>有限会社みすみや薬局</v>
      </c>
      <c r="C168" t="str">
        <f>"みすみや薬局本店"</f>
        <v>みすみや薬局本店</v>
      </c>
      <c r="D168" t="str">
        <f>"上益城郡御船町滝川１０５３番地"</f>
        <v>上益城郡御船町滝川１０５３番地</v>
      </c>
      <c r="E168" t="str">
        <f>"R05.01.01"</f>
        <v>R05.01.01</v>
      </c>
      <c r="F168" t="str">
        <f>"R10.12.31"</f>
        <v>R10.12.31</v>
      </c>
    </row>
    <row r="169" spans="1:6" x14ac:dyDescent="0.2">
      <c r="A169" t="str">
        <f>"第1085号"</f>
        <v>第1085号</v>
      </c>
      <c r="B169" t="str">
        <f>"有限会社みすみや薬局"</f>
        <v>有限会社みすみや薬局</v>
      </c>
      <c r="C169" t="str">
        <f>"みすみや薬局"</f>
        <v>みすみや薬局</v>
      </c>
      <c r="D169" t="str">
        <f>"上益城郡御船町大字御船１０７４番地"</f>
        <v>上益城郡御船町大字御船１０７４番地</v>
      </c>
      <c r="E169" t="str">
        <f>"R05.01.01"</f>
        <v>R05.01.01</v>
      </c>
      <c r="F169" t="str">
        <f>"R10.12.31"</f>
        <v>R10.12.31</v>
      </c>
    </row>
    <row r="170" spans="1:6" x14ac:dyDescent="0.2">
      <c r="A170" t="str">
        <f>"第1645号"</f>
        <v>第1645号</v>
      </c>
      <c r="B170" t="str">
        <f>"株式会社さつき薬局"</f>
        <v>株式会社さつき薬局</v>
      </c>
      <c r="C170" t="str">
        <f>"さつき薬局嘉島店"</f>
        <v>さつき薬局嘉島店</v>
      </c>
      <c r="D170" t="str">
        <f>"上益城郡嘉島町北甘木２０２７－２"</f>
        <v>上益城郡嘉島町北甘木２０２７－２</v>
      </c>
      <c r="E170" t="str">
        <f>"R04.09.16"</f>
        <v>R04.09.16</v>
      </c>
      <c r="F170" t="str">
        <f>"R10.09.15"</f>
        <v>R10.09.15</v>
      </c>
    </row>
    <row r="171" spans="1:6" x14ac:dyDescent="0.2">
      <c r="A171" t="str">
        <f>"第1658号"</f>
        <v>第1658号</v>
      </c>
      <c r="B171" t="str">
        <f>"有限会社いいの薬局"</f>
        <v>有限会社いいの薬局</v>
      </c>
      <c r="C171" t="str">
        <f>"いいの薬局"</f>
        <v>いいの薬局</v>
      </c>
      <c r="D171" t="str">
        <f>"上益城郡益城町砥川１７２０"</f>
        <v>上益城郡益城町砥川１７２０</v>
      </c>
      <c r="E171" t="str">
        <f>"R04.10.30"</f>
        <v>R04.10.30</v>
      </c>
      <c r="F171" t="str">
        <f>"R10.10.29"</f>
        <v>R10.10.29</v>
      </c>
    </row>
    <row r="172" spans="1:6" x14ac:dyDescent="0.2">
      <c r="A172" t="str">
        <f>"第2611号"</f>
        <v>第2611号</v>
      </c>
      <c r="B172" t="str">
        <f>"ＭＫファーマシー株式会社"</f>
        <v>ＭＫファーマシー株式会社</v>
      </c>
      <c r="C172" t="str">
        <f>"かんな薬局"</f>
        <v>かんな薬局</v>
      </c>
      <c r="D172" t="str">
        <f>"上益城郡益城町馬水８０５番地２"</f>
        <v>上益城郡益城町馬水８０５番地２</v>
      </c>
      <c r="E172" t="str">
        <f>"R04.08.01"</f>
        <v>R04.08.01</v>
      </c>
      <c r="F172" t="str">
        <f>"R10.07.31"</f>
        <v>R10.07.31</v>
      </c>
    </row>
    <row r="173" spans="1:6" x14ac:dyDescent="0.2">
      <c r="A173" t="str">
        <f>"第2433号"</f>
        <v>第2433号</v>
      </c>
      <c r="B173" t="str">
        <f>"有限会社プロドラッグ"</f>
        <v>有限会社プロドラッグ</v>
      </c>
      <c r="C173" t="str">
        <f>"エリア調剤薬局西松江城店"</f>
        <v>エリア調剤薬局西松江城店</v>
      </c>
      <c r="D173" t="str">
        <f>"八代市西松江城町４番２７号"</f>
        <v>八代市西松江城町４番２７号</v>
      </c>
      <c r="E173" t="str">
        <f>"R03.01.01"</f>
        <v>R03.01.01</v>
      </c>
      <c r="F173" t="str">
        <f>"R08.12.31"</f>
        <v>R08.12.31</v>
      </c>
    </row>
    <row r="174" spans="1:6" x14ac:dyDescent="0.2">
      <c r="A174" t="str">
        <f>"第2561号"</f>
        <v>第2561号</v>
      </c>
      <c r="B174" t="str">
        <f>"日本調剤株式会社"</f>
        <v>日本調剤株式会社</v>
      </c>
      <c r="C174" t="str">
        <f>"日本調剤　八代薬局"</f>
        <v>日本調剤　八代薬局</v>
      </c>
      <c r="D174" t="str">
        <f>"八代市本町２丁目３－２１"</f>
        <v>八代市本町２丁目３－２１</v>
      </c>
      <c r="E174" t="str">
        <f>"R02.05.01"</f>
        <v>R02.05.01</v>
      </c>
      <c r="F174" t="str">
        <f>"R08.04.30"</f>
        <v>R08.04.30</v>
      </c>
    </row>
    <row r="175" spans="1:6" x14ac:dyDescent="0.2">
      <c r="A175" t="str">
        <f>"第2641号"</f>
        <v>第2641号</v>
      </c>
      <c r="B175" t="str">
        <f>"さくら薬局株式会社"</f>
        <v>さくら薬局株式会社</v>
      </c>
      <c r="C175" t="str">
        <f>"さくら調剤薬局　八代本町店"</f>
        <v>さくら調剤薬局　八代本町店</v>
      </c>
      <c r="D175" t="str">
        <f>"八代市本町１丁目８－８"</f>
        <v>八代市本町１丁目８－８</v>
      </c>
      <c r="E175" t="str">
        <f t="shared" ref="E175:E177" si="0">"R05.11.01"</f>
        <v>R05.11.01</v>
      </c>
      <c r="F175" t="str">
        <f>"R11.10.31"</f>
        <v>R11.10.31</v>
      </c>
    </row>
    <row r="176" spans="1:6" x14ac:dyDescent="0.2">
      <c r="A176" t="str">
        <f>"第2640号"</f>
        <v>第2640号</v>
      </c>
      <c r="B176" t="str">
        <f>"さくら薬局株式会社"</f>
        <v>さくら薬局株式会社</v>
      </c>
      <c r="C176" t="str">
        <f>"さくら調剤薬局　竹原店"</f>
        <v>さくら調剤薬局　竹原店</v>
      </c>
      <c r="D176" t="str">
        <f>"八代市竹原町１４３９－９"</f>
        <v>八代市竹原町１４３９－９</v>
      </c>
      <c r="E176" t="str">
        <f t="shared" si="0"/>
        <v>R05.11.01</v>
      </c>
      <c r="F176" t="str">
        <f>"R11.10.31"</f>
        <v>R11.10.31</v>
      </c>
    </row>
    <row r="177" spans="1:6" x14ac:dyDescent="0.2">
      <c r="A177" t="str">
        <f>"第2642号"</f>
        <v>第2642号</v>
      </c>
      <c r="B177" t="str">
        <f>"さくら薬局株式会社"</f>
        <v>さくら薬局株式会社</v>
      </c>
      <c r="C177" t="str">
        <f>"さくら調剤薬局　臨港店"</f>
        <v>さくら調剤薬局　臨港店</v>
      </c>
      <c r="D177" t="str">
        <f>"八代市大村町字溝口３４４－１"</f>
        <v>八代市大村町字溝口３４４－１</v>
      </c>
      <c r="E177" t="str">
        <f t="shared" si="0"/>
        <v>R05.11.01</v>
      </c>
      <c r="F177" t="str">
        <f>"R11.10.31"</f>
        <v>R11.10.31</v>
      </c>
    </row>
    <row r="178" spans="1:6" x14ac:dyDescent="0.2">
      <c r="A178" t="str">
        <f>"第2123号"</f>
        <v>第2123号</v>
      </c>
      <c r="B178" t="str">
        <f>"有限会社プロドラッグ"</f>
        <v>有限会社プロドラッグ</v>
      </c>
      <c r="C178" t="str">
        <f>"エリア調剤薬局旭中央通店"</f>
        <v>エリア調剤薬局旭中央通店</v>
      </c>
      <c r="D178" t="str">
        <f>"八代市旭中央通１８番４"</f>
        <v>八代市旭中央通１８番４</v>
      </c>
      <c r="E178" t="str">
        <f>"R02.01.01"</f>
        <v>R02.01.01</v>
      </c>
      <c r="F178" t="str">
        <f>"R07.12.31"</f>
        <v>R07.12.31</v>
      </c>
    </row>
    <row r="179" spans="1:6" x14ac:dyDescent="0.2">
      <c r="A179" t="str">
        <f>"第2370号"</f>
        <v>第2370号</v>
      </c>
      <c r="B179" t="str">
        <f>"日本調剤株式会社"</f>
        <v>日本調剤株式会社</v>
      </c>
      <c r="C179" t="str">
        <f>"日本調剤通町薬局"</f>
        <v>日本調剤通町薬局</v>
      </c>
      <c r="D179" t="str">
        <f>"熊本県八代市通町８－２７"</f>
        <v>熊本県八代市通町８－２７</v>
      </c>
      <c r="E179" t="str">
        <f>"R07.01.11"</f>
        <v>R07.01.11</v>
      </c>
      <c r="F179" t="str">
        <f>"R13.01.10"</f>
        <v>R13.01.10</v>
      </c>
    </row>
    <row r="180" spans="1:6" x14ac:dyDescent="0.2">
      <c r="A180" t="str">
        <f>"第2597号"</f>
        <v>第2597号</v>
      </c>
      <c r="B180" t="str">
        <f>"株式会社ハートフェルト"</f>
        <v>株式会社ハートフェルト</v>
      </c>
      <c r="C180" t="str">
        <f>"八代はぎわら薬局"</f>
        <v>八代はぎわら薬局</v>
      </c>
      <c r="D180" t="str">
        <f>"八代市萩原町二丁目１１－２"</f>
        <v>八代市萩原町二丁目１１－２</v>
      </c>
      <c r="E180" t="str">
        <f>"R03.12.01"</f>
        <v>R03.12.01</v>
      </c>
      <c r="F180" t="str">
        <f>"R09.11.30"</f>
        <v>R09.11.30</v>
      </c>
    </row>
    <row r="181" spans="1:6" x14ac:dyDescent="0.2">
      <c r="A181" t="str">
        <f>"第2507号"</f>
        <v>第2507号</v>
      </c>
      <c r="B181" t="str">
        <f>"合同会社樹"</f>
        <v>合同会社樹</v>
      </c>
      <c r="C181" t="str">
        <f>"いつき薬局"</f>
        <v>いつき薬局</v>
      </c>
      <c r="D181" t="str">
        <f>"八代市田中西町１－３－５"</f>
        <v>八代市田中西町１－３－５</v>
      </c>
      <c r="E181" t="str">
        <f>"R06.01.01"</f>
        <v>R06.01.01</v>
      </c>
      <c r="F181" t="str">
        <f>"R11.12.31"</f>
        <v>R11.12.31</v>
      </c>
    </row>
    <row r="182" spans="1:6" x14ac:dyDescent="0.2">
      <c r="A182" t="str">
        <f>"第1118号"</f>
        <v>第1118号</v>
      </c>
      <c r="B182" t="str">
        <f>"有限会社新光調剤薬局"</f>
        <v>有限会社新光調剤薬局</v>
      </c>
      <c r="C182" t="str">
        <f>"有限会社新光調剤薬局"</f>
        <v>有限会社新光調剤薬局</v>
      </c>
      <c r="D182" t="str">
        <f>"八代市鏡町下有佐４５番地６"</f>
        <v>八代市鏡町下有佐４５番地６</v>
      </c>
      <c r="E182" t="str">
        <f>"R06.01.01"</f>
        <v>R06.01.01</v>
      </c>
      <c r="F182" t="str">
        <f>"R11.12.31"</f>
        <v>R11.12.31</v>
      </c>
    </row>
    <row r="183" spans="1:6" x14ac:dyDescent="0.2">
      <c r="A183" t="str">
        <f>"第2698号"</f>
        <v>第2698号</v>
      </c>
      <c r="B183" t="str">
        <f>"アロハライフ株式会社"</f>
        <v>アロハライフ株式会社</v>
      </c>
      <c r="C183" t="str">
        <f>"アロハ薬局　氷川店"</f>
        <v>アロハ薬局　氷川店</v>
      </c>
      <c r="D183" t="str">
        <f>"八代郡氷川町宮原６９０番１"</f>
        <v>八代郡氷川町宮原６９０番１</v>
      </c>
      <c r="E183" t="str">
        <f>"R07.09.01"</f>
        <v>R07.09.01</v>
      </c>
      <c r="F183" t="str">
        <f>"R13.08.31"</f>
        <v>R13.08.31</v>
      </c>
    </row>
    <row r="184" spans="1:6" x14ac:dyDescent="0.2">
      <c r="A184" t="str">
        <f>"第2348号"</f>
        <v>第2348号</v>
      </c>
      <c r="B184" t="str">
        <f>"総合メディカル株式会社"</f>
        <v>総合メディカル株式会社</v>
      </c>
      <c r="C184" t="str">
        <f>"そうごう薬局八代竹原店"</f>
        <v>そうごう薬局八代竹原店</v>
      </c>
      <c r="D184" t="str">
        <f>"八代市竹原町１６５８番２"</f>
        <v>八代市竹原町１６５８番２</v>
      </c>
      <c r="E184" t="str">
        <f>"R06.10.01"</f>
        <v>R06.10.01</v>
      </c>
      <c r="F184" t="str">
        <f>"R12.09.30"</f>
        <v>R12.09.30</v>
      </c>
    </row>
    <row r="185" spans="1:6" x14ac:dyDescent="0.2">
      <c r="A185" t="str">
        <f>"第2512号"</f>
        <v>第2512号</v>
      </c>
      <c r="B185" t="str">
        <f>"有限会社プロドラッグ"</f>
        <v>有限会社プロドラッグ</v>
      </c>
      <c r="C185" t="str">
        <f>"エリア調剤薬局　日置店"</f>
        <v>エリア調剤薬局　日置店</v>
      </c>
      <c r="D185" t="str">
        <f>"八代市日置町１５０番地２"</f>
        <v>八代市日置町１５０番地２</v>
      </c>
      <c r="E185" t="str">
        <f>"R06.01.01"</f>
        <v>R06.01.01</v>
      </c>
      <c r="F185" t="str">
        <f>"R11.12.31"</f>
        <v>R11.12.31</v>
      </c>
    </row>
    <row r="186" spans="1:6" x14ac:dyDescent="0.2">
      <c r="A186" t="str">
        <f>"第1767号"</f>
        <v>第1767号</v>
      </c>
      <c r="B186" t="str">
        <f>"有限会社プロドラッグ"</f>
        <v>有限会社プロドラッグ</v>
      </c>
      <c r="C186" t="str">
        <f>"修徳調剤薬局"</f>
        <v>修徳調剤薬局</v>
      </c>
      <c r="D186" t="str">
        <f>"八代市塩屋町４番４６号"</f>
        <v>八代市塩屋町４番４６号</v>
      </c>
      <c r="E186" t="str">
        <f>"R06.11.21"</f>
        <v>R06.11.21</v>
      </c>
      <c r="F186" t="str">
        <f>"R12.11.20"</f>
        <v>R12.11.20</v>
      </c>
    </row>
    <row r="187" spans="1:6" x14ac:dyDescent="0.2">
      <c r="A187" t="str">
        <f>"第2696号"</f>
        <v>第2696号</v>
      </c>
      <c r="B187" t="str">
        <f>"株式会社クマモトメディカル"</f>
        <v>株式会社クマモトメディカル</v>
      </c>
      <c r="C187" t="str">
        <f>"本町調剤薬局"</f>
        <v>本町調剤薬局</v>
      </c>
      <c r="D187" t="str">
        <f>"八代市本町１丁目７－６５"</f>
        <v>八代市本町１丁目７－６５</v>
      </c>
      <c r="E187" t="str">
        <f>"R07.07.22"</f>
        <v>R07.07.22</v>
      </c>
      <c r="F187" t="str">
        <f>"R13.07.21"</f>
        <v>R13.07.21</v>
      </c>
    </row>
    <row r="188" spans="1:6" x14ac:dyDescent="0.2">
      <c r="A188" t="str">
        <f>"第2687号"</f>
        <v>第2687号</v>
      </c>
      <c r="B188" t="str">
        <f>"株式会社とみた薬局"</f>
        <v>株式会社とみた薬局</v>
      </c>
      <c r="C188" t="str">
        <f>"堤薬局"</f>
        <v>堤薬局</v>
      </c>
      <c r="D188" t="str">
        <f>"八代市鏡町鏡５３番地"</f>
        <v>八代市鏡町鏡５３番地</v>
      </c>
      <c r="E188" t="str">
        <f>"R07.04.01"</f>
        <v>R07.04.01</v>
      </c>
      <c r="F188" t="str">
        <f>"R13.03.31"</f>
        <v>R13.03.31</v>
      </c>
    </row>
    <row r="189" spans="1:6" x14ac:dyDescent="0.2">
      <c r="A189" t="str">
        <f>"第2442号"</f>
        <v>第2442号</v>
      </c>
      <c r="B189" t="str">
        <f>"株式会社とみた薬局"</f>
        <v>株式会社とみた薬局</v>
      </c>
      <c r="C189" t="str">
        <f>"新八代駅前薬局"</f>
        <v>新八代駅前薬局</v>
      </c>
      <c r="D189" t="str">
        <f>"八代市上日置町４４４７－１１"</f>
        <v>八代市上日置町４４４７－１１</v>
      </c>
      <c r="E189" t="str">
        <f>"R03.06.16"</f>
        <v>R03.06.16</v>
      </c>
      <c r="F189" t="str">
        <f>"R09.06.15"</f>
        <v>R09.06.15</v>
      </c>
    </row>
    <row r="190" spans="1:6" x14ac:dyDescent="0.2">
      <c r="A190" t="str">
        <f>"第2455号"</f>
        <v>第2455号</v>
      </c>
      <c r="B190" t="str">
        <f>"一般社団法人八代薬剤師会"</f>
        <v>一般社団法人八代薬剤師会</v>
      </c>
      <c r="C190" t="str">
        <f>"八代薬剤師会センター薬局"</f>
        <v>八代薬剤師会センター薬局</v>
      </c>
      <c r="D190" t="str">
        <f>"八代郡氷川町今西作１５０番地２"</f>
        <v>八代郡氷川町今西作１５０番地２</v>
      </c>
      <c r="E190" t="str">
        <f>"R04.01.01"</f>
        <v>R04.01.01</v>
      </c>
      <c r="F190" t="str">
        <f>"R09.12.31"</f>
        <v>R09.12.31</v>
      </c>
    </row>
    <row r="191" spans="1:6" x14ac:dyDescent="0.2">
      <c r="A191" t="str">
        <f>"第2584号"</f>
        <v>第2584号</v>
      </c>
      <c r="B191" t="str">
        <f>"株式会社クマモトメディカル"</f>
        <v>株式会社クマモトメディカル</v>
      </c>
      <c r="C191" t="str">
        <f>"ふくろ町調剤薬局"</f>
        <v>ふくろ町調剤薬局</v>
      </c>
      <c r="D191" t="str">
        <f>"八代市袋町１番４１号"</f>
        <v>八代市袋町１番４１号</v>
      </c>
      <c r="E191" t="str">
        <f>"R03.04.08"</f>
        <v>R03.04.08</v>
      </c>
      <c r="F191" t="str">
        <f>"R08.12.31"</f>
        <v>R08.12.31</v>
      </c>
    </row>
    <row r="192" spans="1:6" x14ac:dyDescent="0.2">
      <c r="A192" t="str">
        <f>"第2233号"</f>
        <v>第2233号</v>
      </c>
      <c r="B192" t="str">
        <f>"株式会社クマモトメディカル"</f>
        <v>株式会社クマモトメディカル</v>
      </c>
      <c r="C192" t="str">
        <f>"大手町薬局"</f>
        <v>大手町薬局</v>
      </c>
      <c r="D192" t="str">
        <f>"八代市大手町２丁目１０－１３"</f>
        <v>八代市大手町２丁目１０－１３</v>
      </c>
      <c r="E192" t="str">
        <f>"R04.01.01"</f>
        <v>R04.01.01</v>
      </c>
      <c r="F192" t="str">
        <f>"R09.12.31"</f>
        <v>R09.12.31</v>
      </c>
    </row>
    <row r="193" spans="1:6" x14ac:dyDescent="0.2">
      <c r="A193" t="str">
        <f>"第1427号"</f>
        <v>第1427号</v>
      </c>
      <c r="B193" t="str">
        <f>"有限会社中村薬局"</f>
        <v>有限会社中村薬局</v>
      </c>
      <c r="C193" t="str">
        <f>"中村調剤薬局"</f>
        <v>中村調剤薬局</v>
      </c>
      <c r="D193" t="str">
        <f>"八代市松江町１６６"</f>
        <v>八代市松江町１６６</v>
      </c>
      <c r="E193" t="str">
        <f>"R04.01.01"</f>
        <v>R04.01.01</v>
      </c>
      <c r="F193" t="str">
        <f>"R09.12.31"</f>
        <v>R09.12.31</v>
      </c>
    </row>
    <row r="194" spans="1:6" x14ac:dyDescent="0.2">
      <c r="A194" t="str">
        <f>"第1982号"</f>
        <v>第1982号</v>
      </c>
      <c r="B194" t="str">
        <f>"イオン九州株式会社"</f>
        <v>イオン九州株式会社</v>
      </c>
      <c r="C194" t="str">
        <f>"イオン薬局　八代店"</f>
        <v>イオン薬局　八代店</v>
      </c>
      <c r="D194" t="str">
        <f>"八代市沖町六番割３９８７－３"</f>
        <v>八代市沖町六番割３９８７－３</v>
      </c>
      <c r="E194" t="str">
        <f>"R04.01.01"</f>
        <v>R04.01.01</v>
      </c>
      <c r="F194" t="str">
        <f>"R09.12.31"</f>
        <v>R09.12.31</v>
      </c>
    </row>
    <row r="195" spans="1:6" x14ac:dyDescent="0.2">
      <c r="A195" t="str">
        <f>"第2629号"</f>
        <v>第2629号</v>
      </c>
      <c r="B195" t="str">
        <f>"有限会社ヤマダ"</f>
        <v>有限会社ヤマダ</v>
      </c>
      <c r="C195" t="str">
        <f>"鏡調剤薬局　県道１４号店"</f>
        <v>鏡調剤薬局　県道１４号店</v>
      </c>
      <c r="D195" t="str">
        <f>"八代市鏡町鏡村９１８番地４"</f>
        <v>八代市鏡町鏡村９１８番地４</v>
      </c>
      <c r="E195" t="str">
        <f>"R05.08.18"</f>
        <v>R05.08.18</v>
      </c>
      <c r="F195" t="str">
        <f>"R11.08.17"</f>
        <v>R11.08.17</v>
      </c>
    </row>
    <row r="196" spans="1:6" x14ac:dyDescent="0.2">
      <c r="A196" t="str">
        <f>"第2570号"</f>
        <v>第2570号</v>
      </c>
      <c r="B196" t="str">
        <f>"有限会社コムス"</f>
        <v>有限会社コムス</v>
      </c>
      <c r="C196" t="str">
        <f>"ヱビス薬局本町店"</f>
        <v>ヱビス薬局本町店</v>
      </c>
      <c r="D196" t="str">
        <f>"八代市本町２丁目４号６３番"</f>
        <v>八代市本町２丁目４号６３番</v>
      </c>
      <c r="E196" t="str">
        <f>"R02.11.06"</f>
        <v>R02.11.06</v>
      </c>
      <c r="F196" t="str">
        <f>"R08.11.05"</f>
        <v>R08.11.05</v>
      </c>
    </row>
    <row r="197" spans="1:6" x14ac:dyDescent="0.2">
      <c r="A197" t="str">
        <f>"第1789号"</f>
        <v>第1789号</v>
      </c>
      <c r="B197" t="str">
        <f>"有限会社エムアンドケイ"</f>
        <v>有限会社エムアンドケイ</v>
      </c>
      <c r="C197" t="str">
        <f>"きむら調剤薬局"</f>
        <v>きむら調剤薬局</v>
      </c>
      <c r="D197" t="str">
        <f>"熊本県八代市千丁町吉王丸１５９７番地１"</f>
        <v>熊本県八代市千丁町吉王丸１５９７番地１</v>
      </c>
      <c r="E197" t="str">
        <f>"R07.05.16"</f>
        <v>R07.05.16</v>
      </c>
      <c r="F197" t="str">
        <f>"R13.05.15"</f>
        <v>R13.05.15</v>
      </c>
    </row>
    <row r="198" spans="1:6" x14ac:dyDescent="0.2">
      <c r="A198" t="str">
        <f>"第1865号"</f>
        <v>第1865号</v>
      </c>
      <c r="B198" t="str">
        <f>"有限会社　レメット"</f>
        <v>有限会社　レメット</v>
      </c>
      <c r="C198" t="str">
        <f>"はすわ薬局"</f>
        <v>はすわ薬局</v>
      </c>
      <c r="D198" t="str">
        <f>"八代市大村町１１１３番地４"</f>
        <v>八代市大村町１１１３番地４</v>
      </c>
      <c r="E198" t="str">
        <f>"R02.09.04"</f>
        <v>R02.09.04</v>
      </c>
      <c r="F198" t="str">
        <f>"R08.09.03"</f>
        <v>R08.09.03</v>
      </c>
    </row>
    <row r="199" spans="1:6" x14ac:dyDescent="0.2">
      <c r="A199" t="str">
        <f>"第2490号"</f>
        <v>第2490号</v>
      </c>
      <c r="B199" t="str">
        <f>"株式会社クマモトメディカル"</f>
        <v>株式会社クマモトメディカル</v>
      </c>
      <c r="C199" t="str">
        <f>"大村調剤薬局"</f>
        <v>大村調剤薬局</v>
      </c>
      <c r="D199" t="str">
        <f>"八代市大村町７２０－３"</f>
        <v>八代市大村町７２０－３</v>
      </c>
      <c r="E199" t="str">
        <f>"R05.01.01"</f>
        <v>R05.01.01</v>
      </c>
      <c r="F199" t="str">
        <f>"R10.12.31"</f>
        <v>R10.12.31</v>
      </c>
    </row>
    <row r="200" spans="1:6" x14ac:dyDescent="0.2">
      <c r="A200" t="str">
        <f>"第2509号"</f>
        <v>第2509号</v>
      </c>
      <c r="B200" t="str">
        <f>"有限会社ＭＥＴ"</f>
        <v>有限会社ＭＥＴ</v>
      </c>
      <c r="C200" t="str">
        <f>"三気堂薬局　八代店"</f>
        <v>三気堂薬局　八代店</v>
      </c>
      <c r="D200" t="str">
        <f>"八代市松江町字新開４８４－５"</f>
        <v>八代市松江町字新開４８４－５</v>
      </c>
      <c r="E200" t="str">
        <f>"R06.04.17"</f>
        <v>R06.04.17</v>
      </c>
      <c r="F200" t="str">
        <f>"R12.04.16"</f>
        <v>R12.04.16</v>
      </c>
    </row>
    <row r="201" spans="1:6" x14ac:dyDescent="0.2">
      <c r="A201" t="str">
        <f>"第903号"</f>
        <v>第903号</v>
      </c>
      <c r="B201" t="str">
        <f>"有限会社宮原調剤薬局"</f>
        <v>有限会社宮原調剤薬局</v>
      </c>
      <c r="C201" t="str">
        <f>"有限会社宮原調剤薬局"</f>
        <v>有限会社宮原調剤薬局</v>
      </c>
      <c r="D201" t="str">
        <f>"八代郡氷川町宮原６９４－１０"</f>
        <v>八代郡氷川町宮原６９４－１０</v>
      </c>
      <c r="E201" t="str">
        <f>"R05.12.14"</f>
        <v>R05.12.14</v>
      </c>
      <c r="F201" t="str">
        <f>"R11.12.13"</f>
        <v>R11.12.13</v>
      </c>
    </row>
    <row r="202" spans="1:6" x14ac:dyDescent="0.2">
      <c r="A202" t="str">
        <f>"第2376号"</f>
        <v>第2376号</v>
      </c>
      <c r="B202" t="str">
        <f>"古川メディカル株式会社"</f>
        <v>古川メディカル株式会社</v>
      </c>
      <c r="C202" t="str">
        <f>"東洋調剤薬局氷川店"</f>
        <v>東洋調剤薬局氷川店</v>
      </c>
      <c r="D202" t="str">
        <f>"八代郡氷川町鹿島７７６－３"</f>
        <v>八代郡氷川町鹿島７７６－３</v>
      </c>
      <c r="E202" t="str">
        <f>"R07.04.01"</f>
        <v>R07.04.01</v>
      </c>
      <c r="F202" t="str">
        <f>"R13.03.31"</f>
        <v>R13.03.31</v>
      </c>
    </row>
    <row r="203" spans="1:6" x14ac:dyDescent="0.2">
      <c r="A203" t="str">
        <f>"第2489号"</f>
        <v>第2489号</v>
      </c>
      <c r="B203" t="str">
        <f>"株式会社下川薬局"</f>
        <v>株式会社下川薬局</v>
      </c>
      <c r="C203" t="str">
        <f>"総合病院前調剤薬局"</f>
        <v>総合病院前調剤薬局</v>
      </c>
      <c r="D203" t="str">
        <f>"八代市通町１０番４７号"</f>
        <v>八代市通町１０番４７号</v>
      </c>
      <c r="E203" t="str">
        <f>"R05.01.01"</f>
        <v>R05.01.01</v>
      </c>
      <c r="F203" t="str">
        <f>"R10.12.31"</f>
        <v>R10.12.31</v>
      </c>
    </row>
    <row r="204" spans="1:6" x14ac:dyDescent="0.2">
      <c r="A204" t="str">
        <f>"第1810号"</f>
        <v>第1810号</v>
      </c>
      <c r="B204" t="str">
        <f>"株式会社下川薬局"</f>
        <v>株式会社下川薬局</v>
      </c>
      <c r="C204" t="str">
        <f>"労災病院前調剤薬局"</f>
        <v>労災病院前調剤薬局</v>
      </c>
      <c r="D204" t="str">
        <f>"八代市竹原町１６５８－１"</f>
        <v>八代市竹原町１６５８－１</v>
      </c>
      <c r="E204" t="str">
        <f>"R01.11.21"</f>
        <v>R01.11.21</v>
      </c>
      <c r="F204" t="str">
        <f>"R07.11.20"</f>
        <v>R07.11.20</v>
      </c>
    </row>
    <row r="205" spans="1:6" x14ac:dyDescent="0.2">
      <c r="A205" t="str">
        <f>"第1670号"</f>
        <v>第1670号</v>
      </c>
      <c r="B205" t="str">
        <f>"有限会社エム"</f>
        <v>有限会社エム</v>
      </c>
      <c r="C205" t="str">
        <f>"にしき町調剤薬局"</f>
        <v>にしき町調剤薬局</v>
      </c>
      <c r="D205" t="str">
        <f>"八代市錦町９－６"</f>
        <v>八代市錦町９－６</v>
      </c>
      <c r="E205" t="str">
        <f>"R05.01.01"</f>
        <v>R05.01.01</v>
      </c>
      <c r="F205" t="str">
        <f>"R10.12.31"</f>
        <v>R10.12.31</v>
      </c>
    </row>
    <row r="206" spans="1:6" x14ac:dyDescent="0.2">
      <c r="A206" t="str">
        <f>"第2531号"</f>
        <v>第2531号</v>
      </c>
      <c r="B206" t="str">
        <f>"有限会社むつみ企画"</f>
        <v>有限会社むつみ企画</v>
      </c>
      <c r="C206" t="str">
        <f>"妙見薬局"</f>
        <v>妙見薬局</v>
      </c>
      <c r="D206" t="str">
        <f>"八代市妙見町１３５"</f>
        <v>八代市妙見町１３５</v>
      </c>
      <c r="E206" t="str">
        <f>"R07.02.15"</f>
        <v>R07.02.15</v>
      </c>
      <c r="F206" t="str">
        <f>"R13.02.14"</f>
        <v>R13.02.14</v>
      </c>
    </row>
    <row r="207" spans="1:6" x14ac:dyDescent="0.2">
      <c r="A207" t="str">
        <f>"第2450号"</f>
        <v>第2450号</v>
      </c>
      <c r="B207" t="str">
        <f>"有限会社コムス"</f>
        <v>有限会社コムス</v>
      </c>
      <c r="C207" t="str">
        <f>"ヱビス薬局千丁店"</f>
        <v>ヱビス薬局千丁店</v>
      </c>
      <c r="D207" t="str">
        <f>"八代市千丁町古閑出６１６番３"</f>
        <v>八代市千丁町古閑出６１６番３</v>
      </c>
      <c r="E207" t="str">
        <f>"R03.01.01"</f>
        <v>R03.01.01</v>
      </c>
      <c r="F207" t="str">
        <f>"R08.12.31"</f>
        <v>R08.12.31</v>
      </c>
    </row>
    <row r="208" spans="1:6" x14ac:dyDescent="0.2">
      <c r="A208" t="str">
        <f>"第2588号"</f>
        <v>第2588号</v>
      </c>
      <c r="B208" t="str">
        <f>"アロハライフ株式会社"</f>
        <v>アロハライフ株式会社</v>
      </c>
      <c r="C208" t="str">
        <f>"アロハ薬局　新八代店"</f>
        <v>アロハ薬局　新八代店</v>
      </c>
      <c r="D208" t="str">
        <f>"八代市長田町３１８４－２"</f>
        <v>八代市長田町３１８４－２</v>
      </c>
      <c r="E208" t="str">
        <f>"R03.07.01"</f>
        <v>R03.07.01</v>
      </c>
      <c r="F208" t="str">
        <f>"R08.12.31"</f>
        <v>R08.12.31</v>
      </c>
    </row>
    <row r="209" spans="1:6" x14ac:dyDescent="0.2">
      <c r="A209" t="str">
        <f>"第1478号"</f>
        <v>第1478号</v>
      </c>
      <c r="B209" t="str">
        <f>"有限会社ヤマダ"</f>
        <v>有限会社ヤマダ</v>
      </c>
      <c r="C209" t="str">
        <f>"鏡調剤薬局"</f>
        <v>鏡調剤薬局</v>
      </c>
      <c r="D209" t="str">
        <f>"八代市鏡町鏡村９１０番地"</f>
        <v>八代市鏡町鏡村９１０番地</v>
      </c>
      <c r="E209" t="str">
        <f>"R05.01.01"</f>
        <v>R05.01.01</v>
      </c>
      <c r="F209" t="str">
        <f>"R10.12.31"</f>
        <v>R10.12.31</v>
      </c>
    </row>
    <row r="210" spans="1:6" x14ac:dyDescent="0.2">
      <c r="A210" t="str">
        <f>"第2369号"</f>
        <v>第2369号</v>
      </c>
      <c r="B210" t="str">
        <f>"株式会社タケシタ調剤薬局"</f>
        <v>株式会社タケシタ調剤薬局</v>
      </c>
      <c r="C210" t="str">
        <f>"タケシタ調剤薬局八代店"</f>
        <v>タケシタ調剤薬局八代店</v>
      </c>
      <c r="D210" t="str">
        <f>"熊本県八代市本町１丁目８－３６"</f>
        <v>熊本県八代市本町１丁目８－３６</v>
      </c>
      <c r="E210" t="str">
        <f>"R07.01.11"</f>
        <v>R07.01.11</v>
      </c>
      <c r="F210" t="str">
        <f>"R13.01.10"</f>
        <v>R13.01.10</v>
      </c>
    </row>
    <row r="211" spans="1:6" x14ac:dyDescent="0.2">
      <c r="A211" t="str">
        <f>"第1553号"</f>
        <v>第1553号</v>
      </c>
      <c r="B211" t="str">
        <f>"有限会社エヌケイグル－プ"</f>
        <v>有限会社エヌケイグル－プ</v>
      </c>
      <c r="C211" t="str">
        <f>"植柳薬局"</f>
        <v>植柳薬局</v>
      </c>
      <c r="D211" t="str">
        <f>"八代市植柳上町６５２６－２"</f>
        <v>八代市植柳上町６５２６－２</v>
      </c>
      <c r="E211" t="str">
        <f>"R06.01.01"</f>
        <v>R06.01.01</v>
      </c>
      <c r="F211" t="str">
        <f>"R11.12.31"</f>
        <v>R11.12.31</v>
      </c>
    </row>
    <row r="212" spans="1:6" x14ac:dyDescent="0.2">
      <c r="A212" t="str">
        <f>"第2523号"</f>
        <v>第2523号</v>
      </c>
      <c r="B212" t="str">
        <f>"有限会社旭薬局"</f>
        <v>有限会社旭薬局</v>
      </c>
      <c r="C212" t="str">
        <f>"有限会社旭薬局"</f>
        <v>有限会社旭薬局</v>
      </c>
      <c r="D212" t="str">
        <f>"八代市萩原町一丁目８番３７号"</f>
        <v>八代市萩原町一丁目８番３７号</v>
      </c>
      <c r="E212" t="str">
        <f>"R06.10.21"</f>
        <v>R06.10.21</v>
      </c>
      <c r="F212" t="str">
        <f>"R12.10.20"</f>
        <v>R12.10.20</v>
      </c>
    </row>
    <row r="213" spans="1:6" x14ac:dyDescent="0.2">
      <c r="A213" t="str">
        <f>"第2476号"</f>
        <v>第2476号</v>
      </c>
      <c r="B213" t="str">
        <f>"株式会社ＣＩＳファーマシィ"</f>
        <v>株式会社ＣＩＳファーマシィ</v>
      </c>
      <c r="C213" t="str">
        <f>"クスノキ薬局　にしき町店"</f>
        <v>クスノキ薬局　にしき町店</v>
      </c>
      <c r="D213" t="str">
        <f>"八代市錦町１３番地１"</f>
        <v>八代市錦町１３番地１</v>
      </c>
      <c r="E213" t="str">
        <f>"R05.01.01"</f>
        <v>R05.01.01</v>
      </c>
      <c r="F213" t="str">
        <f>"R10.12.31"</f>
        <v>R10.12.31</v>
      </c>
    </row>
    <row r="214" spans="1:6" x14ac:dyDescent="0.2">
      <c r="A214" t="str">
        <f>"第2468号"</f>
        <v>第2468号</v>
      </c>
      <c r="B214" t="str">
        <f>"株式会社新生堂薬局"</f>
        <v>株式会社新生堂薬局</v>
      </c>
      <c r="C214" t="str">
        <f>"新生堂薬局　平山新町店"</f>
        <v>新生堂薬局　平山新町店</v>
      </c>
      <c r="D214" t="str">
        <f>"八代市平山新町４４７７－３"</f>
        <v>八代市平山新町４４７７－３</v>
      </c>
      <c r="E214" t="str">
        <f>"R04.07.01"</f>
        <v>R04.07.01</v>
      </c>
      <c r="F214" t="str">
        <f>"R10.06.30"</f>
        <v>R10.06.30</v>
      </c>
    </row>
    <row r="215" spans="1:6" x14ac:dyDescent="0.2">
      <c r="A215" t="str">
        <f>"第1818号"</f>
        <v>第1818号</v>
      </c>
      <c r="B215" t="str">
        <f>"有限会社植柳調剤薬局"</f>
        <v>有限会社植柳調剤薬局</v>
      </c>
      <c r="C215" t="str">
        <f>"ひまわり薬局"</f>
        <v>ひまわり薬局</v>
      </c>
      <c r="D215" t="str">
        <f>"八代市植柳上町５７１１番地２"</f>
        <v>八代市植柳上町５７１１番地２</v>
      </c>
      <c r="E215" t="str">
        <f>"R02.01.22"</f>
        <v>R02.01.22</v>
      </c>
      <c r="F215" t="str">
        <f>"R08.01.21"</f>
        <v>R08.01.21</v>
      </c>
    </row>
    <row r="216" spans="1:6" x14ac:dyDescent="0.2">
      <c r="A216" t="str">
        <f>"第2443号"</f>
        <v>第2443号</v>
      </c>
      <c r="B216" t="str">
        <f>"有限会社東洋メディカル"</f>
        <v>有限会社東洋メディカル</v>
      </c>
      <c r="C216" t="str">
        <f>"ぐんちく調剤薬局"</f>
        <v>ぐんちく調剤薬局</v>
      </c>
      <c r="D216" t="str">
        <f>"八代市郡築一番町２０８番地の２"</f>
        <v>八代市郡築一番町２０８番地の２</v>
      </c>
      <c r="E216" t="str">
        <f>"R03.01.01"</f>
        <v>R03.01.01</v>
      </c>
      <c r="F216" t="str">
        <f>"R08.12.31"</f>
        <v>R08.12.31</v>
      </c>
    </row>
    <row r="217" spans="1:6" x14ac:dyDescent="0.2">
      <c r="A217" t="str">
        <f>"第2576号"</f>
        <v>第2576号</v>
      </c>
      <c r="B217" t="str">
        <f>"有限会社プロドラッグ"</f>
        <v>有限会社プロドラッグ</v>
      </c>
      <c r="C217" t="str">
        <f>"エリア調剤薬局　清流店"</f>
        <v>エリア調剤薬局　清流店</v>
      </c>
      <c r="D217" t="str">
        <f>"八代市渡町１７１７番地２"</f>
        <v>八代市渡町１７１７番地２</v>
      </c>
      <c r="E217" t="str">
        <f>"R03.03.04"</f>
        <v>R03.03.04</v>
      </c>
      <c r="F217" t="str">
        <f>"R08.12.31"</f>
        <v>R08.12.31</v>
      </c>
    </row>
    <row r="218" spans="1:6" x14ac:dyDescent="0.2">
      <c r="A218" t="str">
        <f>"第2513号"</f>
        <v>第2513号</v>
      </c>
      <c r="B218" t="str">
        <f>"有限会社わかくさ薬局"</f>
        <v>有限会社わかくさ薬局</v>
      </c>
      <c r="C218" t="str">
        <f>"こがなか調剤薬局"</f>
        <v>こがなか調剤薬局</v>
      </c>
      <c r="D218" t="str">
        <f>"八代市古閑中町１２０９－２"</f>
        <v>八代市古閑中町１２０９－２</v>
      </c>
      <c r="E218" t="str">
        <f>"R06.05.17"</f>
        <v>R06.05.17</v>
      </c>
      <c r="F218" t="str">
        <f>"R12.05.16"</f>
        <v>R12.05.16</v>
      </c>
    </row>
    <row r="219" spans="1:6" x14ac:dyDescent="0.2">
      <c r="A219" t="str">
        <f>"第2175号"</f>
        <v>第2175号</v>
      </c>
      <c r="B219" t="str">
        <f>"株式会社八代みどり調剤"</f>
        <v>株式会社八代みどり調剤</v>
      </c>
      <c r="C219" t="str">
        <f>"八代みどり薬局"</f>
        <v>八代みどり薬局</v>
      </c>
      <c r="D219" t="str">
        <f>"八代市永碇町１３１５－１"</f>
        <v>八代市永碇町１３１５－１</v>
      </c>
      <c r="E219" t="str">
        <f>"R03.01.01"</f>
        <v>R03.01.01</v>
      </c>
      <c r="F219" t="str">
        <f>"R08.12.31"</f>
        <v>R08.12.31</v>
      </c>
    </row>
    <row r="220" spans="1:6" x14ac:dyDescent="0.2">
      <c r="A220" t="str">
        <f>"第2320号"</f>
        <v>第2320号</v>
      </c>
      <c r="B220" t="str">
        <f>"株式会社八代みどり調剤"</f>
        <v>株式会社八代みどり調剤</v>
      </c>
      <c r="C220" t="str">
        <f>"永碇みどり薬局"</f>
        <v>永碇みどり薬局</v>
      </c>
      <c r="D220" t="str">
        <f>"八代市永碇町１２８３－２"</f>
        <v>八代市永碇町１２８３－２</v>
      </c>
      <c r="E220" t="str">
        <f>"R06.03.07"</f>
        <v>R06.03.07</v>
      </c>
      <c r="F220" t="str">
        <f>"R12.03.06"</f>
        <v>R12.03.06</v>
      </c>
    </row>
    <row r="221" spans="1:6" x14ac:dyDescent="0.2">
      <c r="A221" t="str">
        <f>"第1608号"</f>
        <v>第1608号</v>
      </c>
      <c r="B221" t="str">
        <f>"有限会社エヌケイグループ"</f>
        <v>有限会社エヌケイグループ</v>
      </c>
      <c r="C221" t="str">
        <f>"元町薬局"</f>
        <v>元町薬局</v>
      </c>
      <c r="D221" t="str">
        <f>"八代市植柳元町５５３９－６"</f>
        <v>八代市植柳元町５５３９－６</v>
      </c>
      <c r="E221" t="str">
        <f>"R04.03.20"</f>
        <v>R04.03.20</v>
      </c>
      <c r="F221" t="str">
        <f>"R09.12.31"</f>
        <v>R09.12.31</v>
      </c>
    </row>
    <row r="222" spans="1:6" x14ac:dyDescent="0.2">
      <c r="A222" t="str">
        <f>"第927号"</f>
        <v>第927号</v>
      </c>
      <c r="B222" t="str">
        <f>"有限会社大倖堂薬局"</f>
        <v>有限会社大倖堂薬局</v>
      </c>
      <c r="C222" t="str">
        <f>"有限会社大倖堂薬局"</f>
        <v>有限会社大倖堂薬局</v>
      </c>
      <c r="D222" t="str">
        <f>"熊本県八代市通町６番２３号"</f>
        <v>熊本県八代市通町６番２３号</v>
      </c>
      <c r="E222" t="str">
        <f>"R06.01.01"</f>
        <v>R06.01.01</v>
      </c>
      <c r="F222" t="str">
        <f>"R11.12.31"</f>
        <v>R11.12.31</v>
      </c>
    </row>
    <row r="223" spans="1:6" x14ac:dyDescent="0.2">
      <c r="A223" t="str">
        <f>"第1384号"</f>
        <v>第1384号</v>
      </c>
      <c r="B223" t="str">
        <f>"有限会社ピー・シー"</f>
        <v>有限会社ピー・シー</v>
      </c>
      <c r="C223" t="str">
        <f>"むかえ町薬局"</f>
        <v>むかえ町薬局</v>
      </c>
      <c r="D223" t="str">
        <f>"八代市迎町1丁目１６番７号"</f>
        <v>八代市迎町1丁目１６番７号</v>
      </c>
      <c r="E223" t="str">
        <f>"R06.01.01"</f>
        <v>R06.01.01</v>
      </c>
      <c r="F223" t="str">
        <f>"R11.12.31"</f>
        <v>R11.12.31</v>
      </c>
    </row>
    <row r="224" spans="1:6" x14ac:dyDescent="0.2">
      <c r="A224" t="str">
        <f>"第2566号"</f>
        <v>第2566号</v>
      </c>
      <c r="B224" t="str">
        <f>"株式会社松下コーポレーション"</f>
        <v>株式会社松下コーポレーション</v>
      </c>
      <c r="C224" t="str">
        <f>"まつした鏡薬局"</f>
        <v>まつした鏡薬局</v>
      </c>
      <c r="D224" t="str">
        <f>"八代市鏡町下村１５１３－１"</f>
        <v>八代市鏡町下村１５１３－１</v>
      </c>
      <c r="E224" t="str">
        <f>"R02.07.01"</f>
        <v>R02.07.01</v>
      </c>
      <c r="F224" t="str">
        <f>"R08.06.30"</f>
        <v>R08.06.30</v>
      </c>
    </row>
    <row r="225" spans="1:6" x14ac:dyDescent="0.2">
      <c r="A225" t="str">
        <f>"第2454号"</f>
        <v>第2454号</v>
      </c>
      <c r="B225" t="str">
        <f>"株式会社松下コーポレーション"</f>
        <v>株式会社松下コーポレーション</v>
      </c>
      <c r="C225" t="str">
        <f>"まつした調剤薬局"</f>
        <v>まつした調剤薬局</v>
      </c>
      <c r="D225" t="str">
        <f>"八代市横手新町２号２０番地"</f>
        <v>八代市横手新町２号２０番地</v>
      </c>
      <c r="E225" t="str">
        <f>"R03.01.01"</f>
        <v>R03.01.01</v>
      </c>
      <c r="F225" t="str">
        <f>"R08.12.31"</f>
        <v>R08.12.31</v>
      </c>
    </row>
    <row r="226" spans="1:6" x14ac:dyDescent="0.2">
      <c r="A226" t="str">
        <f>"第2441号"</f>
        <v>第2441号</v>
      </c>
      <c r="B226" t="str">
        <f>"有限会社メイク"</f>
        <v>有限会社メイク</v>
      </c>
      <c r="C226" t="str">
        <f>"パンダ調剤薬局"</f>
        <v>パンダ調剤薬局</v>
      </c>
      <c r="D226" t="str">
        <f>"八代市大手町２丁目７８－１"</f>
        <v>八代市大手町２丁目７８－１</v>
      </c>
      <c r="E226" t="str">
        <f>"R03.01.01"</f>
        <v>R03.01.01</v>
      </c>
      <c r="F226" t="str">
        <f>"R08.12.31"</f>
        <v>R08.12.31</v>
      </c>
    </row>
    <row r="227" spans="1:6" x14ac:dyDescent="0.2">
      <c r="A227" t="str">
        <f>"第2479号"</f>
        <v>第2479号</v>
      </c>
      <c r="B227" t="str">
        <f>"株式会社ＤＡＮファーマシー"</f>
        <v>株式会社ＤＡＮファーマシー</v>
      </c>
      <c r="C227" t="str">
        <f>"ダン永碇薬局"</f>
        <v>ダン永碇薬局</v>
      </c>
      <c r="D227" t="str">
        <f>"八代市永碇町１０７３－１"</f>
        <v>八代市永碇町１０７３－１</v>
      </c>
      <c r="E227" t="str">
        <f>"R05.01.01"</f>
        <v>R05.01.01</v>
      </c>
      <c r="F227" t="str">
        <f>"R10.12.31"</f>
        <v>R10.12.31</v>
      </c>
    </row>
    <row r="228" spans="1:6" x14ac:dyDescent="0.2">
      <c r="A228" t="str">
        <f>"第2172号"</f>
        <v>第2172号</v>
      </c>
      <c r="B228" t="str">
        <f>"株式会社いわしや窪田"</f>
        <v>株式会社いわしや窪田</v>
      </c>
      <c r="C228" t="str">
        <f>"トマト薬局"</f>
        <v>トマト薬局</v>
      </c>
      <c r="D228" t="str">
        <f>"八代市北の丸町３番３２号"</f>
        <v>八代市北の丸町３番３２号</v>
      </c>
      <c r="E228" t="str">
        <f>"R03.01.01"</f>
        <v>R03.01.01</v>
      </c>
      <c r="F228" t="str">
        <f>"R08.12.31"</f>
        <v>R08.12.31</v>
      </c>
    </row>
    <row r="229" spans="1:6" x14ac:dyDescent="0.2">
      <c r="A229" t="str">
        <f>"第2230号"</f>
        <v>第2230号</v>
      </c>
      <c r="B229" t="str">
        <f>"株式会社クマモトメディカル"</f>
        <v>株式会社クマモトメディカル</v>
      </c>
      <c r="C229" t="str">
        <f>"ふるしろ調剤薬局"</f>
        <v>ふるしろ調剤薬局</v>
      </c>
      <c r="D229" t="str">
        <f>"八代市古城町１７０８－２"</f>
        <v>八代市古城町１７０８－２</v>
      </c>
      <c r="E229" t="str">
        <f>"R04.01.01"</f>
        <v>R04.01.01</v>
      </c>
      <c r="F229" t="str">
        <f>"R09.12.31"</f>
        <v>R09.12.31</v>
      </c>
    </row>
    <row r="230" spans="1:6" x14ac:dyDescent="0.2">
      <c r="A230" t="str">
        <f>"第1481号"</f>
        <v>第1481号</v>
      </c>
      <c r="B230" t="str">
        <f>"有限会社大倖堂薬局"</f>
        <v>有限会社大倖堂薬局</v>
      </c>
      <c r="C230" t="str">
        <f>"とみた薬局高下店"</f>
        <v>とみた薬局高下店</v>
      </c>
      <c r="D230" t="str">
        <f>"八代市高下西町字寺川２２７１－３"</f>
        <v>八代市高下西町字寺川２２７１－３</v>
      </c>
      <c r="E230" t="str">
        <f>"R05.05.01"</f>
        <v>R05.05.01</v>
      </c>
      <c r="F230" t="str">
        <f>"R11.04.30"</f>
        <v>R11.04.30</v>
      </c>
    </row>
    <row r="231" spans="1:6" x14ac:dyDescent="0.2">
      <c r="A231" t="str">
        <f>"第2286号"</f>
        <v>第2286号</v>
      </c>
      <c r="B231" t="str">
        <f>"ヤマトファルマ有限会社"</f>
        <v>ヤマトファルマ有限会社</v>
      </c>
      <c r="C231" t="str">
        <f>"ひなぐ薬局"</f>
        <v>ひなぐ薬局</v>
      </c>
      <c r="D231" t="str">
        <f>"八代市日奈久中西町字西町新１２番地１"</f>
        <v>八代市日奈久中西町字西町新１２番地１</v>
      </c>
      <c r="E231" t="str">
        <f>"R05.01.01"</f>
        <v>R05.01.01</v>
      </c>
      <c r="F231" t="str">
        <f>"R10.12.31"</f>
        <v>R10.12.31</v>
      </c>
    </row>
    <row r="232" spans="1:6" x14ac:dyDescent="0.2">
      <c r="A232" t="str">
        <f>"第2113号"</f>
        <v>第2113号</v>
      </c>
      <c r="B232" t="str">
        <f>"有限会社　わかくさ薬局"</f>
        <v>有限会社　わかくさ薬局</v>
      </c>
      <c r="C232" t="str">
        <f>"はなぞの調剤薬局"</f>
        <v>はなぞの調剤薬局</v>
      </c>
      <c r="D232" t="str">
        <f>"八代市花園町５番地８"</f>
        <v>八代市花園町５番地８</v>
      </c>
      <c r="E232" t="str">
        <f>"R01.12.17"</f>
        <v>R01.12.17</v>
      </c>
      <c r="F232" t="str">
        <f>"R07.12.16"</f>
        <v>R07.12.16</v>
      </c>
    </row>
    <row r="233" spans="1:6" x14ac:dyDescent="0.2">
      <c r="A233" t="str">
        <f>"第2238号"</f>
        <v>第2238号</v>
      </c>
      <c r="B233" t="str">
        <f>"有限会社わかくさ薬局"</f>
        <v>有限会社わかくさ薬局</v>
      </c>
      <c r="C233" t="str">
        <f>"こがね町調剤薬局"</f>
        <v>こがね町調剤薬局</v>
      </c>
      <c r="D233" t="str">
        <f>"八代市黄金町２１番２号"</f>
        <v>八代市黄金町２１番２号</v>
      </c>
      <c r="E233" t="str">
        <f>"R04.01.01"</f>
        <v>R04.01.01</v>
      </c>
      <c r="F233" t="str">
        <f>"R09.12.31"</f>
        <v>R09.12.31</v>
      </c>
    </row>
    <row r="234" spans="1:6" x14ac:dyDescent="0.2">
      <c r="A234" t="str">
        <f>"第1633号"</f>
        <v>第1633号</v>
      </c>
      <c r="B234" t="str">
        <f>"有限会社ひおき調剤薬局"</f>
        <v>有限会社ひおき調剤薬局</v>
      </c>
      <c r="C234" t="str">
        <f>"有限会社ひおき調剤薬局"</f>
        <v>有限会社ひおき調剤薬局</v>
      </c>
      <c r="D234" t="str">
        <f>"八代市日置町３１２－１"</f>
        <v>八代市日置町３１２－１</v>
      </c>
      <c r="E234" t="str">
        <f>"R04.01.01"</f>
        <v>R04.01.01</v>
      </c>
      <c r="F234" t="str">
        <f>"R09.12.31"</f>
        <v>R09.12.31</v>
      </c>
    </row>
    <row r="235" spans="1:6" x14ac:dyDescent="0.2">
      <c r="A235" t="str">
        <f>"第2146号"</f>
        <v>第2146号</v>
      </c>
      <c r="B235" t="str">
        <f>"有限会社すみれ調剤薬局"</f>
        <v>有限会社すみれ調剤薬局</v>
      </c>
      <c r="C235" t="str">
        <f>"りぼん薬局"</f>
        <v>りぼん薬局</v>
      </c>
      <c r="D235" t="str">
        <f>"八代市東陽町南杉之本１１２６番地４"</f>
        <v>八代市東陽町南杉之本１１２６番地４</v>
      </c>
      <c r="E235" t="str">
        <f>"R02.08.15"</f>
        <v>R02.08.15</v>
      </c>
      <c r="F235" t="str">
        <f>"R08.08.14"</f>
        <v>R08.08.14</v>
      </c>
    </row>
    <row r="236" spans="1:6" x14ac:dyDescent="0.2">
      <c r="A236" t="str">
        <f>"第1345号"</f>
        <v>第1345号</v>
      </c>
      <c r="B236" t="str">
        <f>"有限会社しんち調剤薬局"</f>
        <v>有限会社しんち調剤薬局</v>
      </c>
      <c r="C236" t="str">
        <f>"有限会社しんち調剤薬局"</f>
        <v>有限会社しんち調剤薬局</v>
      </c>
      <c r="D236" t="str">
        <f>"八代市新地町９号１１－６"</f>
        <v>八代市新地町９号１１－６</v>
      </c>
      <c r="E236" t="str">
        <f>"R05.01.01"</f>
        <v>R05.01.01</v>
      </c>
      <c r="F236" t="str">
        <f>"R10.12.31"</f>
        <v>R10.12.31</v>
      </c>
    </row>
    <row r="237" spans="1:6" x14ac:dyDescent="0.2">
      <c r="A237" t="str">
        <f>"第2614号"</f>
        <v>第2614号</v>
      </c>
      <c r="B237" t="str">
        <f>"有限会社むつみ薬局"</f>
        <v>有限会社むつみ薬局</v>
      </c>
      <c r="C237" t="str">
        <f>"ながたまち調剤薬局"</f>
        <v>ながたまち調剤薬局</v>
      </c>
      <c r="D237" t="str">
        <f>"八代市長田町３０６５－１"</f>
        <v>八代市長田町３０６５－１</v>
      </c>
      <c r="E237" t="str">
        <f>"R04.09.06"</f>
        <v>R04.09.06</v>
      </c>
      <c r="F237" t="str">
        <f>"R10.09.05"</f>
        <v>R10.09.05</v>
      </c>
    </row>
    <row r="238" spans="1:6" x14ac:dyDescent="0.2">
      <c r="A238" t="str">
        <f>"第2463号"</f>
        <v>第2463号</v>
      </c>
      <c r="B238" t="str">
        <f>"株式会社スモールファーマシー"</f>
        <v>株式会社スモールファーマシー</v>
      </c>
      <c r="C238" t="str">
        <f>"こやま薬局"</f>
        <v>こやま薬局</v>
      </c>
      <c r="D238" t="str">
        <f>"八代市本町一丁目１０号２７番"</f>
        <v>八代市本町一丁目１０号２７番</v>
      </c>
      <c r="E238" t="str">
        <f>"R04.04.05"</f>
        <v>R04.04.05</v>
      </c>
      <c r="F238" t="str">
        <f>"R10.04.04"</f>
        <v>R10.04.04</v>
      </c>
    </row>
    <row r="239" spans="1:6" x14ac:dyDescent="0.2">
      <c r="A239" t="str">
        <f>"第939号"</f>
        <v>第939号</v>
      </c>
      <c r="B239" t="str">
        <f>"?　詳子"</f>
        <v>?　詳子</v>
      </c>
      <c r="C239" t="str">
        <f>"?薬局"</f>
        <v>?薬局</v>
      </c>
      <c r="D239" t="str">
        <f>"八代市本野町４６３－６"</f>
        <v>八代市本野町４６３－６</v>
      </c>
      <c r="E239" t="str">
        <f>"R03.12.09"</f>
        <v>R03.12.09</v>
      </c>
      <c r="F239" t="str">
        <f>"R09.12.08"</f>
        <v>R09.12.08</v>
      </c>
    </row>
    <row r="240" spans="1:6" x14ac:dyDescent="0.2">
      <c r="A240" t="str">
        <f>"第1975号"</f>
        <v>第1975号</v>
      </c>
      <c r="B240" t="str">
        <f>"有限会社　つばき調剤薬局"</f>
        <v>有限会社　つばき調剤薬局</v>
      </c>
      <c r="C240" t="str">
        <f>"有限会社　つばき調剤薬局"</f>
        <v>有限会社　つばき調剤薬局</v>
      </c>
      <c r="D240" t="str">
        <f>"八代市鏡町鏡村１１１２－２"</f>
        <v>八代市鏡町鏡村１１１２－２</v>
      </c>
      <c r="E240" t="str">
        <f>"R04.01.01"</f>
        <v>R04.01.01</v>
      </c>
      <c r="F240" t="str">
        <f>"R09.12.31"</f>
        <v>R09.12.31</v>
      </c>
    </row>
    <row r="241" spans="1:6" x14ac:dyDescent="0.2">
      <c r="A241" t="str">
        <f>"第2267号"</f>
        <v>第2267号</v>
      </c>
      <c r="B241" t="str">
        <f>"株式会社ＤＡＮファーマシー"</f>
        <v>株式会社ＤＡＮファーマシー</v>
      </c>
      <c r="C241" t="str">
        <f>"ダン調剤薬局"</f>
        <v>ダン調剤薬局</v>
      </c>
      <c r="D241" t="str">
        <f>"八代市古閑上町字聖神１３番１"</f>
        <v>八代市古閑上町字聖神１３番１</v>
      </c>
      <c r="E241" t="str">
        <f>"R04.01.01"</f>
        <v>R04.01.01</v>
      </c>
      <c r="F241" t="str">
        <f>"R09.12.31"</f>
        <v>R09.12.31</v>
      </c>
    </row>
    <row r="242" spans="1:6" x14ac:dyDescent="0.2">
      <c r="A242" t="str">
        <f>"第2592号"</f>
        <v>第2592号</v>
      </c>
      <c r="B242" t="str">
        <f>"株式会社りんどう薬局"</f>
        <v>株式会社りんどう薬局</v>
      </c>
      <c r="C242" t="str">
        <f>"りんどう薬局"</f>
        <v>りんどう薬局</v>
      </c>
      <c r="D242" t="str">
        <f>"八代市永碇町１２４５番地２"</f>
        <v>八代市永碇町１２４５番地２</v>
      </c>
      <c r="E242" t="str">
        <f>"R03.10.01"</f>
        <v>R03.10.01</v>
      </c>
      <c r="F242" t="str">
        <f>"R08.12.31"</f>
        <v>R08.12.31</v>
      </c>
    </row>
    <row r="243" spans="1:6" x14ac:dyDescent="0.2">
      <c r="A243" t="str">
        <f>"第2183号"</f>
        <v>第2183号</v>
      </c>
      <c r="B243" t="str">
        <f>"株式会社クローバー"</f>
        <v>株式会社クローバー</v>
      </c>
      <c r="C243" t="str">
        <f>"ゆうば薬局"</f>
        <v>ゆうば薬局</v>
      </c>
      <c r="D243" t="str">
        <f>"八代市花園町７－１６"</f>
        <v>八代市花園町７－１６</v>
      </c>
      <c r="E243" t="str">
        <f>"R03.01.01"</f>
        <v>R03.01.01</v>
      </c>
      <c r="F243" t="str">
        <f>"R08.12.31"</f>
        <v>R08.12.31</v>
      </c>
    </row>
    <row r="244" spans="1:6" x14ac:dyDescent="0.2">
      <c r="A244" t="str">
        <f>"第1935号"</f>
        <v>第1935号</v>
      </c>
      <c r="B244" t="str">
        <f>"有限会社　らん調剤薬局"</f>
        <v>有限会社　らん調剤薬局</v>
      </c>
      <c r="C244" t="str">
        <f>"有限会社　らん調剤薬局"</f>
        <v>有限会社　らん調剤薬局</v>
      </c>
      <c r="D244" t="str">
        <f>"八代市横手新町１４－３－２"</f>
        <v>八代市横手新町１４－３－２</v>
      </c>
      <c r="E244" t="str">
        <f>"R03.01.01"</f>
        <v>R03.01.01</v>
      </c>
      <c r="F244" t="str">
        <f>"R08.12.31"</f>
        <v>R08.12.31</v>
      </c>
    </row>
    <row r="245" spans="1:6" x14ac:dyDescent="0.2">
      <c r="A245" t="str">
        <f>"第2565号"</f>
        <v>第2565号</v>
      </c>
      <c r="B245" t="str">
        <f>"株式会社ファーストファーマシー"</f>
        <v>株式会社ファーストファーマシー</v>
      </c>
      <c r="C245" t="str">
        <f>"楓の木調剤薬局"</f>
        <v>楓の木調剤薬局</v>
      </c>
      <c r="D245" t="str">
        <f>"八代市本町１丁目１－１"</f>
        <v>八代市本町１丁目１－１</v>
      </c>
      <c r="E245" t="str">
        <f>"R02.06.04"</f>
        <v>R02.06.04</v>
      </c>
      <c r="F245" t="str">
        <f>"R07.12.31"</f>
        <v>R07.12.31</v>
      </c>
    </row>
    <row r="246" spans="1:6" x14ac:dyDescent="0.2">
      <c r="A246" t="str">
        <f>"第2631号"</f>
        <v>第2631号</v>
      </c>
      <c r="B246" t="str">
        <f>"さくら薬局株式会社"</f>
        <v>さくら薬局株式会社</v>
      </c>
      <c r="C246" t="str">
        <f>"あじさい薬局"</f>
        <v>あじさい薬局</v>
      </c>
      <c r="D246" t="str">
        <f>"水俣市桜井町３丁目２－１"</f>
        <v>水俣市桜井町３丁目２－１</v>
      </c>
      <c r="E246" t="str">
        <f>"R05.11.01"</f>
        <v>R05.11.01</v>
      </c>
      <c r="F246" t="str">
        <f>"R11.10.31"</f>
        <v>R11.10.31</v>
      </c>
    </row>
    <row r="247" spans="1:6" x14ac:dyDescent="0.2">
      <c r="A247" t="str">
        <f>"第2628号"</f>
        <v>第2628号</v>
      </c>
      <c r="B247" t="str">
        <f>"株式会社七草堂"</f>
        <v>株式会社七草堂</v>
      </c>
      <c r="C247" t="str">
        <f>"うさぎ薬局水俣店"</f>
        <v>うさぎ薬局水俣店</v>
      </c>
      <c r="D247" t="str">
        <f>"水俣市天神町１丁目３－１４"</f>
        <v>水俣市天神町１丁目３－１４</v>
      </c>
      <c r="E247" t="str">
        <f>"R05.09.01"</f>
        <v>R05.09.01</v>
      </c>
      <c r="F247" t="str">
        <f>"R11.08.31"</f>
        <v>R11.08.31</v>
      </c>
    </row>
    <row r="248" spans="1:6" x14ac:dyDescent="0.2">
      <c r="A248" t="str">
        <f>"第2600号"</f>
        <v>第2600号</v>
      </c>
      <c r="B248" t="str">
        <f>"株式会社NOGUCHI"</f>
        <v>株式会社NOGUCHI</v>
      </c>
      <c r="C248" t="str">
        <f>"くまさん薬局"</f>
        <v>くまさん薬局</v>
      </c>
      <c r="D248" t="str">
        <f>"葦北郡芦北町大字芦北2092ー1"</f>
        <v>葦北郡芦北町大字芦北2092ー1</v>
      </c>
      <c r="E248" t="str">
        <f>"R04.01.07"</f>
        <v>R04.01.07</v>
      </c>
      <c r="F248" t="str">
        <f>"R10.01.06"</f>
        <v>R10.01.06</v>
      </c>
    </row>
    <row r="249" spans="1:6" x14ac:dyDescent="0.2">
      <c r="A249" t="str">
        <f>"第1849号"</f>
        <v>第1849号</v>
      </c>
      <c r="B249" t="str">
        <f>"日本調剤株式会社"</f>
        <v>日本調剤株式会社</v>
      </c>
      <c r="C249" t="str">
        <f>"日本調剤　天神町薬局"</f>
        <v>日本調剤　天神町薬局</v>
      </c>
      <c r="D249" t="str">
        <f>"熊本県水俣市天神町一丁目８番５号"</f>
        <v>熊本県水俣市天神町一丁目８番５号</v>
      </c>
      <c r="E249" t="str">
        <f>"R02.01.01"</f>
        <v>R02.01.01</v>
      </c>
      <c r="F249" t="str">
        <f>"R07.12.31"</f>
        <v>R07.12.31</v>
      </c>
    </row>
    <row r="250" spans="1:6" x14ac:dyDescent="0.2">
      <c r="A250" t="str">
        <f>"第1844号"</f>
        <v>第1844号</v>
      </c>
      <c r="B250" t="str">
        <f>"日本調剤株式会社"</f>
        <v>日本調剤株式会社</v>
      </c>
      <c r="C250" t="str">
        <f>"日本調剤　水俣薬局"</f>
        <v>日本調剤　水俣薬局</v>
      </c>
      <c r="D250" t="str">
        <f>"水俣市天神町１丁目３番２号"</f>
        <v>水俣市天神町１丁目３番２号</v>
      </c>
      <c r="E250" t="str">
        <f>"R02.01.01"</f>
        <v>R02.01.01</v>
      </c>
      <c r="F250" t="str">
        <f>"R07.12.31"</f>
        <v>R07.12.31</v>
      </c>
    </row>
    <row r="251" spans="1:6" x14ac:dyDescent="0.2">
      <c r="A251" t="str">
        <f>"第1898号"</f>
        <v>第1898号</v>
      </c>
      <c r="B251" t="str">
        <f>"有限会社　南福寺調剤薬局"</f>
        <v>有限会社　南福寺調剤薬局</v>
      </c>
      <c r="C251" t="str">
        <f>"有限会社南福寺調剤薬局"</f>
        <v>有限会社南福寺調剤薬局</v>
      </c>
      <c r="D251" t="str">
        <f>"水俣市南福寺１７１"</f>
        <v>水俣市南福寺１７１</v>
      </c>
      <c r="E251" t="str">
        <f>"R03.01.01"</f>
        <v>R03.01.01</v>
      </c>
      <c r="F251" t="str">
        <f>"R08.12.31"</f>
        <v>R08.12.31</v>
      </c>
    </row>
    <row r="252" spans="1:6" x14ac:dyDescent="0.2">
      <c r="A252" t="str">
        <f>"第2462号"</f>
        <v>第2462号</v>
      </c>
      <c r="B252" t="str">
        <f>"一般社団法人健康共同ファルマ"</f>
        <v>一般社団法人健康共同ファルマ</v>
      </c>
      <c r="C252" t="str">
        <f>"さくら薬局"</f>
        <v>さくら薬局</v>
      </c>
      <c r="D252" t="str">
        <f>"水俣市桜井町２丁目２番１９号"</f>
        <v>水俣市桜井町２丁目２番１９号</v>
      </c>
      <c r="E252" t="str">
        <f>"R04.01.01"</f>
        <v>R04.01.01</v>
      </c>
      <c r="F252" t="str">
        <f>"R09.12.31"</f>
        <v>R09.12.31</v>
      </c>
    </row>
    <row r="253" spans="1:6" x14ac:dyDescent="0.2">
      <c r="A253" t="str">
        <f>"第2072号"</f>
        <v>第2072号</v>
      </c>
      <c r="B253" t="str">
        <f>"有限会社メディカルクリア"</f>
        <v>有限会社メディカルクリア</v>
      </c>
      <c r="C253" t="str">
        <f>"なのはな調剤薬局"</f>
        <v>なのはな調剤薬局</v>
      </c>
      <c r="D253" t="str">
        <f>"熊本県水俣市塩浜町３１番１号"</f>
        <v>熊本県水俣市塩浜町３１番１号</v>
      </c>
      <c r="E253" t="str">
        <f>"R07.01.01"</f>
        <v>R07.01.01</v>
      </c>
      <c r="F253" t="str">
        <f>"R12.12.31"</f>
        <v>R12.12.31</v>
      </c>
    </row>
    <row r="254" spans="1:6" x14ac:dyDescent="0.2">
      <c r="A254" t="str">
        <f>"第2542号"</f>
        <v>第2542号</v>
      </c>
      <c r="B254" t="str">
        <f>"株式会社Ｎｉｓｓｉ"</f>
        <v>株式会社Ｎｉｓｓｉ</v>
      </c>
      <c r="C254" t="str">
        <f>"おれんじ薬局"</f>
        <v>おれんじ薬局</v>
      </c>
      <c r="D254" t="str">
        <f>"水俣市天神町１丁目４６"</f>
        <v>水俣市天神町１丁目４６</v>
      </c>
      <c r="E254" t="str">
        <f>"R07.07.01"</f>
        <v>R07.07.01</v>
      </c>
      <c r="F254" t="str">
        <f>"R13.06.30"</f>
        <v>R13.06.30</v>
      </c>
    </row>
    <row r="255" spans="1:6" x14ac:dyDescent="0.2">
      <c r="A255" t="str">
        <f>"第2485号"</f>
        <v>第2485号</v>
      </c>
      <c r="B255" t="str">
        <f>"一般社団法人水俣芦北薬剤師会"</f>
        <v>一般社団法人水俣芦北薬剤師会</v>
      </c>
      <c r="C255" t="str">
        <f>"平和薬局センター店"</f>
        <v>平和薬局センター店</v>
      </c>
      <c r="D255" t="str">
        <f>"水俣市天神町一丁目３番１１号"</f>
        <v>水俣市天神町一丁目３番１１号</v>
      </c>
      <c r="E255" t="str">
        <f>"R05.01.01"</f>
        <v>R05.01.01</v>
      </c>
      <c r="F255" t="str">
        <f>"R10.12.31"</f>
        <v>R10.12.31</v>
      </c>
    </row>
    <row r="256" spans="1:6" x14ac:dyDescent="0.2">
      <c r="A256" t="str">
        <f>"第2537号"</f>
        <v>第2537号</v>
      </c>
      <c r="B256" t="str">
        <f>"有限会社　谷川薬局"</f>
        <v>有限会社　谷川薬局</v>
      </c>
      <c r="C256" t="str">
        <f>"有限会社　谷川薬局"</f>
        <v>有限会社　谷川薬局</v>
      </c>
      <c r="D256" t="str">
        <f>"水俣市浜町２丁目４－２１"</f>
        <v>水俣市浜町２丁目４－２１</v>
      </c>
      <c r="E256" t="str">
        <f>"R07.05.01"</f>
        <v>R07.05.01</v>
      </c>
      <c r="F256" t="str">
        <f>"R13.04.30"</f>
        <v>R13.04.30</v>
      </c>
    </row>
    <row r="257" spans="1:6" x14ac:dyDescent="0.2">
      <c r="A257" t="str">
        <f>"第2255号"</f>
        <v>第2255号</v>
      </c>
      <c r="B257" t="str">
        <f>"有限会社メル物産"</f>
        <v>有限会社メル物産</v>
      </c>
      <c r="C257" t="str">
        <f>"ポピー薬局"</f>
        <v>ポピー薬局</v>
      </c>
      <c r="D257" t="str">
        <f>"水俣市浜町１－２－３０"</f>
        <v>水俣市浜町１－２－３０</v>
      </c>
      <c r="E257" t="str">
        <f>"R04.01.01"</f>
        <v>R04.01.01</v>
      </c>
      <c r="F257" t="str">
        <f>"R09.12.31"</f>
        <v>R09.12.31</v>
      </c>
    </row>
    <row r="258" spans="1:6" x14ac:dyDescent="0.2">
      <c r="A258" t="str">
        <f>"第1834号"</f>
        <v>第1834号</v>
      </c>
      <c r="B258" t="str">
        <f>"株式会社ミユキメディカル"</f>
        <v>株式会社ミユキメディカル</v>
      </c>
      <c r="C258" t="str">
        <f>"みなまた駅前薬局"</f>
        <v>みなまた駅前薬局</v>
      </c>
      <c r="D258" t="str">
        <f>"水俣市桜井町一丁目１番５号"</f>
        <v>水俣市桜井町一丁目１番５号</v>
      </c>
      <c r="E258" t="str">
        <f>"R02.01.01"</f>
        <v>R02.01.01</v>
      </c>
      <c r="F258" t="str">
        <f>"R07.12.31"</f>
        <v>R07.12.31</v>
      </c>
    </row>
    <row r="259" spans="1:6" x14ac:dyDescent="0.2">
      <c r="A259" t="str">
        <f>"第2268号"</f>
        <v>第2268号</v>
      </c>
      <c r="B259" t="str">
        <f>"株式会社Ｃａｍｐｈｏｒ"</f>
        <v>株式会社Ｃａｍｐｈｏｒ</v>
      </c>
      <c r="C259" t="str">
        <f>"はなおか調剤薬局"</f>
        <v>はなおか調剤薬局</v>
      </c>
      <c r="D259" t="str">
        <f>"葦北郡芦北町大字佐敷３４８番地３"</f>
        <v>葦北郡芦北町大字佐敷３４８番地３</v>
      </c>
      <c r="E259" t="str">
        <f>"R04.01.01"</f>
        <v>R04.01.01</v>
      </c>
      <c r="F259" t="str">
        <f>"R09.12.31"</f>
        <v>R09.12.31</v>
      </c>
    </row>
    <row r="260" spans="1:6" x14ac:dyDescent="0.2">
      <c r="A260" t="str">
        <f>"第2234号"</f>
        <v>第2234号</v>
      </c>
      <c r="B260" t="str">
        <f>"株式会社クマモトメディカル"</f>
        <v>株式会社クマモトメディカル</v>
      </c>
      <c r="C260" t="str">
        <f>"三宝調剤薬局"</f>
        <v>三宝調剤薬局</v>
      </c>
      <c r="D260" t="str">
        <f>"葦北郡芦北町田浦町１１９５ー１０"</f>
        <v>葦北郡芦北町田浦町１１９５ー１０</v>
      </c>
      <c r="E260" t="str">
        <f>"R04.01.01"</f>
        <v>R04.01.01</v>
      </c>
      <c r="F260" t="str">
        <f>"R09.12.31"</f>
        <v>R09.12.31</v>
      </c>
    </row>
    <row r="261" spans="1:6" x14ac:dyDescent="0.2">
      <c r="A261" t="str">
        <f>"第2235号"</f>
        <v>第2235号</v>
      </c>
      <c r="B261" t="str">
        <f>"株式会社クマモトメディカル"</f>
        <v>株式会社クマモトメディカル</v>
      </c>
      <c r="C261" t="str">
        <f>"イクタ調剤薬局"</f>
        <v>イクタ調剤薬局</v>
      </c>
      <c r="D261" t="str">
        <f>"葦北郡芦北町湯浦２９５ー１"</f>
        <v>葦北郡芦北町湯浦２９５ー１</v>
      </c>
      <c r="E261" t="str">
        <f>"R04.01.01"</f>
        <v>R04.01.01</v>
      </c>
      <c r="F261" t="str">
        <f>"R09.12.31"</f>
        <v>R09.12.31</v>
      </c>
    </row>
    <row r="262" spans="1:6" x14ac:dyDescent="0.2">
      <c r="A262" t="str">
        <f>"第1938号"</f>
        <v>第1938号</v>
      </c>
      <c r="B262" t="str">
        <f>"有限会社愛誠堂"</f>
        <v>有限会社愛誠堂</v>
      </c>
      <c r="C262" t="str">
        <f>"みつば調剤薬局"</f>
        <v>みつば調剤薬局</v>
      </c>
      <c r="D262" t="str">
        <f>"水俣市旭町２丁目２番１号"</f>
        <v>水俣市旭町２丁目２番１号</v>
      </c>
      <c r="E262" t="str">
        <f>"R03.01.01"</f>
        <v>R03.01.01</v>
      </c>
      <c r="F262" t="str">
        <f>"R08.12.31"</f>
        <v>R08.12.31</v>
      </c>
    </row>
    <row r="263" spans="1:6" x14ac:dyDescent="0.2">
      <c r="A263" t="str">
        <f>"第2478号"</f>
        <v>第2478号</v>
      </c>
      <c r="B263" t="str">
        <f>"株式会社ユビキタスファーマシー"</f>
        <v>株式会社ユビキタスファーマシー</v>
      </c>
      <c r="C263" t="str">
        <f>"ゆうあい薬局"</f>
        <v>ゆうあい薬局</v>
      </c>
      <c r="D263" t="str">
        <f>"水俣市古賀町二丁目５番３７号"</f>
        <v>水俣市古賀町二丁目５番３７号</v>
      </c>
      <c r="E263" t="str">
        <f>"R05.04.01"</f>
        <v>R05.04.01</v>
      </c>
      <c r="F263" t="str">
        <f>"R11.03.31"</f>
        <v>R11.03.31</v>
      </c>
    </row>
    <row r="264" spans="1:6" x14ac:dyDescent="0.2">
      <c r="A264" t="str">
        <f>"第1511号"</f>
        <v>第1511号</v>
      </c>
      <c r="B264" t="str">
        <f>"有限会社なんこう薬局"</f>
        <v>有限会社なんこう薬局</v>
      </c>
      <c r="C264" t="str">
        <f>"有限会社なんこう薬局"</f>
        <v>有限会社なんこう薬局</v>
      </c>
      <c r="D264" t="str">
        <f>"熊本県葦北郡芦北町大字芦北２５９３番地"</f>
        <v>熊本県葦北郡芦北町大字芦北２５９３番地</v>
      </c>
      <c r="E264" t="str">
        <f>"R05.01.01"</f>
        <v>R05.01.01</v>
      </c>
      <c r="F264" t="str">
        <f>"R10.12.31"</f>
        <v>R10.12.31</v>
      </c>
    </row>
    <row r="265" spans="1:6" x14ac:dyDescent="0.2">
      <c r="A265" t="str">
        <f>"第2484号"</f>
        <v>第2484号</v>
      </c>
      <c r="B265" t="str">
        <f>"一般社団法人水俣芦北薬剤師会"</f>
        <v>一般社団法人水俣芦北薬剤師会</v>
      </c>
      <c r="C265" t="str">
        <f>"平和薬局古賀町店"</f>
        <v>平和薬局古賀町店</v>
      </c>
      <c r="D265" t="str">
        <f>"水俣市古賀町二丁目３番２８号"</f>
        <v>水俣市古賀町二丁目３番２８号</v>
      </c>
      <c r="E265" t="str">
        <f>"R05.01.01"</f>
        <v>R05.01.01</v>
      </c>
      <c r="F265" t="str">
        <f>"R10.12.31"</f>
        <v>R10.12.31</v>
      </c>
    </row>
    <row r="266" spans="1:6" x14ac:dyDescent="0.2">
      <c r="A266" t="str">
        <f>"第1634号"</f>
        <v>第1634号</v>
      </c>
      <c r="B266" t="str">
        <f>"有限会社さしき薬局"</f>
        <v>有限会社さしき薬局</v>
      </c>
      <c r="C266" t="str">
        <f>"有限会社さしき薬局"</f>
        <v>有限会社さしき薬局</v>
      </c>
      <c r="D266" t="str">
        <f>"葦北郡芦北町大字佐敷１７５ー１"</f>
        <v>葦北郡芦北町大字佐敷１７５ー１</v>
      </c>
      <c r="E266" t="str">
        <f>"R04.01.01"</f>
        <v>R04.01.01</v>
      </c>
      <c r="F266" t="str">
        <f>"R09.12.31"</f>
        <v>R09.12.31</v>
      </c>
    </row>
    <row r="267" spans="1:6" x14ac:dyDescent="0.2">
      <c r="A267" t="str">
        <f>"第1762号"</f>
        <v>第1762号</v>
      </c>
      <c r="B267" t="str">
        <f>"有限会社　なんこう薬局"</f>
        <v>有限会社　なんこう薬局</v>
      </c>
      <c r="C267" t="str">
        <f>"なんこう薬局南店"</f>
        <v>なんこう薬局南店</v>
      </c>
      <c r="D267" t="str">
        <f>"熊本県葦北郡芦北町芦北２４１５番地"</f>
        <v>熊本県葦北郡芦北町芦北２４１５番地</v>
      </c>
      <c r="E267" t="str">
        <f>"R06.01.01"</f>
        <v>R06.01.01</v>
      </c>
      <c r="F267" t="str">
        <f>"R11.12.31"</f>
        <v>R11.12.31</v>
      </c>
    </row>
    <row r="268" spans="1:6" x14ac:dyDescent="0.2">
      <c r="A268" t="str">
        <f>"第2322号"</f>
        <v>第2322号</v>
      </c>
      <c r="B268" t="str">
        <f>"株式会社ゆのうら調剤薬局"</f>
        <v>株式会社ゆのうら調剤薬局</v>
      </c>
      <c r="C268" t="str">
        <f>"株式会社ゆのうら調剤薬局"</f>
        <v>株式会社ゆのうら調剤薬局</v>
      </c>
      <c r="D268" t="str">
        <f>"熊本県葦北郡芦北町大字湯浦２３２番地７"</f>
        <v>熊本県葦北郡芦北町大字湯浦２３２番地７</v>
      </c>
      <c r="E268" t="str">
        <f>"R06.01.01"</f>
        <v>R06.01.01</v>
      </c>
      <c r="F268" t="str">
        <f>"R11.12.31"</f>
        <v>R11.12.31</v>
      </c>
    </row>
    <row r="269" spans="1:6" x14ac:dyDescent="0.2">
      <c r="A269" t="str">
        <f>"第274号"</f>
        <v>第274号</v>
      </c>
      <c r="B269" t="str">
        <f>"合資会社下田薬局"</f>
        <v>合資会社下田薬局</v>
      </c>
      <c r="C269" t="str">
        <f>"合資会社下田薬局"</f>
        <v>合資会社下田薬局</v>
      </c>
      <c r="D269" t="str">
        <f>"熊本県水俣市桜井町１丁目５番６号"</f>
        <v>熊本県水俣市桜井町１丁目５番６号</v>
      </c>
      <c r="E269" t="str">
        <f>"R06.01.01"</f>
        <v>R06.01.01</v>
      </c>
      <c r="F269" t="str">
        <f>"R11.12.31"</f>
        <v>R11.12.31</v>
      </c>
    </row>
    <row r="270" spans="1:6" x14ac:dyDescent="0.2">
      <c r="A270" t="str">
        <f>"第1094号"</f>
        <v>第1094号</v>
      </c>
      <c r="B270" t="str">
        <f>"合資会社文化堂薬局"</f>
        <v>合資会社文化堂薬局</v>
      </c>
      <c r="C270" t="str">
        <f>"合資会社文化堂薬局"</f>
        <v>合資会社文化堂薬局</v>
      </c>
      <c r="D270" t="str">
        <f>"熊本県葦北郡芦北町湯浦２２７番地の２"</f>
        <v>熊本県葦北郡芦北町湯浦２２７番地の２</v>
      </c>
      <c r="E270" t="str">
        <f>"R05.01.01"</f>
        <v>R05.01.01</v>
      </c>
      <c r="F270" t="str">
        <f>"R10.12.31"</f>
        <v>R10.12.31</v>
      </c>
    </row>
    <row r="271" spans="1:6" x14ac:dyDescent="0.2">
      <c r="A271" t="str">
        <f>"第1927号"</f>
        <v>第1927号</v>
      </c>
      <c r="B271" t="str">
        <f>"南九産業株式会社"</f>
        <v>南九産業株式会社</v>
      </c>
      <c r="C271" t="str">
        <f>"吉富薬局"</f>
        <v>吉富薬局</v>
      </c>
      <c r="D271" t="str">
        <f>"水俣市陣内１丁目４番８号"</f>
        <v>水俣市陣内１丁目４番８号</v>
      </c>
      <c r="E271" t="str">
        <f>"R03.01.01"</f>
        <v>R03.01.01</v>
      </c>
      <c r="F271" t="str">
        <f>"R08.12.31"</f>
        <v>R08.12.31</v>
      </c>
    </row>
    <row r="272" spans="1:6" x14ac:dyDescent="0.2">
      <c r="A272" t="str">
        <f>"第1874号"</f>
        <v>第1874号</v>
      </c>
      <c r="B272" t="str">
        <f>"有限会社やまだ薬局"</f>
        <v>有限会社やまだ薬局</v>
      </c>
      <c r="C272" t="str">
        <f>"有限会社やまだ薬局"</f>
        <v>有限会社やまだ薬局</v>
      </c>
      <c r="D272" t="str">
        <f>"水俣市天神町二丁目２３－２"</f>
        <v>水俣市天神町二丁目２３－２</v>
      </c>
      <c r="E272" t="str">
        <f>"R02.01.01"</f>
        <v>R02.01.01</v>
      </c>
      <c r="F272" t="str">
        <f>"R07.12.31"</f>
        <v>R07.12.31</v>
      </c>
    </row>
    <row r="273" spans="1:6" x14ac:dyDescent="0.2">
      <c r="A273" t="str">
        <f>"第2636号"</f>
        <v>第2636号</v>
      </c>
      <c r="B273" t="str">
        <f>"さくら薬局株式会社"</f>
        <v>さくら薬局株式会社</v>
      </c>
      <c r="C273" t="str">
        <f>"さくら調剤薬局　医療センター前店"</f>
        <v>さくら調剤薬局　医療センター前店</v>
      </c>
      <c r="D273" t="str">
        <f>"人吉市老神町２７番地１"</f>
        <v>人吉市老神町２７番地１</v>
      </c>
      <c r="E273" t="str">
        <f t="shared" ref="E273:E275" si="1">"R05.11.01"</f>
        <v>R05.11.01</v>
      </c>
      <c r="F273" t="str">
        <f>"R11.10.31"</f>
        <v>R11.10.31</v>
      </c>
    </row>
    <row r="274" spans="1:6" x14ac:dyDescent="0.2">
      <c r="A274" t="str">
        <f>"第2639号"</f>
        <v>第2639号</v>
      </c>
      <c r="B274" t="str">
        <f>"さくら薬局株式会社"</f>
        <v>さくら薬局株式会社</v>
      </c>
      <c r="C274" t="str">
        <f>"さくら調剤薬局　西間店"</f>
        <v>さくら調剤薬局　西間店</v>
      </c>
      <c r="D274" t="str">
        <f>"人吉市西間上町字今宮２５７４－２"</f>
        <v>人吉市西間上町字今宮２５７４－２</v>
      </c>
      <c r="E274" t="str">
        <f t="shared" si="1"/>
        <v>R05.11.01</v>
      </c>
      <c r="F274" t="str">
        <f>"R11.10.31"</f>
        <v>R11.10.31</v>
      </c>
    </row>
    <row r="275" spans="1:6" x14ac:dyDescent="0.2">
      <c r="A275" t="str">
        <f>"第2637号"</f>
        <v>第2637号</v>
      </c>
      <c r="B275" t="str">
        <f>"さくら薬局株式会社"</f>
        <v>さくら薬局株式会社</v>
      </c>
      <c r="C275" t="str">
        <f>"さくら調剤薬局　瓦屋店"</f>
        <v>さくら調剤薬局　瓦屋店</v>
      </c>
      <c r="D275" t="str">
        <f>"人吉市瓦屋町１７２０－６"</f>
        <v>人吉市瓦屋町１７２０－６</v>
      </c>
      <c r="E275" t="str">
        <f t="shared" si="1"/>
        <v>R05.11.01</v>
      </c>
      <c r="F275" t="str">
        <f>"R11.10.31"</f>
        <v>R11.10.31</v>
      </c>
    </row>
    <row r="276" spans="1:6" x14ac:dyDescent="0.2">
      <c r="A276" t="str">
        <f>"第1836号"</f>
        <v>第1836号</v>
      </c>
      <c r="B276" t="str">
        <f>"株式会社ユニスマイル"</f>
        <v>株式会社ユニスマイル</v>
      </c>
      <c r="C276" t="str">
        <f>"ユニスマイル薬局　多良木いちご店"</f>
        <v>ユニスマイル薬局　多良木いちご店</v>
      </c>
      <c r="D276" t="str">
        <f>"球磨郡多良木町大字多良木４２４７番地の１"</f>
        <v>球磨郡多良木町大字多良木４２４７番地の１</v>
      </c>
      <c r="E276" t="str">
        <f>"R02.03.27"</f>
        <v>R02.03.27</v>
      </c>
      <c r="F276" t="str">
        <f>"R08.03.26"</f>
        <v>R08.03.26</v>
      </c>
    </row>
    <row r="277" spans="1:6" x14ac:dyDescent="0.2">
      <c r="A277" t="str">
        <f>"第2420号"</f>
        <v>第2420号</v>
      </c>
      <c r="B277" t="str">
        <f>"株式会社七草堂"</f>
        <v>株式会社七草堂</v>
      </c>
      <c r="C277" t="str">
        <f>"うさぎ薬局　人吉店"</f>
        <v>うさぎ薬局　人吉店</v>
      </c>
      <c r="D277" t="str">
        <f>"人吉市鍛冶屋町６５番地"</f>
        <v>人吉市鍛冶屋町６５番地</v>
      </c>
      <c r="E277" t="str">
        <f>"R02.01.01"</f>
        <v>R02.01.01</v>
      </c>
      <c r="F277" t="str">
        <f>"R07.12.31"</f>
        <v>R07.12.31</v>
      </c>
    </row>
    <row r="278" spans="1:6" x14ac:dyDescent="0.2">
      <c r="A278" t="str">
        <f>"第2682号"</f>
        <v>第2682号</v>
      </c>
      <c r="B278" t="str">
        <f>"株式会社ＣＩＳファーマシィ"</f>
        <v>株式会社ＣＩＳファーマシィ</v>
      </c>
      <c r="C278" t="str">
        <f>"クスノキ薬局あいだ店"</f>
        <v>クスノキ薬局あいだ店</v>
      </c>
      <c r="D278" t="str">
        <f>"人吉市東間上町２８７８番３"</f>
        <v>人吉市東間上町２８７８番３</v>
      </c>
      <c r="E278" t="str">
        <f>"R07.05.01"</f>
        <v>R07.05.01</v>
      </c>
      <c r="F278" t="str">
        <f>"R13.04.30"</f>
        <v>R13.04.30</v>
      </c>
    </row>
    <row r="279" spans="1:6" x14ac:dyDescent="0.2">
      <c r="A279" t="str">
        <f>"第2403号"</f>
        <v>第2403号</v>
      </c>
      <c r="B279" t="str">
        <f>"株式会社ＣＩＳファーマシィ"</f>
        <v>株式会社ＣＩＳファーマシィ</v>
      </c>
      <c r="C279" t="str">
        <f>"クスノキ薬局　桜の里店"</f>
        <v>クスノキ薬局　桜の里店</v>
      </c>
      <c r="D279" t="str">
        <f>"球磨郡水上村岩野２６７５－４"</f>
        <v>球磨郡水上村岩野２６７５－４</v>
      </c>
      <c r="E279" t="str">
        <f>"R02.01.01"</f>
        <v>R02.01.01</v>
      </c>
      <c r="F279" t="str">
        <f>"R07.12.31"</f>
        <v>R07.12.31</v>
      </c>
    </row>
    <row r="280" spans="1:6" x14ac:dyDescent="0.2">
      <c r="A280" t="str">
        <f>"第2673号"</f>
        <v>第2673号</v>
      </c>
      <c r="B280" t="str">
        <f>"株式会社ファルマウニオン"</f>
        <v>株式会社ファルマウニオン</v>
      </c>
      <c r="C280" t="str">
        <f>"高階誠心堂薬局かわらや店"</f>
        <v>高階誠心堂薬局かわらや店</v>
      </c>
      <c r="D280" t="str">
        <f>"人吉市瓦屋町１４６３"</f>
        <v>人吉市瓦屋町１４６３</v>
      </c>
      <c r="E280" t="str">
        <f>"R07.01.01"</f>
        <v>R07.01.01</v>
      </c>
      <c r="F280" t="str">
        <f>"R12.12.31"</f>
        <v>R12.12.31</v>
      </c>
    </row>
    <row r="281" spans="1:6" x14ac:dyDescent="0.2">
      <c r="A281" t="str">
        <f>"第2638号"</f>
        <v>第2638号</v>
      </c>
      <c r="B281" t="str">
        <f>"さくら薬局株式会社"</f>
        <v>さくら薬局株式会社</v>
      </c>
      <c r="C281" t="str">
        <f>"さくら調剤薬局　九日町店"</f>
        <v>さくら調剤薬局　九日町店</v>
      </c>
      <c r="D281" t="str">
        <f>"人吉市九日町１０２番１"</f>
        <v>人吉市九日町１０２番１</v>
      </c>
      <c r="E281" t="str">
        <f>"R05.11.01"</f>
        <v>R05.11.01</v>
      </c>
      <c r="F281" t="str">
        <f>"R11.10.31"</f>
        <v>R11.10.31</v>
      </c>
    </row>
    <row r="282" spans="1:6" x14ac:dyDescent="0.2">
      <c r="A282" t="str">
        <f>"第2635号"</f>
        <v>第2635号</v>
      </c>
      <c r="B282" t="str">
        <f>"さくら薬局株式会社"</f>
        <v>さくら薬局株式会社</v>
      </c>
      <c r="C282" t="str">
        <f>"さくら調剤薬局　人吉店"</f>
        <v>さくら調剤薬局　人吉店</v>
      </c>
      <c r="D282" t="str">
        <f>"人吉市土手町３７番地"</f>
        <v>人吉市土手町３７番地</v>
      </c>
      <c r="E282" t="str">
        <f>"R05.11.01"</f>
        <v>R05.11.01</v>
      </c>
      <c r="F282" t="str">
        <f>"R11.10.31"</f>
        <v>R11.10.31</v>
      </c>
    </row>
    <row r="283" spans="1:6" x14ac:dyDescent="0.2">
      <c r="A283" t="str">
        <f>"第1284号"</f>
        <v>第1284号</v>
      </c>
      <c r="B283" t="str">
        <f>"有限会社ミユキ薬局"</f>
        <v>有限会社ミユキ薬局</v>
      </c>
      <c r="C283" t="str">
        <f>"有限会社ミユキ薬局インター店"</f>
        <v>有限会社ミユキ薬局インター店</v>
      </c>
      <c r="D283" t="str">
        <f>"人吉市鬼木町７４５番地４"</f>
        <v>人吉市鬼木町７４５番地４</v>
      </c>
      <c r="E283" t="str">
        <f>"R04.01.01"</f>
        <v>R04.01.01</v>
      </c>
      <c r="F283" t="str">
        <f>"R09.12.31"</f>
        <v>R09.12.31</v>
      </c>
    </row>
    <row r="284" spans="1:6" x14ac:dyDescent="0.2">
      <c r="A284" t="str">
        <f>"第2144号"</f>
        <v>第2144号</v>
      </c>
      <c r="B284" t="str">
        <f>"有限会社ココ薬局"</f>
        <v>有限会社ココ薬局</v>
      </c>
      <c r="C284" t="str">
        <f>"ココ薬局"</f>
        <v>ココ薬局</v>
      </c>
      <c r="D284" t="str">
        <f>"人吉市南泉田町７５－５"</f>
        <v>人吉市南泉田町７５－５</v>
      </c>
      <c r="E284" t="str">
        <f>"R02.01.01"</f>
        <v>R02.01.01</v>
      </c>
      <c r="F284" t="str">
        <f>"R07.12.31"</f>
        <v>R07.12.31</v>
      </c>
    </row>
    <row r="285" spans="1:6" x14ac:dyDescent="0.2">
      <c r="A285" t="str">
        <f>"第2675号"</f>
        <v>第2675号</v>
      </c>
      <c r="B285" t="str">
        <f>"株式会社ファルマウニオン"</f>
        <v>株式会社ファルマウニオン</v>
      </c>
      <c r="C285" t="str">
        <f>"高階誠心堂薬局たらぎ店"</f>
        <v>高階誠心堂薬局たらぎ店</v>
      </c>
      <c r="D285" t="str">
        <f>"球磨郡多良木町多良木２６６"</f>
        <v>球磨郡多良木町多良木２６６</v>
      </c>
      <c r="E285" t="str">
        <f t="shared" ref="E285:E289" si="2">"R07.01.01"</f>
        <v>R07.01.01</v>
      </c>
      <c r="F285" t="str">
        <f>"R12.12.31"</f>
        <v>R12.12.31</v>
      </c>
    </row>
    <row r="286" spans="1:6" x14ac:dyDescent="0.2">
      <c r="A286" t="str">
        <f>"第2670号"</f>
        <v>第2670号</v>
      </c>
      <c r="B286" t="str">
        <f>"株式会社ファルマウニオン"</f>
        <v>株式会社ファルマウニオン</v>
      </c>
      <c r="C286" t="str">
        <f>"高階誠心堂薬局"</f>
        <v>高階誠心堂薬局</v>
      </c>
      <c r="D286" t="str">
        <f>"人吉市上青井町１８０－３"</f>
        <v>人吉市上青井町１８０－３</v>
      </c>
      <c r="E286" t="str">
        <f t="shared" si="2"/>
        <v>R07.01.01</v>
      </c>
      <c r="F286" t="str">
        <f>"R12.12.31"</f>
        <v>R12.12.31</v>
      </c>
    </row>
    <row r="287" spans="1:6" x14ac:dyDescent="0.2">
      <c r="A287" t="str">
        <f>"第2671号"</f>
        <v>第2671号</v>
      </c>
      <c r="B287" t="str">
        <f>"株式会社ファルマウニオン"</f>
        <v>株式会社ファルマウニオン</v>
      </c>
      <c r="C287" t="str">
        <f>"高階誠心堂薬局西間店"</f>
        <v>高階誠心堂薬局西間店</v>
      </c>
      <c r="D287" t="str">
        <f>"人吉市西間上町２３８７－８"</f>
        <v>人吉市西間上町２３８７－８</v>
      </c>
      <c r="E287" t="str">
        <f t="shared" si="2"/>
        <v>R07.01.01</v>
      </c>
      <c r="F287" t="str">
        <f>"R12.12.31"</f>
        <v>R12.12.31</v>
      </c>
    </row>
    <row r="288" spans="1:6" x14ac:dyDescent="0.2">
      <c r="A288" t="str">
        <f>"第2674号"</f>
        <v>第2674号</v>
      </c>
      <c r="B288" t="str">
        <f>"株式会社ファルマウニオン"</f>
        <v>株式会社ファルマウニオン</v>
      </c>
      <c r="C288" t="str">
        <f>"高階誠心堂錦調剤薬局"</f>
        <v>高階誠心堂錦調剤薬局</v>
      </c>
      <c r="D288" t="str">
        <f>"球磨郡錦町一武２１１１"</f>
        <v>球磨郡錦町一武２１１１</v>
      </c>
      <c r="E288" t="str">
        <f t="shared" si="2"/>
        <v>R07.01.01</v>
      </c>
      <c r="F288" t="str">
        <f>"R12.12.31"</f>
        <v>R12.12.31</v>
      </c>
    </row>
    <row r="289" spans="1:6" x14ac:dyDescent="0.2">
      <c r="A289" t="str">
        <f>"第2672号"</f>
        <v>第2672号</v>
      </c>
      <c r="B289" t="str">
        <f>"株式会社ファルマウニオン"</f>
        <v>株式会社ファルマウニオン</v>
      </c>
      <c r="C289" t="str">
        <f>"高階誠心堂薬局いずみだ店"</f>
        <v>高階誠心堂薬局いずみだ店</v>
      </c>
      <c r="D289" t="str">
        <f>"人吉市南泉田町７０－９"</f>
        <v>人吉市南泉田町７０－９</v>
      </c>
      <c r="E289" t="str">
        <f t="shared" si="2"/>
        <v>R07.01.01</v>
      </c>
      <c r="F289" t="str">
        <f>"R12.12.31"</f>
        <v>R12.12.31</v>
      </c>
    </row>
    <row r="290" spans="1:6" x14ac:dyDescent="0.2">
      <c r="A290" t="str">
        <f>"第2321号"</f>
        <v>第2321号</v>
      </c>
      <c r="B290" t="str">
        <f>"有限会社メディカル茜"</f>
        <v>有限会社メディカル茜</v>
      </c>
      <c r="C290" t="str">
        <f>"人吉けんこう堂薬局"</f>
        <v>人吉けんこう堂薬局</v>
      </c>
      <c r="D290" t="str">
        <f>"人吉市瓦屋町１１２１番地４号"</f>
        <v>人吉市瓦屋町１１２１番地４号</v>
      </c>
      <c r="E290" t="str">
        <f>"R06.01.01"</f>
        <v>R06.01.01</v>
      </c>
      <c r="F290" t="str">
        <f>"R11.12.31"</f>
        <v>R11.12.31</v>
      </c>
    </row>
    <row r="291" spans="1:6" x14ac:dyDescent="0.2">
      <c r="A291" t="str">
        <f>"第1179号"</f>
        <v>第1179号</v>
      </c>
      <c r="B291" t="str">
        <f t="shared" ref="B291:B296" si="3">"株式会社ユネット"</f>
        <v>株式会社ユネット</v>
      </c>
      <c r="C291" t="str">
        <f>"清風薬局"</f>
        <v>清風薬局</v>
      </c>
      <c r="D291" t="str">
        <f>"球磨郡多良木町多良木４２４９"</f>
        <v>球磨郡多良木町多良木４２４９</v>
      </c>
      <c r="E291" t="str">
        <f>"R05.01.01"</f>
        <v>R05.01.01</v>
      </c>
      <c r="F291" t="str">
        <f>"R10.12.31"</f>
        <v>R10.12.31</v>
      </c>
    </row>
    <row r="292" spans="1:6" x14ac:dyDescent="0.2">
      <c r="A292" t="str">
        <f>"第2533号"</f>
        <v>第2533号</v>
      </c>
      <c r="B292" t="str">
        <f t="shared" si="3"/>
        <v>株式会社ユネット</v>
      </c>
      <c r="C292" t="str">
        <f>"清風薬局人吉店"</f>
        <v>清風薬局人吉店</v>
      </c>
      <c r="D292" t="str">
        <f>"人吉市土手町４１－３"</f>
        <v>人吉市土手町４１－３</v>
      </c>
      <c r="E292" t="str">
        <f>"R07.04.01"</f>
        <v>R07.04.01</v>
      </c>
      <c r="F292" t="str">
        <f>"R13.03.31"</f>
        <v>R13.03.31</v>
      </c>
    </row>
    <row r="293" spans="1:6" x14ac:dyDescent="0.2">
      <c r="A293" t="str">
        <f>"第2127号"</f>
        <v>第2127号</v>
      </c>
      <c r="B293" t="str">
        <f t="shared" si="3"/>
        <v>株式会社ユネット</v>
      </c>
      <c r="C293" t="str">
        <f>"清風薬局免田店"</f>
        <v>清風薬局免田店</v>
      </c>
      <c r="D293" t="str">
        <f>"球磨郡あさぎり町上北１６７"</f>
        <v>球磨郡あさぎり町上北１６７</v>
      </c>
      <c r="E293" t="str">
        <f>"R02.01.01"</f>
        <v>R02.01.01</v>
      </c>
      <c r="F293" t="str">
        <f>"R07.12.31"</f>
        <v>R07.12.31</v>
      </c>
    </row>
    <row r="294" spans="1:6" x14ac:dyDescent="0.2">
      <c r="A294" t="str">
        <f>"第1701号"</f>
        <v>第1701号</v>
      </c>
      <c r="B294" t="str">
        <f t="shared" si="3"/>
        <v>株式会社ユネット</v>
      </c>
      <c r="C294" t="str">
        <f>"清風薬局サンロード湯前店"</f>
        <v>清風薬局サンロード湯前店</v>
      </c>
      <c r="D294" t="str">
        <f>"球磨郡湯前町２２１４"</f>
        <v>球磨郡湯前町２２１４</v>
      </c>
      <c r="E294" t="str">
        <f>"R05.08.23"</f>
        <v>R05.08.23</v>
      </c>
      <c r="F294" t="str">
        <f>"R11.08.22"</f>
        <v>R11.08.22</v>
      </c>
    </row>
    <row r="295" spans="1:6" x14ac:dyDescent="0.2">
      <c r="A295" t="str">
        <f>"第1699号"</f>
        <v>第1699号</v>
      </c>
      <c r="B295" t="str">
        <f t="shared" si="3"/>
        <v>株式会社ユネット</v>
      </c>
      <c r="C295" t="str">
        <f>"清風薬局サンロード免田店"</f>
        <v>清風薬局サンロード免田店</v>
      </c>
      <c r="D295" t="str">
        <f>"球磨郡あさぎり町免田東１２５３－１"</f>
        <v>球磨郡あさぎり町免田東１２５３－１</v>
      </c>
      <c r="E295" t="str">
        <f>"R05.08.09"</f>
        <v>R05.08.09</v>
      </c>
      <c r="F295" t="str">
        <f>"R11.08.08"</f>
        <v>R11.08.08</v>
      </c>
    </row>
    <row r="296" spans="1:6" x14ac:dyDescent="0.2">
      <c r="A296" t="str">
        <f>"第2605号"</f>
        <v>第2605号</v>
      </c>
      <c r="B296" t="str">
        <f t="shared" si="3"/>
        <v>株式会社ユネット</v>
      </c>
      <c r="C296" t="str">
        <f>"清風はなみずき薬局"</f>
        <v>清風はなみずき薬局</v>
      </c>
      <c r="D296" t="str">
        <f>"人吉市九日町９２"</f>
        <v>人吉市九日町９２</v>
      </c>
      <c r="E296" t="str">
        <f>"R04.04.01"</f>
        <v>R04.04.01</v>
      </c>
      <c r="F296" t="str">
        <f>"R10.03.31"</f>
        <v>R10.03.31</v>
      </c>
    </row>
    <row r="297" spans="1:6" x14ac:dyDescent="0.2">
      <c r="A297" t="str">
        <f>"第1792号"</f>
        <v>第1792号</v>
      </c>
      <c r="B297" t="str">
        <f>"有限会社　ケイピ－エス・ネットワ－ク"</f>
        <v>有限会社　ケイピ－エス・ネットワ－ク</v>
      </c>
      <c r="C297" t="str">
        <f>"きりん薬局原田店"</f>
        <v>きりん薬局原田店</v>
      </c>
      <c r="D297" t="str">
        <f>"球磨郡多良木町大字多良木２８９９番地"</f>
        <v>球磨郡多良木町大字多良木２８９９番地</v>
      </c>
      <c r="E297" t="str">
        <f>"R07.01.01"</f>
        <v>R07.01.01</v>
      </c>
      <c r="F297" t="str">
        <f>"R12.12.31"</f>
        <v>R12.12.31</v>
      </c>
    </row>
    <row r="298" spans="1:6" x14ac:dyDescent="0.2">
      <c r="A298" t="str">
        <f>"第2496号"</f>
        <v>第2496号</v>
      </c>
      <c r="B298" t="str">
        <f>"有限会社　ケイピーエス・ネットワーク"</f>
        <v>有限会社　ケイピーエス・ネットワーク</v>
      </c>
      <c r="C298" t="str">
        <f>"きりん薬局　西間店"</f>
        <v>きりん薬局　西間店</v>
      </c>
      <c r="D298" t="str">
        <f>"人吉市西間上町今宮２５８２"</f>
        <v>人吉市西間上町今宮２５８２</v>
      </c>
      <c r="E298" t="str">
        <f>"R05.12.01"</f>
        <v>R05.12.01</v>
      </c>
      <c r="F298" t="str">
        <f>"R11.11.30"</f>
        <v>R11.11.30</v>
      </c>
    </row>
    <row r="299" spans="1:6" x14ac:dyDescent="0.2">
      <c r="A299" t="str">
        <f>"第2395号"</f>
        <v>第2395号</v>
      </c>
      <c r="B299" t="str">
        <f>"有限会社　ケイピーエス・ネットワーク"</f>
        <v>有限会社　ケイピーエス・ネットワーク</v>
      </c>
      <c r="C299" t="str">
        <f>"きりん薬局岡原店"</f>
        <v>きりん薬局岡原店</v>
      </c>
      <c r="D299" t="str">
        <f>"球磨郡あさぎり町岡原北９６０番地２"</f>
        <v>球磨郡あさぎり町岡原北９６０番地２</v>
      </c>
      <c r="E299" t="str">
        <f>"R07.01.01"</f>
        <v>R07.01.01</v>
      </c>
      <c r="F299" t="str">
        <f>"R12.12.31"</f>
        <v>R12.12.31</v>
      </c>
    </row>
    <row r="300" spans="1:6" x14ac:dyDescent="0.2">
      <c r="A300" t="str">
        <f>"第2589号"</f>
        <v>第2589号</v>
      </c>
      <c r="B300" t="str">
        <f>"有限会社　ケイピーエス・ネットワーク"</f>
        <v>有限会社　ケイピーエス・ネットワーク</v>
      </c>
      <c r="C300" t="str">
        <f>"きりん薬局　免田店"</f>
        <v>きりん薬局　免田店</v>
      </c>
      <c r="D300" t="str">
        <f>"球磨郡あさぎり町免田東２７９３番地３"</f>
        <v>球磨郡あさぎり町免田東２７９３番地３</v>
      </c>
      <c r="E300" t="str">
        <f>"R03.06.30"</f>
        <v>R03.06.30</v>
      </c>
      <c r="F300" t="str">
        <f>"R09.06.29"</f>
        <v>R09.06.29</v>
      </c>
    </row>
    <row r="301" spans="1:6" x14ac:dyDescent="0.2">
      <c r="A301" t="str">
        <f>"第1799号"</f>
        <v>第1799号</v>
      </c>
      <c r="B301" t="str">
        <f>"有限会社　アン"</f>
        <v>有限会社　アン</v>
      </c>
      <c r="C301" t="str">
        <f>"あけぼの薬局"</f>
        <v>あけぼの薬局</v>
      </c>
      <c r="D301" t="str">
        <f>"人吉市下新町３６２番地の４"</f>
        <v>人吉市下新町３６２番地の４</v>
      </c>
      <c r="E301" t="str">
        <f>"R07.01.01"</f>
        <v>R07.01.01</v>
      </c>
      <c r="F301" t="str">
        <f>"R12.12.31"</f>
        <v>R12.12.31</v>
      </c>
    </row>
    <row r="302" spans="1:6" x14ac:dyDescent="0.2">
      <c r="A302" t="str">
        <f>"第2560号"</f>
        <v>第2560号</v>
      </c>
      <c r="B302" t="str">
        <f>"総合メディカル株式会社"</f>
        <v>総合メディカル株式会社</v>
      </c>
      <c r="C302" t="str">
        <f>"ひご薬局下林店"</f>
        <v>ひご薬局下林店</v>
      </c>
      <c r="D302" t="str">
        <f>"人吉市下林町２３１－２"</f>
        <v>人吉市下林町２３１－２</v>
      </c>
      <c r="E302" t="str">
        <f>"R02.04.01"</f>
        <v>R02.04.01</v>
      </c>
      <c r="F302" t="str">
        <f>"R08.03.31"</f>
        <v>R08.03.31</v>
      </c>
    </row>
    <row r="303" spans="1:6" x14ac:dyDescent="0.2">
      <c r="A303" t="str">
        <f>"第2654号"</f>
        <v>第2654号</v>
      </c>
      <c r="B303" t="str">
        <f>"株式会社ＴｉｅＭＵ"</f>
        <v>株式会社ＴｉｅＭＵ</v>
      </c>
      <c r="C303" t="str">
        <f>"あいあい薬局　人吉店"</f>
        <v>あいあい薬局　人吉店</v>
      </c>
      <c r="D303" t="str">
        <f>"人吉市蟹作町１１０８－４"</f>
        <v>人吉市蟹作町１１０８－４</v>
      </c>
      <c r="E303" t="str">
        <f>"R06.04.11"</f>
        <v>R06.04.11</v>
      </c>
      <c r="F303" t="str">
        <f>"R12.04.10"</f>
        <v>R12.04.10</v>
      </c>
    </row>
    <row r="304" spans="1:6" x14ac:dyDescent="0.2">
      <c r="A304" t="str">
        <f>"第1708号"</f>
        <v>第1708号</v>
      </c>
      <c r="B304" t="str">
        <f>"株式会社　アテナ"</f>
        <v>株式会社　アテナ</v>
      </c>
      <c r="C304" t="str">
        <f>"たんぽぽ薬局"</f>
        <v>たんぽぽ薬局</v>
      </c>
      <c r="D304" t="str">
        <f>"人吉市相良町７－２７"</f>
        <v>人吉市相良町７－２７</v>
      </c>
      <c r="E304" t="str">
        <f>"R05.01.01"</f>
        <v>R05.01.01</v>
      </c>
      <c r="F304" t="str">
        <f>"R10.12.31"</f>
        <v>R10.12.31</v>
      </c>
    </row>
    <row r="305" spans="1:6" x14ac:dyDescent="0.2">
      <c r="A305" t="str">
        <f>"第2178号"</f>
        <v>第2178号</v>
      </c>
      <c r="B305" t="str">
        <f>"合資会社山口薬局"</f>
        <v>合資会社山口薬局</v>
      </c>
      <c r="C305" t="str">
        <f>"合資会社山口薬局・ピーチ店"</f>
        <v>合資会社山口薬局・ピーチ店</v>
      </c>
      <c r="D305" t="str">
        <f>"球磨郡多良木町多良木２５９－１０"</f>
        <v>球磨郡多良木町多良木２５９－１０</v>
      </c>
      <c r="E305" t="str">
        <f>"R03.01.01"</f>
        <v>R03.01.01</v>
      </c>
      <c r="F305" t="str">
        <f>"R08.12.31"</f>
        <v>R08.12.31</v>
      </c>
    </row>
    <row r="306" spans="1:6" x14ac:dyDescent="0.2">
      <c r="A306" t="str">
        <f>"第687号"</f>
        <v>第687号</v>
      </c>
      <c r="B306" t="str">
        <f>"合資会社山口薬局"</f>
        <v>合資会社山口薬局</v>
      </c>
      <c r="C306" t="str">
        <f>"合資会社山口薬局"</f>
        <v>合資会社山口薬局</v>
      </c>
      <c r="D306" t="str">
        <f>"球磨郡多良木町多良木６５０番地"</f>
        <v>球磨郡多良木町多良木６５０番地</v>
      </c>
      <c r="E306" t="str">
        <f>"R06.01.01"</f>
        <v>R06.01.01</v>
      </c>
      <c r="F306" t="str">
        <f>"R11.12.31"</f>
        <v>R11.12.31</v>
      </c>
    </row>
    <row r="307" spans="1:6" x14ac:dyDescent="0.2">
      <c r="A307" t="str">
        <f>"第2418号"</f>
        <v>第2418号</v>
      </c>
      <c r="B307" t="str">
        <f>"株式会社ＣＩＳファーマシィ"</f>
        <v>株式会社ＣＩＳファーマシィ</v>
      </c>
      <c r="C307" t="str">
        <f>"クスノキ薬局　御薬園店"</f>
        <v>クスノキ薬局　御薬園店</v>
      </c>
      <c r="D307" t="str">
        <f>"人吉市七地町２０－５"</f>
        <v>人吉市七地町２０－５</v>
      </c>
      <c r="E307" t="str">
        <f>"R02.01.01"</f>
        <v>R02.01.01</v>
      </c>
      <c r="F307" t="str">
        <f>"R07.12.31"</f>
        <v>R07.12.31</v>
      </c>
    </row>
    <row r="308" spans="1:6" x14ac:dyDescent="0.2">
      <c r="A308" t="str">
        <f>"第2647号"</f>
        <v>第2647号</v>
      </c>
      <c r="B308" t="str">
        <f>"合資会社山口藥局"</f>
        <v>合資会社山口藥局</v>
      </c>
      <c r="C308" t="str">
        <f>"くろひじ薬局"</f>
        <v>くろひじ薬局</v>
      </c>
      <c r="D308" t="str">
        <f>"球磨郡多良木町大字黒肥地１６１３番地６"</f>
        <v>球磨郡多良木町大字黒肥地１６１３番地６</v>
      </c>
      <c r="E308" t="str">
        <f>"R06.01.15"</f>
        <v>R06.01.15</v>
      </c>
      <c r="F308" t="str">
        <f>"R11.12.31"</f>
        <v>R11.12.31</v>
      </c>
    </row>
    <row r="309" spans="1:6" x14ac:dyDescent="0.2">
      <c r="A309" t="str">
        <f>"第2057号"</f>
        <v>第2057号</v>
      </c>
      <c r="B309" t="str">
        <f>"株式会社アテナ"</f>
        <v>株式会社アテナ</v>
      </c>
      <c r="C309" t="str">
        <f>"宝来調剤薬局"</f>
        <v>宝来調剤薬局</v>
      </c>
      <c r="D309" t="str">
        <f>"人吉市宝来町８０番地の３"</f>
        <v>人吉市宝来町８０番地の３</v>
      </c>
      <c r="E309" t="str">
        <f>"R06.01.01"</f>
        <v>R06.01.01</v>
      </c>
      <c r="F309" t="str">
        <f>"R11.12.31"</f>
        <v>R11.12.31</v>
      </c>
    </row>
    <row r="310" spans="1:6" x14ac:dyDescent="0.2">
      <c r="A310" t="str">
        <f>"第1889号"</f>
        <v>第1889号</v>
      </c>
      <c r="B310" t="str">
        <f>"有限会社くすりのエスエス堂"</f>
        <v>有限会社くすりのエスエス堂</v>
      </c>
      <c r="C310" t="str">
        <f>"（有）くすりのエスエス堂　きりん本町薬局"</f>
        <v>（有）くすりのエスエス堂　きりん本町薬局</v>
      </c>
      <c r="D310" t="str">
        <f>"球磨郡あさぎり町免田東１４９７"</f>
        <v>球磨郡あさぎり町免田東１４９７</v>
      </c>
      <c r="E310" t="str">
        <f>"R03.01.01"</f>
        <v>R03.01.01</v>
      </c>
      <c r="F310" t="str">
        <f>"R08.12.31"</f>
        <v>R08.12.31</v>
      </c>
    </row>
    <row r="311" spans="1:6" x14ac:dyDescent="0.2">
      <c r="A311" t="str">
        <f>"第1796号"</f>
        <v>第1796号</v>
      </c>
      <c r="B311" t="str">
        <f>"有限会社　たらぎ調剤薬局"</f>
        <v>有限会社　たらぎ調剤薬局</v>
      </c>
      <c r="C311" t="str">
        <f>"たらぎ調剤薬局"</f>
        <v>たらぎ調剤薬局</v>
      </c>
      <c r="D311" t="str">
        <f>"球磨郡多良木町大字多良木２９０５番地の４"</f>
        <v>球磨郡多良木町大字多良木２９０５番地の４</v>
      </c>
      <c r="E311" t="str">
        <f>"R07.01.01"</f>
        <v>R07.01.01</v>
      </c>
      <c r="F311" t="str">
        <f>"R12.12.31"</f>
        <v>R12.12.31</v>
      </c>
    </row>
    <row r="312" spans="1:6" x14ac:dyDescent="0.2">
      <c r="A312" t="str">
        <f>"第2087号"</f>
        <v>第2087号</v>
      </c>
      <c r="B312" t="str">
        <f>"有限会社くすりのエスエス堂"</f>
        <v>有限会社くすりのエスエス堂</v>
      </c>
      <c r="C312" t="str">
        <f>"百太郎薬局"</f>
        <v>百太郎薬局</v>
      </c>
      <c r="D312" t="str">
        <f>"球磨郡錦町西字百太郎３６０４－１０５"</f>
        <v>球磨郡錦町西字百太郎３６０４－１０５</v>
      </c>
      <c r="E312" t="str">
        <f>"R07.01.01"</f>
        <v>R07.01.01</v>
      </c>
      <c r="F312" t="str">
        <f>"R12.12.31"</f>
        <v>R12.12.31</v>
      </c>
    </row>
    <row r="313" spans="1:6" x14ac:dyDescent="0.2">
      <c r="A313" t="str">
        <f>"第2059号"</f>
        <v>第2059号</v>
      </c>
      <c r="B313" t="str">
        <f>"株式会社アテナ"</f>
        <v>株式会社アテナ</v>
      </c>
      <c r="C313" t="str">
        <f>"翠薬局"</f>
        <v>翠薬局</v>
      </c>
      <c r="D313" t="str">
        <f>"人吉市蓑野町字立野６３０－１１"</f>
        <v>人吉市蓑野町字立野６３０－１１</v>
      </c>
      <c r="E313" t="str">
        <f>"R06.01.01"</f>
        <v>R06.01.01</v>
      </c>
      <c r="F313" t="str">
        <f>"R11.12.31"</f>
        <v>R11.12.31</v>
      </c>
    </row>
    <row r="314" spans="1:6" x14ac:dyDescent="0.2">
      <c r="A314" t="str">
        <f>"第2239号"</f>
        <v>第2239号</v>
      </c>
      <c r="B314" t="str">
        <f>"有限会社コスモメディカル"</f>
        <v>有限会社コスモメディカル</v>
      </c>
      <c r="C314" t="str">
        <f>"くま薬局"</f>
        <v>くま薬局</v>
      </c>
      <c r="D314" t="str">
        <f>"球磨郡相良村川辺１８０６"</f>
        <v>球磨郡相良村川辺１８０６</v>
      </c>
      <c r="E314" t="str">
        <f>"R04.05.01"</f>
        <v>R04.05.01</v>
      </c>
      <c r="F314" t="str">
        <f>"R10.04.30"</f>
        <v>R10.04.30</v>
      </c>
    </row>
    <row r="315" spans="1:6" x14ac:dyDescent="0.2">
      <c r="A315" t="str">
        <f>"第1579号"</f>
        <v>第1579号</v>
      </c>
      <c r="B315" t="str">
        <f>"有限会社海星薬局"</f>
        <v>有限会社海星薬局</v>
      </c>
      <c r="C315" t="str">
        <f>"にのまち薬局"</f>
        <v>にのまち薬局</v>
      </c>
      <c r="D315" t="str">
        <f>"人吉市二日町５０番地"</f>
        <v>人吉市二日町５０番地</v>
      </c>
      <c r="E315" t="str">
        <f>"R06.01.01"</f>
        <v>R06.01.01</v>
      </c>
      <c r="F315" t="str">
        <f>"R11.12.31"</f>
        <v>R11.12.31</v>
      </c>
    </row>
    <row r="316" spans="1:6" x14ac:dyDescent="0.2">
      <c r="A316" t="str">
        <f>"第1937号"</f>
        <v>第1937号</v>
      </c>
      <c r="B316" t="str">
        <f>"有限会社プラスエンゼル"</f>
        <v>有限会社プラスエンゼル</v>
      </c>
      <c r="C316" t="str">
        <f>"ぎんなん薬局"</f>
        <v>ぎんなん薬局</v>
      </c>
      <c r="D316" t="str">
        <f>"人吉市宝来町１０－６"</f>
        <v>人吉市宝来町１０－６</v>
      </c>
      <c r="E316" t="str">
        <f>"R03.01.01"</f>
        <v>R03.01.01</v>
      </c>
      <c r="F316" t="str">
        <f>"R08.12.31"</f>
        <v>R08.12.31</v>
      </c>
    </row>
    <row r="317" spans="1:6" x14ac:dyDescent="0.2">
      <c r="A317" t="str">
        <f>"第2585号"</f>
        <v>第2585号</v>
      </c>
      <c r="B317" t="str">
        <f>"有限会社くすりのエスエス堂"</f>
        <v>有限会社くすりのエスエス堂</v>
      </c>
      <c r="C317" t="str">
        <f>"(有)くすりのエスエス堂薬局　城本店"</f>
        <v>(有)くすりのエスエス堂薬局　城本店</v>
      </c>
      <c r="D317" t="str">
        <f>"人吉市下城本町１４３５－２"</f>
        <v>人吉市下城本町１４３５－２</v>
      </c>
      <c r="E317" t="str">
        <f>"R03.04.27"</f>
        <v>R03.04.27</v>
      </c>
      <c r="F317" t="str">
        <f>"R09.04.26"</f>
        <v>R09.04.26</v>
      </c>
    </row>
    <row r="318" spans="1:6" x14ac:dyDescent="0.2">
      <c r="A318" t="str">
        <f>"第1023号"</f>
        <v>第1023号</v>
      </c>
      <c r="B318" t="str">
        <f>"有限会社まえだ"</f>
        <v>有限会社まえだ</v>
      </c>
      <c r="C318" t="str">
        <f>"駒井田調剤薬局"</f>
        <v>駒井田調剤薬局</v>
      </c>
      <c r="D318" t="str">
        <f>"人吉市駒井田町１０７９－３"</f>
        <v>人吉市駒井田町１０７９－３</v>
      </c>
      <c r="E318" t="str">
        <f>"R06.01.01"</f>
        <v>R06.01.01</v>
      </c>
      <c r="F318" t="str">
        <f>"R11.12.31"</f>
        <v>R11.12.31</v>
      </c>
    </row>
    <row r="319" spans="1:6" x14ac:dyDescent="0.2">
      <c r="A319" t="str">
        <f>"第1577号"</f>
        <v>第1577号</v>
      </c>
      <c r="B319" t="str">
        <f>"有限会社まえだ"</f>
        <v>有限会社まえだ</v>
      </c>
      <c r="C319" t="str">
        <f>"まえだ薬局"</f>
        <v>まえだ薬局</v>
      </c>
      <c r="D319" t="str">
        <f>"人吉市鍛冶屋町６３－６６"</f>
        <v>人吉市鍛冶屋町６３－６６</v>
      </c>
      <c r="E319" t="str">
        <f>"R06.01.01"</f>
        <v>R06.01.01</v>
      </c>
      <c r="F319" t="str">
        <f>"R11.12.31"</f>
        <v>R11.12.31</v>
      </c>
    </row>
    <row r="320" spans="1:6" x14ac:dyDescent="0.2">
      <c r="A320" t="str">
        <f>"第1533号"</f>
        <v>第1533号</v>
      </c>
      <c r="B320" t="str">
        <f>"有限会社みずき薬局"</f>
        <v>有限会社みずき薬局</v>
      </c>
      <c r="C320" t="str">
        <f>"有限会社　みずき薬局"</f>
        <v>有限会社　みずき薬局</v>
      </c>
      <c r="D320" t="str">
        <f>"人吉市鶴田町１１の２"</f>
        <v>人吉市鶴田町１１の２</v>
      </c>
      <c r="E320" t="str">
        <f>"R06.03.21"</f>
        <v>R06.03.21</v>
      </c>
      <c r="F320" t="str">
        <f>"R12.03.20"</f>
        <v>R12.03.20</v>
      </c>
    </row>
    <row r="321" spans="1:6" x14ac:dyDescent="0.2">
      <c r="A321" t="str">
        <f>"第1668号"</f>
        <v>第1668号</v>
      </c>
      <c r="B321" t="str">
        <f>"トライアド熊本有限会社"</f>
        <v>トライアド熊本有限会社</v>
      </c>
      <c r="C321" t="str">
        <f>"ひご薬局　多良木店"</f>
        <v>ひご薬局　多良木店</v>
      </c>
      <c r="D321" t="str">
        <f>"球磨郡多良木町字下迫田９６５－１"</f>
        <v>球磨郡多良木町字下迫田９６５－１</v>
      </c>
      <c r="E321" t="str">
        <f>"R05.01.20"</f>
        <v>R05.01.20</v>
      </c>
      <c r="F321" t="str">
        <f>"R11.01.19"</f>
        <v>R11.01.19</v>
      </c>
    </row>
    <row r="322" spans="1:6" x14ac:dyDescent="0.2">
      <c r="A322" t="str">
        <f>"第2500号"</f>
        <v>第2500号</v>
      </c>
      <c r="B322" t="str">
        <f>"有限会社さしき薬局"</f>
        <v>有限会社さしき薬局</v>
      </c>
      <c r="C322" t="str">
        <f>"くるみ薬局"</f>
        <v>くるみ薬局</v>
      </c>
      <c r="D322" t="str">
        <f>"球磨郡あさぎり町上北１８１"</f>
        <v>球磨郡あさぎり町上北１８１</v>
      </c>
      <c r="E322" t="str">
        <f>"R06.01.01"</f>
        <v>R06.01.01</v>
      </c>
      <c r="F322" t="str">
        <f>"R11.12.31"</f>
        <v>R11.12.31</v>
      </c>
    </row>
    <row r="323" spans="1:6" x14ac:dyDescent="0.2">
      <c r="A323" t="str">
        <f>"第1534号"</f>
        <v>第1534号</v>
      </c>
      <c r="B323" t="str">
        <f>"株式会社アテナ"</f>
        <v>株式会社アテナ</v>
      </c>
      <c r="C323" t="str">
        <f>"ひまわり薬局"</f>
        <v>ひまわり薬局</v>
      </c>
      <c r="D323" t="str">
        <f>"人吉市宝来町１２８４番地の３"</f>
        <v>人吉市宝来町１２８４番地の３</v>
      </c>
      <c r="E323" t="str">
        <f>"R06.01.01"</f>
        <v>R06.01.01</v>
      </c>
      <c r="F323" t="str">
        <f>"R11.12.31"</f>
        <v>R11.12.31</v>
      </c>
    </row>
    <row r="324" spans="1:6" x14ac:dyDescent="0.2">
      <c r="A324" t="str">
        <f>"第2139号"</f>
        <v>第2139号</v>
      </c>
      <c r="B324" t="str">
        <f>"有限会社ＪＡＭ"</f>
        <v>有限会社ＪＡＭ</v>
      </c>
      <c r="C324" t="str">
        <f>"あおい調剤薬局"</f>
        <v>あおい調剤薬局</v>
      </c>
      <c r="D324" t="str">
        <f>"人吉市上青井町１８０番地２３"</f>
        <v>人吉市上青井町１８０番地２３</v>
      </c>
      <c r="E324" t="str">
        <f>"R02.01.01"</f>
        <v>R02.01.01</v>
      </c>
      <c r="F324" t="str">
        <f>"R07.12.31"</f>
        <v>R07.12.31</v>
      </c>
    </row>
    <row r="325" spans="1:6" x14ac:dyDescent="0.2">
      <c r="A325" t="str">
        <f>"第1330号"</f>
        <v>第1330号</v>
      </c>
      <c r="B325" t="str">
        <f>"有限会社　犬童薬局"</f>
        <v>有限会社　犬童薬局</v>
      </c>
      <c r="C325" t="str">
        <f>"犬童薬局"</f>
        <v>犬童薬局</v>
      </c>
      <c r="D325" t="str">
        <f>"球磨郡湯前町９５２番地の８"</f>
        <v>球磨郡湯前町９５２番地の８</v>
      </c>
      <c r="E325" t="str">
        <f>"R05.01.01"</f>
        <v>R05.01.01</v>
      </c>
      <c r="F325" t="str">
        <f>"R10.12.31"</f>
        <v>R10.12.31</v>
      </c>
    </row>
    <row r="326" spans="1:6" x14ac:dyDescent="0.2">
      <c r="A326" t="str">
        <f>"第2483号"</f>
        <v>第2483号</v>
      </c>
      <c r="B326" t="str">
        <f>"イントロン株式会社"</f>
        <v>イントロン株式会社</v>
      </c>
      <c r="C326" t="str">
        <f>"つばめ薬局"</f>
        <v>つばめ薬局</v>
      </c>
      <c r="D326" t="str">
        <f>"球磨郡錦町西３６０４－３"</f>
        <v>球磨郡錦町西３６０４－３</v>
      </c>
      <c r="E326" t="str">
        <f>"R05.07.01"</f>
        <v>R05.07.01</v>
      </c>
      <c r="F326" t="str">
        <f>"R11.06.30"</f>
        <v>R11.06.30</v>
      </c>
    </row>
    <row r="327" spans="1:6" x14ac:dyDescent="0.2">
      <c r="A327" t="str">
        <f>"第1973号"</f>
        <v>第1973号</v>
      </c>
      <c r="B327" t="str">
        <f>"有限会社くすりのエスエス堂"</f>
        <v>有限会社くすりのエスエス堂</v>
      </c>
      <c r="C327" t="str">
        <f>"（有）くすりのエスエス堂薬局瓦屋店"</f>
        <v>（有）くすりのエスエス堂薬局瓦屋店</v>
      </c>
      <c r="D327" t="str">
        <f>"人吉市瓦屋町１８６６－２８"</f>
        <v>人吉市瓦屋町１８６６－２８</v>
      </c>
      <c r="E327" t="str">
        <f>"R04.01.01"</f>
        <v>R04.01.01</v>
      </c>
      <c r="F327" t="str">
        <f>"R09.12.31"</f>
        <v>R09.12.31</v>
      </c>
    </row>
    <row r="328" spans="1:6" x14ac:dyDescent="0.2">
      <c r="A328" t="str">
        <f>"第1614号"</f>
        <v>第1614号</v>
      </c>
      <c r="B328" t="str">
        <f>"有限会社　おかざき薬局"</f>
        <v>有限会社　おかざき薬局</v>
      </c>
      <c r="C328" t="str">
        <f>"おかざき薬局"</f>
        <v>おかざき薬局</v>
      </c>
      <c r="D328" t="str">
        <f>"球磨郡あさぎり町深田東４４５－２"</f>
        <v>球磨郡あさぎり町深田東４４５－２</v>
      </c>
      <c r="E328" t="str">
        <f>"R04.01.01"</f>
        <v>R04.01.01</v>
      </c>
      <c r="F328" t="str">
        <f>"R09.12.31"</f>
        <v>R09.12.31</v>
      </c>
    </row>
    <row r="329" spans="1:6" x14ac:dyDescent="0.2">
      <c r="A329" t="str">
        <f>"第1600号"</f>
        <v>第1600号</v>
      </c>
      <c r="B329" t="str">
        <f>"有限会社ケー・エムメディカルサービス"</f>
        <v>有限会社ケー・エムメディカルサービス</v>
      </c>
      <c r="C329" t="str">
        <f>"五日町薬局"</f>
        <v>五日町薬局</v>
      </c>
      <c r="D329" t="str">
        <f>"人吉市五日町４５"</f>
        <v>人吉市五日町４５</v>
      </c>
      <c r="E329" t="str">
        <f>"R04.03.11"</f>
        <v>R04.03.11</v>
      </c>
      <c r="F329" t="str">
        <f>"R10.03.10"</f>
        <v>R10.03.10</v>
      </c>
    </row>
    <row r="330" spans="1:6" x14ac:dyDescent="0.2">
      <c r="A330" t="str">
        <f>"第1932号"</f>
        <v>第1932号</v>
      </c>
      <c r="B330" t="str">
        <f>"総合メディカル株式会社"</f>
        <v>総合メディカル株式会社</v>
      </c>
      <c r="C330" t="str">
        <f>"そうごう薬局　立願寺店"</f>
        <v>そうごう薬局　立願寺店</v>
      </c>
      <c r="D330" t="str">
        <f>"玉名市山田字高岡原２０１９－１"</f>
        <v>玉名市山田字高岡原２０１９－１</v>
      </c>
      <c r="E330" t="str">
        <f>"R03.09.10"</f>
        <v>R03.09.10</v>
      </c>
      <c r="F330" t="str">
        <f>"R09.09.09"</f>
        <v>R09.09.09</v>
      </c>
    </row>
    <row r="331" spans="1:6" x14ac:dyDescent="0.2">
      <c r="A331" t="str">
        <f>"第2572号"</f>
        <v>第2572号</v>
      </c>
      <c r="B331" t="str">
        <f>"株式会社アインファーマシーズ"</f>
        <v>株式会社アインファーマシーズ</v>
      </c>
      <c r="C331" t="str">
        <f>"アイン薬局　くまもと県北病院店"</f>
        <v>アイン薬局　くまもと県北病院店</v>
      </c>
      <c r="D331" t="str">
        <f>"玉名市玉名８４２番地"</f>
        <v>玉名市玉名８４２番地</v>
      </c>
      <c r="E331" t="str">
        <f>"R03.02.15"</f>
        <v>R03.02.15</v>
      </c>
      <c r="F331" t="str">
        <f>"R09.02.14"</f>
        <v>R09.02.14</v>
      </c>
    </row>
    <row r="332" spans="1:6" x14ac:dyDescent="0.2">
      <c r="A332" t="str">
        <f>"第2372号"</f>
        <v>第2372号</v>
      </c>
      <c r="B332" t="str">
        <f>"総合メディカル株式会社"</f>
        <v>総合メディカル株式会社</v>
      </c>
      <c r="C332" t="str">
        <f>"そうごう薬局　玉名亀甲店"</f>
        <v>そうごう薬局　玉名亀甲店</v>
      </c>
      <c r="D332" t="str">
        <f>"玉名市亀甲２５１番４"</f>
        <v>玉名市亀甲２５１番４</v>
      </c>
      <c r="E332" t="str">
        <f>"R07.02.12"</f>
        <v>R07.02.12</v>
      </c>
      <c r="F332" t="str">
        <f>"R13.02.11"</f>
        <v>R13.02.11</v>
      </c>
    </row>
    <row r="333" spans="1:6" x14ac:dyDescent="0.2">
      <c r="A333" t="str">
        <f>"第1744号"</f>
        <v>第1744号</v>
      </c>
      <c r="B333" t="str">
        <f>"総合メディカル株式会社"</f>
        <v>総合メディカル株式会社</v>
      </c>
      <c r="C333" t="str">
        <f>"そうごう薬局玉名店"</f>
        <v>そうごう薬局玉名店</v>
      </c>
      <c r="D333" t="str">
        <f>"熊本県玉名市寺田４３０－４"</f>
        <v>熊本県玉名市寺田４３０－４</v>
      </c>
      <c r="E333" t="str">
        <f>"R06.01.01"</f>
        <v>R06.01.01</v>
      </c>
      <c r="F333" t="str">
        <f>"R11.12.31"</f>
        <v>R11.12.31</v>
      </c>
    </row>
    <row r="334" spans="1:6" x14ac:dyDescent="0.2">
      <c r="A334" t="str">
        <f>"第2586号"</f>
        <v>第2586号</v>
      </c>
      <c r="B334" t="str">
        <f>"セイコーメディカルブレーン株式会社"</f>
        <v>セイコーメディカルブレーン株式会社</v>
      </c>
      <c r="C334" t="str">
        <f>"たいめい薬局"</f>
        <v>たいめい薬局</v>
      </c>
      <c r="D334" t="str">
        <f>"玉名市岱明町鍋８２７－１"</f>
        <v>玉名市岱明町鍋８２７－１</v>
      </c>
      <c r="E334" t="str">
        <f>"R03.05.24"</f>
        <v>R03.05.24</v>
      </c>
      <c r="F334" t="str">
        <f>"R08.12.31"</f>
        <v>R08.12.31</v>
      </c>
    </row>
    <row r="335" spans="1:6" x14ac:dyDescent="0.2">
      <c r="A335" t="str">
        <f>"第2384号"</f>
        <v>第2384号</v>
      </c>
      <c r="B335" t="str">
        <f>"株式会社新生堂薬局"</f>
        <v>株式会社新生堂薬局</v>
      </c>
      <c r="C335" t="str">
        <f>"新生堂薬局　玉名はねぎ店"</f>
        <v>新生堂薬局　玉名はねぎ店</v>
      </c>
      <c r="D335" t="str">
        <f>"玉名市繁根木１４－１"</f>
        <v>玉名市繁根木１４－１</v>
      </c>
      <c r="E335" t="str">
        <f>"R07.07.09"</f>
        <v>R07.07.09</v>
      </c>
      <c r="F335" t="str">
        <f>"R13.07.08"</f>
        <v>R13.07.08</v>
      </c>
    </row>
    <row r="336" spans="1:6" x14ac:dyDescent="0.2">
      <c r="A336" t="str">
        <f>"第2626号"</f>
        <v>第2626号</v>
      </c>
      <c r="B336" t="str">
        <f>"株式会社新生堂薬局"</f>
        <v>株式会社新生堂薬局</v>
      </c>
      <c r="C336" t="str">
        <f>"新生堂薬局　南関店"</f>
        <v>新生堂薬局　南関店</v>
      </c>
      <c r="D336" t="str">
        <f>"玉名郡南関町関町１２８４"</f>
        <v>玉名郡南関町関町１２８４</v>
      </c>
      <c r="E336" t="str">
        <f>"R05.07.13"</f>
        <v>R05.07.13</v>
      </c>
      <c r="F336" t="str">
        <f>"R11.07.12"</f>
        <v>R11.07.12</v>
      </c>
    </row>
    <row r="337" spans="1:6" x14ac:dyDescent="0.2">
      <c r="A337" t="str">
        <f>"第2430号"</f>
        <v>第2430号</v>
      </c>
      <c r="B337" t="str">
        <f>"総合メディカル株式会社"</f>
        <v>総合メディカル株式会社</v>
      </c>
      <c r="C337" t="str">
        <f>"そうごう薬局　高瀬店"</f>
        <v>そうごう薬局　高瀬店</v>
      </c>
      <c r="D337" t="str">
        <f>"熊本県玉名市高瀬３２３番２"</f>
        <v>熊本県玉名市高瀬３２３番２</v>
      </c>
      <c r="E337" t="str">
        <f>"R02.01.01"</f>
        <v>R02.01.01</v>
      </c>
      <c r="F337" t="str">
        <f>"R07.12.31"</f>
        <v>R07.12.31</v>
      </c>
    </row>
    <row r="338" spans="1:6" x14ac:dyDescent="0.2">
      <c r="A338" t="str">
        <f>"第2699号"</f>
        <v>第2699号</v>
      </c>
      <c r="B338" t="str">
        <f>"株式会社ストレチア"</f>
        <v>株式会社ストレチア</v>
      </c>
      <c r="C338" t="str">
        <f>"たいめい薬局"</f>
        <v>たいめい薬局</v>
      </c>
      <c r="D338" t="str">
        <f>"玉名市岱明町鍋８２７－１"</f>
        <v>玉名市岱明町鍋８２７－１</v>
      </c>
      <c r="E338" t="str">
        <f>"R07.10.01"</f>
        <v>R07.10.01</v>
      </c>
      <c r="F338" t="str">
        <f>"R13.09.30"</f>
        <v>R13.09.30</v>
      </c>
    </row>
    <row r="339" spans="1:6" x14ac:dyDescent="0.2">
      <c r="A339" t="str">
        <f>"第2577号"</f>
        <v>第2577号</v>
      </c>
      <c r="B339" t="str">
        <f>"株式会社SKY CREATE"</f>
        <v>株式会社SKY CREATE</v>
      </c>
      <c r="C339" t="str">
        <f>"海浜総合薬局　築地店"</f>
        <v>海浜総合薬局　築地店</v>
      </c>
      <c r="D339" t="str">
        <f>"玉名市築地６番地"</f>
        <v>玉名市築地６番地</v>
      </c>
      <c r="E339" t="str">
        <f>"R03.04.01"</f>
        <v>R03.04.01</v>
      </c>
      <c r="F339" t="str">
        <f>"R08.12.31"</f>
        <v>R08.12.31</v>
      </c>
    </row>
    <row r="340" spans="1:6" x14ac:dyDescent="0.2">
      <c r="A340" t="str">
        <f>"第1800号"</f>
        <v>第1800号</v>
      </c>
      <c r="B340" t="str">
        <f>"総合メディカル株式会社"</f>
        <v>総合メディカル株式会社</v>
      </c>
      <c r="C340" t="str">
        <f>"そうごう薬局荒尾店"</f>
        <v>そうごう薬局荒尾店</v>
      </c>
      <c r="D340" t="str">
        <f>"荒尾市荒尾８１３番地３"</f>
        <v>荒尾市荒尾８１３番地３</v>
      </c>
      <c r="E340" t="str">
        <f>"R07.08.14"</f>
        <v>R07.08.14</v>
      </c>
      <c r="F340" t="str">
        <f>"R13.08.13"</f>
        <v>R13.08.13</v>
      </c>
    </row>
    <row r="341" spans="1:6" x14ac:dyDescent="0.2">
      <c r="A341" t="str">
        <f>"第2573号"</f>
        <v>第2573号</v>
      </c>
      <c r="B341" t="str">
        <f>"株式会社新生堂薬局"</f>
        <v>株式会社新生堂薬局</v>
      </c>
      <c r="C341" t="str">
        <f>"新生堂薬局　くまもと県北病院前店"</f>
        <v>新生堂薬局　くまもと県北病院前店</v>
      </c>
      <c r="D341" t="str">
        <f>"玉名市玉名４２９番１"</f>
        <v>玉名市玉名４２９番１</v>
      </c>
      <c r="E341" t="str">
        <f>"R03.03.01"</f>
        <v>R03.03.01</v>
      </c>
      <c r="F341" t="str">
        <f>"R09.02.28"</f>
        <v>R09.02.28</v>
      </c>
    </row>
    <row r="342" spans="1:6" x14ac:dyDescent="0.2">
      <c r="A342" t="str">
        <f>"第2392号"</f>
        <v>第2392号</v>
      </c>
      <c r="B342" t="str">
        <f>"マロンファーマ株式会社"</f>
        <v>マロンファーマ株式会社</v>
      </c>
      <c r="C342" t="str">
        <f>"かめのこ調剤薬局"</f>
        <v>かめのこ調剤薬局</v>
      </c>
      <c r="D342" t="str">
        <f>"玉名市亀甲２４１－１"</f>
        <v>玉名市亀甲２４１－１</v>
      </c>
      <c r="E342" t="str">
        <f>"R07.01.01"</f>
        <v>R07.01.01</v>
      </c>
      <c r="F342" t="str">
        <f>"R12.12.31"</f>
        <v>R12.12.31</v>
      </c>
    </row>
    <row r="343" spans="1:6" x14ac:dyDescent="0.2">
      <c r="A343" t="str">
        <f>"第2666号"</f>
        <v>第2666号</v>
      </c>
      <c r="B343" t="str">
        <f>"株式会社ファルマウニオン"</f>
        <v>株式会社ファルマウニオン</v>
      </c>
      <c r="C343" t="str">
        <f>"ひかり調剤薬局"</f>
        <v>ひかり調剤薬局</v>
      </c>
      <c r="D343" t="str">
        <f>"玉名市亀甲１１５－８"</f>
        <v>玉名市亀甲１１５－８</v>
      </c>
      <c r="E343" t="str">
        <f>"R07.01.01"</f>
        <v>R07.01.01</v>
      </c>
      <c r="F343" t="str">
        <f>"R12.12.31"</f>
        <v>R12.12.31</v>
      </c>
    </row>
    <row r="344" spans="1:6" x14ac:dyDescent="0.2">
      <c r="A344" t="str">
        <f>"第2475号"</f>
        <v>第2475号</v>
      </c>
      <c r="B344" t="str">
        <f>"Ｕ．アソシエート株式会社"</f>
        <v>Ｕ．アソシエート株式会社</v>
      </c>
      <c r="C344" t="str">
        <f>"ひかり薬局　荒尾店"</f>
        <v>ひかり薬局　荒尾店</v>
      </c>
      <c r="D344" t="str">
        <f>"熊本県荒尾市荒尾７９３"</f>
        <v>熊本県荒尾市荒尾７９３</v>
      </c>
      <c r="E344" t="str">
        <f>"R04.12.16"</f>
        <v>R04.12.16</v>
      </c>
      <c r="F344" t="str">
        <f>"R10.12.15"</f>
        <v>R10.12.15</v>
      </c>
    </row>
    <row r="345" spans="1:6" x14ac:dyDescent="0.2">
      <c r="A345" t="str">
        <f>"第2601号"</f>
        <v>第2601号</v>
      </c>
      <c r="B345" t="str">
        <f>"株式会社スカイメディカルファーマ"</f>
        <v>株式会社スカイメディカルファーマ</v>
      </c>
      <c r="C345" t="str">
        <f>"スカイメディカル荒尾薬局"</f>
        <v>スカイメディカル荒尾薬局</v>
      </c>
      <c r="D345" t="str">
        <f>"荒尾市荒尾４１６０－２７０"</f>
        <v>荒尾市荒尾４１６０－２７０</v>
      </c>
      <c r="E345" t="str">
        <f>"R04.02.18"</f>
        <v>R04.02.18</v>
      </c>
      <c r="F345" t="str">
        <f>"R09.12.31"</f>
        <v>R09.12.31</v>
      </c>
    </row>
    <row r="346" spans="1:6" x14ac:dyDescent="0.2">
      <c r="A346" t="str">
        <f>"第1914号"</f>
        <v>第1914号</v>
      </c>
      <c r="B346" t="str">
        <f>"株式会社スカイメディカルホールディングス"</f>
        <v>株式会社スカイメディカルホールディングス</v>
      </c>
      <c r="C346" t="str">
        <f>"スカイメディカル玉名薬局"</f>
        <v>スカイメディカル玉名薬局</v>
      </c>
      <c r="D346" t="str">
        <f>"玉名市築地字大坪１９６－１"</f>
        <v>玉名市築地字大坪１９６－１</v>
      </c>
      <c r="E346" t="str">
        <f>"R03.01.01"</f>
        <v>R03.01.01</v>
      </c>
      <c r="F346" t="str">
        <f>"R08.12.31"</f>
        <v>R08.12.31</v>
      </c>
    </row>
    <row r="347" spans="1:6" x14ac:dyDescent="0.2">
      <c r="A347" t="str">
        <f>"第1540号"</f>
        <v>第1540号</v>
      </c>
      <c r="B347" t="str">
        <f>"総合メディカル株式会社"</f>
        <v>総合メディカル株式会社</v>
      </c>
      <c r="C347" t="str">
        <f>"そうごう薬局四ツ山店"</f>
        <v>そうごう薬局四ツ山店</v>
      </c>
      <c r="D347" t="str">
        <f>"荒尾市四ツ山町３丁目２－２９"</f>
        <v>荒尾市四ツ山町３丁目２－２９</v>
      </c>
      <c r="E347" t="str">
        <f>"R06.01.01"</f>
        <v>R06.01.01</v>
      </c>
      <c r="F347" t="str">
        <f>"R11.12.31"</f>
        <v>R11.12.31</v>
      </c>
    </row>
    <row r="348" spans="1:6" x14ac:dyDescent="0.2">
      <c r="A348" t="str">
        <f>"第2247号"</f>
        <v>第2247号</v>
      </c>
      <c r="B348" t="str">
        <f>"総合メディカル株式会社"</f>
        <v>総合メディカル株式会社</v>
      </c>
      <c r="C348" t="str">
        <f>"そうごう薬局有明長洲店"</f>
        <v>そうごう薬局有明長洲店</v>
      </c>
      <c r="D348" t="str">
        <f>"熊本県玉名郡長洲町宮野２７７５番地１"</f>
        <v>熊本県玉名郡長洲町宮野２７７５番地１</v>
      </c>
      <c r="E348" t="str">
        <f>"R04.07.01"</f>
        <v>R04.07.01</v>
      </c>
      <c r="F348" t="str">
        <f>"R10.06.30"</f>
        <v>R10.06.30</v>
      </c>
    </row>
    <row r="349" spans="1:6" x14ac:dyDescent="0.2">
      <c r="A349" t="str">
        <f>"第2415号"</f>
        <v>第2415号</v>
      </c>
      <c r="B349" t="str">
        <f>"リスペクト株式会社"</f>
        <v>リスペクト株式会社</v>
      </c>
      <c r="C349" t="str">
        <f>"ＤＩ薬局　玉名店"</f>
        <v>ＤＩ薬局　玉名店</v>
      </c>
      <c r="D349" t="str">
        <f>"玉名市立願寺１３７－１"</f>
        <v>玉名市立願寺１３７－１</v>
      </c>
      <c r="E349" t="str">
        <f>"R02.01.01"</f>
        <v>R02.01.01</v>
      </c>
      <c r="F349" t="str">
        <f>"R07.12.31"</f>
        <v>R07.12.31</v>
      </c>
    </row>
    <row r="350" spans="1:6" x14ac:dyDescent="0.2">
      <c r="A350" t="str">
        <f>"第2549号"</f>
        <v>第2549号</v>
      </c>
      <c r="B350" t="str">
        <f>"リスペクト株式会社"</f>
        <v>リスペクト株式会社</v>
      </c>
      <c r="C350" t="str">
        <f>"れいわ薬局　築地店"</f>
        <v>れいわ薬局　築地店</v>
      </c>
      <c r="D350" t="str">
        <f>"玉名市築地３３５番地"</f>
        <v>玉名市築地３３５番地</v>
      </c>
      <c r="E350" t="str">
        <f>"R01.11.06"</f>
        <v>R01.11.06</v>
      </c>
      <c r="F350" t="str">
        <f>"R07.11.05"</f>
        <v>R07.11.05</v>
      </c>
    </row>
    <row r="351" spans="1:6" x14ac:dyDescent="0.2">
      <c r="A351" t="str">
        <f>"第2374号"</f>
        <v>第2374号</v>
      </c>
      <c r="B351" t="str">
        <f>"株式会社メビウス"</f>
        <v>株式会社メビウス</v>
      </c>
      <c r="C351" t="str">
        <f>"たまな駅前薬局"</f>
        <v>たまな駅前薬局</v>
      </c>
      <c r="D351" t="str">
        <f>"玉名市中１０２７－９"</f>
        <v>玉名市中１０２７－９</v>
      </c>
      <c r="E351" t="str">
        <f>"R07.01.01"</f>
        <v>R07.01.01</v>
      </c>
      <c r="F351" t="str">
        <f>"R12.12.31"</f>
        <v>R12.12.31</v>
      </c>
    </row>
    <row r="352" spans="1:6" x14ac:dyDescent="0.2">
      <c r="A352" t="str">
        <f>"第2567号"</f>
        <v>第2567号</v>
      </c>
      <c r="B352" t="str">
        <f>"株式会社シーバイハート"</f>
        <v>株式会社シーバイハート</v>
      </c>
      <c r="C352" t="str">
        <f>"いくら調剤薬局"</f>
        <v>いくら調剤薬局</v>
      </c>
      <c r="D352" t="str">
        <f>"玉名市伊倉北方２７８－４"</f>
        <v>玉名市伊倉北方２７８－４</v>
      </c>
      <c r="E352" t="str">
        <f>"R02.08.01"</f>
        <v>R02.08.01</v>
      </c>
      <c r="F352" t="str">
        <f>"R07.12.31"</f>
        <v>R07.12.31</v>
      </c>
    </row>
    <row r="353" spans="1:6" x14ac:dyDescent="0.2">
      <c r="A353" t="str">
        <f>"第1321号"</f>
        <v>第1321号</v>
      </c>
      <c r="B353" t="str">
        <f>"有限会社ハッピー薬局"</f>
        <v>有限会社ハッピー薬局</v>
      </c>
      <c r="C353" t="str">
        <f>"有限会社ハッピー薬局"</f>
        <v>有限会社ハッピー薬局</v>
      </c>
      <c r="D353" t="str">
        <f>"熊本県玉名市滑石２５４０番地１"</f>
        <v>熊本県玉名市滑石２５４０番地１</v>
      </c>
      <c r="E353" t="str">
        <f>"R05.01.01"</f>
        <v>R05.01.01</v>
      </c>
      <c r="F353" t="str">
        <f>"R10.12.31"</f>
        <v>R10.12.31</v>
      </c>
    </row>
    <row r="354" spans="1:6" x14ac:dyDescent="0.2">
      <c r="A354" t="str">
        <f>"第2692号"</f>
        <v>第2692号</v>
      </c>
      <c r="B354" t="str">
        <f>"有限会社不知火メディクス"</f>
        <v>有限会社不知火メディクス</v>
      </c>
      <c r="C354" t="str">
        <f>"松林堂薬局"</f>
        <v>松林堂薬局</v>
      </c>
      <c r="D354" t="str">
        <f>"玉名郡南関町上長田字穴の口６６４－１"</f>
        <v>玉名郡南関町上長田字穴の口６６４－１</v>
      </c>
      <c r="E354" t="str">
        <f>"R07.06.01"</f>
        <v>R07.06.01</v>
      </c>
      <c r="F354" t="str">
        <f>"R12.12.31"</f>
        <v>R12.12.31</v>
      </c>
    </row>
    <row r="355" spans="1:6" x14ac:dyDescent="0.2">
      <c r="A355" t="str">
        <f>"第2691号"</f>
        <v>第2691号</v>
      </c>
      <c r="B355" t="str">
        <f>"有限会社　瀬戸薬局"</f>
        <v>有限会社　瀬戸薬局</v>
      </c>
      <c r="C355" t="str">
        <f>"瀬戸薬局　山浦店"</f>
        <v>瀬戸薬局　山浦店</v>
      </c>
      <c r="D355" t="str">
        <f>"荒尾市増永字山浦２５５７－１"</f>
        <v>荒尾市増永字山浦２５５７－１</v>
      </c>
      <c r="E355" t="str">
        <f>"R07.06.01"</f>
        <v>R07.06.01</v>
      </c>
      <c r="F355" t="str">
        <f>"R12.12.31"</f>
        <v>R12.12.31</v>
      </c>
    </row>
    <row r="356" spans="1:6" x14ac:dyDescent="0.2">
      <c r="A356" t="str">
        <f>"第1377号"</f>
        <v>第1377号</v>
      </c>
      <c r="B356" t="str">
        <f>"有限会社あけぼの薬局"</f>
        <v>有限会社あけぼの薬局</v>
      </c>
      <c r="C356" t="str">
        <f>"あけぼの薬局"</f>
        <v>あけぼの薬局</v>
      </c>
      <c r="D356" t="str">
        <f>"荒尾市荒尾２６６６番１号"</f>
        <v>荒尾市荒尾２６６６番１号</v>
      </c>
      <c r="E356" t="str">
        <f>"R06.01.01"</f>
        <v>R06.01.01</v>
      </c>
      <c r="F356" t="str">
        <f>"R11.12.31"</f>
        <v>R11.12.31</v>
      </c>
    </row>
    <row r="357" spans="1:6" x14ac:dyDescent="0.2">
      <c r="A357" t="str">
        <f>"第2402号"</f>
        <v>第2402号</v>
      </c>
      <c r="B357" t="str">
        <f>"有限会社瀬戸薬局"</f>
        <v>有限会社瀬戸薬局</v>
      </c>
      <c r="C357" t="str">
        <f>"瀬戸薬局　四ツ山店"</f>
        <v>瀬戸薬局　四ツ山店</v>
      </c>
      <c r="D357" t="str">
        <f>"荒尾市四ツ山町３丁目６－１"</f>
        <v>荒尾市四ツ山町３丁目６－１</v>
      </c>
      <c r="E357" t="str">
        <f>"R02.01.01"</f>
        <v>R02.01.01</v>
      </c>
      <c r="F357" t="str">
        <f>"R07.12.31"</f>
        <v>R07.12.31</v>
      </c>
    </row>
    <row r="358" spans="1:6" x14ac:dyDescent="0.2">
      <c r="A358" t="str">
        <f>"第2625号"</f>
        <v>第2625号</v>
      </c>
      <c r="B358" t="str">
        <f>"株式会社野相薬局"</f>
        <v>株式会社野相薬局</v>
      </c>
      <c r="C358" t="str">
        <f>"みらい薬局"</f>
        <v>みらい薬局</v>
      </c>
      <c r="D358" t="str">
        <f>"荒尾市川登字新屋敷１９０７番８１"</f>
        <v>荒尾市川登字新屋敷１９０７番８１</v>
      </c>
      <c r="E358" t="str">
        <f>"R05.06.15"</f>
        <v>R05.06.15</v>
      </c>
      <c r="F358" t="str">
        <f>"R11.06.14"</f>
        <v>R11.06.14</v>
      </c>
    </row>
    <row r="359" spans="1:6" x14ac:dyDescent="0.2">
      <c r="A359" t="str">
        <f>"第2689号"</f>
        <v>第2689号</v>
      </c>
      <c r="B359" t="str">
        <f>"アルファルマ株式会社"</f>
        <v>アルファルマ株式会社</v>
      </c>
      <c r="C359" t="str">
        <f>"共生薬局　荒尾店"</f>
        <v>共生薬局　荒尾店</v>
      </c>
      <c r="D359" t="str">
        <f>"荒尾市万田３６１－１"</f>
        <v>荒尾市万田３６１－１</v>
      </c>
      <c r="E359" t="str">
        <f>"R07.05.12"</f>
        <v>R07.05.12</v>
      </c>
      <c r="F359" t="str">
        <f>"R12.12.31"</f>
        <v>R12.12.31</v>
      </c>
    </row>
    <row r="360" spans="1:6" x14ac:dyDescent="0.2">
      <c r="A360" t="str">
        <f>"第2448号"</f>
        <v>第2448号</v>
      </c>
      <c r="B360" t="str">
        <f>"有限会社おくすりの本舗"</f>
        <v>有限会社おくすりの本舗</v>
      </c>
      <c r="C360" t="str">
        <f>"四ツ山はるかぜ薬局"</f>
        <v>四ツ山はるかぜ薬局</v>
      </c>
      <c r="D360" t="str">
        <f>"荒尾市四ツ山町３丁目１番２号"</f>
        <v>荒尾市四ツ山町３丁目１番２号</v>
      </c>
      <c r="E360" t="str">
        <f>"R03.09.01"</f>
        <v>R03.09.01</v>
      </c>
      <c r="F360" t="str">
        <f>"R09.08.31"</f>
        <v>R09.08.31</v>
      </c>
    </row>
    <row r="361" spans="1:6" x14ac:dyDescent="0.2">
      <c r="A361" t="str">
        <f>"第1637号"</f>
        <v>第1637号</v>
      </c>
      <c r="B361" t="str">
        <f>"有限会社ハッピー薬局"</f>
        <v>有限会社ハッピー薬局</v>
      </c>
      <c r="C361" t="str">
        <f>"（有）ハッピー薬局岱明店"</f>
        <v>（有）ハッピー薬局岱明店</v>
      </c>
      <c r="D361" t="str">
        <f>"玉名市岱明町大野下１５１３－６"</f>
        <v>玉名市岱明町大野下１５１３－６</v>
      </c>
      <c r="E361" t="str">
        <f>"R04.01.01"</f>
        <v>R04.01.01</v>
      </c>
      <c r="F361" t="str">
        <f>"R09.12.31"</f>
        <v>R09.12.31</v>
      </c>
    </row>
    <row r="362" spans="1:6" x14ac:dyDescent="0.2">
      <c r="A362" t="str">
        <f>"第1493号"</f>
        <v>第1493号</v>
      </c>
      <c r="B362" t="str">
        <f>"株式会社創健"</f>
        <v>株式会社創健</v>
      </c>
      <c r="C362" t="str">
        <f>"ライフ薬局"</f>
        <v>ライフ薬局</v>
      </c>
      <c r="D362" t="str">
        <f>"熊本県玉名市六田３７－１"</f>
        <v>熊本県玉名市六田３７－１</v>
      </c>
      <c r="E362" t="str">
        <f>"R05.01.01"</f>
        <v>R05.01.01</v>
      </c>
      <c r="F362" t="str">
        <f>"R10.12.31"</f>
        <v>R10.12.31</v>
      </c>
    </row>
    <row r="363" spans="1:6" x14ac:dyDescent="0.2">
      <c r="A363" t="str">
        <f>"第2662号"</f>
        <v>第2662号</v>
      </c>
      <c r="B363" t="str">
        <f>"株式会社グリット"</f>
        <v>株式会社グリット</v>
      </c>
      <c r="C363" t="str">
        <f>"大信薬局　荒尾店"</f>
        <v>大信薬局　荒尾店</v>
      </c>
      <c r="D363" t="str">
        <f>"荒尾市荒尾1997番地"</f>
        <v>荒尾市荒尾1997番地</v>
      </c>
      <c r="E363" t="str">
        <f>"R06.09.10"</f>
        <v>R06.09.10</v>
      </c>
      <c r="F363" t="str">
        <f>"R11.12.31"</f>
        <v>R11.12.31</v>
      </c>
    </row>
    <row r="364" spans="1:6" x14ac:dyDescent="0.2">
      <c r="A364" t="str">
        <f>"第1420号"</f>
        <v>第1420号</v>
      </c>
      <c r="B364" t="str">
        <f>"菊水堂薬局有限会社"</f>
        <v>菊水堂薬局有限会社</v>
      </c>
      <c r="C364" t="str">
        <f>"菊水堂薬局"</f>
        <v>菊水堂薬局</v>
      </c>
      <c r="D364" t="str">
        <f>"玉名郡和水町江田４１４４番地"</f>
        <v>玉名郡和水町江田４１４４番地</v>
      </c>
      <c r="E364" t="str">
        <f>"R06.01.01"</f>
        <v>R06.01.01</v>
      </c>
      <c r="F364" t="str">
        <f>"R11.12.31"</f>
        <v>R11.12.31</v>
      </c>
    </row>
    <row r="365" spans="1:6" x14ac:dyDescent="0.2">
      <c r="A365" t="str">
        <f>"第2522号"</f>
        <v>第2522号</v>
      </c>
      <c r="B365" t="str">
        <f>"有限会社ハッピー薬局"</f>
        <v>有限会社ハッピー薬局</v>
      </c>
      <c r="C365" t="str">
        <f>"ハッピー薬局　松木店"</f>
        <v>ハッピー薬局　松木店</v>
      </c>
      <c r="D365" t="str">
        <f>"玉名市松木１３番地３"</f>
        <v>玉名市松木１３番地３</v>
      </c>
      <c r="E365" t="str">
        <f>"R06.01.01"</f>
        <v>R06.01.01</v>
      </c>
      <c r="F365" t="str">
        <f>"R11.12.31"</f>
        <v>R11.12.31</v>
      </c>
    </row>
    <row r="366" spans="1:6" x14ac:dyDescent="0.2">
      <c r="A366" t="str">
        <f>"第1962号"</f>
        <v>第1962号</v>
      </c>
      <c r="B366" t="str">
        <f>"有限会社つばめ薬局"</f>
        <v>有限会社つばめ薬局</v>
      </c>
      <c r="C366" t="str">
        <f>"つばめ薬局"</f>
        <v>つばめ薬局</v>
      </c>
      <c r="D366" t="str">
        <f>"玉名市岩崎１２－１"</f>
        <v>玉名市岩崎１２－１</v>
      </c>
      <c r="E366" t="str">
        <f>"R04.01.01"</f>
        <v>R04.01.01</v>
      </c>
      <c r="F366" t="str">
        <f>"R09.12.31"</f>
        <v>R09.12.31</v>
      </c>
    </row>
    <row r="367" spans="1:6" x14ac:dyDescent="0.2">
      <c r="A367" t="str">
        <f>"第1967号"</f>
        <v>第1967号</v>
      </c>
      <c r="B367" t="str">
        <f>"有限会社調剤薬局ケンコ－堂"</f>
        <v>有限会社調剤薬局ケンコ－堂</v>
      </c>
      <c r="C367" t="str">
        <f>"有限会社調剤薬局ケンコ－堂　立願寺店"</f>
        <v>有限会社調剤薬局ケンコ－堂　立願寺店</v>
      </c>
      <c r="D367" t="str">
        <f>"玉名市岩崎字前９０２－２"</f>
        <v>玉名市岩崎字前９０２－２</v>
      </c>
      <c r="E367" t="str">
        <f>"R04.01.01"</f>
        <v>R04.01.01</v>
      </c>
      <c r="F367" t="str">
        <f>"R09.12.31"</f>
        <v>R09.12.31</v>
      </c>
    </row>
    <row r="368" spans="1:6" x14ac:dyDescent="0.2">
      <c r="A368" t="str">
        <f>"第2313号"</f>
        <v>第2313号</v>
      </c>
      <c r="B368" t="str">
        <f>"株式会社ファーマダイワ"</f>
        <v>株式会社ファーマダイワ</v>
      </c>
      <c r="C368" t="str">
        <f>"しょうぶ薬局"</f>
        <v>しょうぶ薬局</v>
      </c>
      <c r="D368" t="str">
        <f>"玉名市岩崎６５８－１"</f>
        <v>玉名市岩崎６５８－１</v>
      </c>
      <c r="E368" t="str">
        <f>"R05.12.13"</f>
        <v>R05.12.13</v>
      </c>
      <c r="F368" t="str">
        <f>"R11.12.12"</f>
        <v>R11.12.12</v>
      </c>
    </row>
    <row r="369" spans="1:6" x14ac:dyDescent="0.2">
      <c r="A369" t="str">
        <f>"第2399号"</f>
        <v>第2399号</v>
      </c>
      <c r="B369" t="str">
        <f>"株式会社ハッピー薬局"</f>
        <v>株式会社ハッピー薬局</v>
      </c>
      <c r="C369" t="str">
        <f>"ハッピー薬局荒尾店"</f>
        <v>ハッピー薬局荒尾店</v>
      </c>
      <c r="D369" t="str">
        <f>"荒尾市荒尾４１６０番地２５５"</f>
        <v>荒尾市荒尾４１６０番地２５５</v>
      </c>
      <c r="E369" t="str">
        <f>"R02.01.01"</f>
        <v>R02.01.01</v>
      </c>
      <c r="F369" t="str">
        <f>"R07.12.31"</f>
        <v>R07.12.31</v>
      </c>
    </row>
    <row r="370" spans="1:6" x14ac:dyDescent="0.2">
      <c r="A370" t="str">
        <f>"第1773号"</f>
        <v>第1773号</v>
      </c>
      <c r="B370" t="str">
        <f>"有限会社　田中"</f>
        <v>有限会社　田中</v>
      </c>
      <c r="C370" t="str">
        <f>"夢が丘薬局"</f>
        <v>夢が丘薬局</v>
      </c>
      <c r="D370" t="str">
        <f>"荒尾市本井手１５５８－９６"</f>
        <v>荒尾市本井手１５５８－９６</v>
      </c>
      <c r="E370" t="str">
        <f>"R07.01.01"</f>
        <v>R07.01.01</v>
      </c>
      <c r="F370" t="str">
        <f>"R12.12.31"</f>
        <v>R12.12.31</v>
      </c>
    </row>
    <row r="371" spans="1:6" x14ac:dyDescent="0.2">
      <c r="A371" t="str">
        <f>"第2116号"</f>
        <v>第2116号</v>
      </c>
      <c r="B371" t="str">
        <f>"有限会社吉永薬局"</f>
        <v>有限会社吉永薬局</v>
      </c>
      <c r="C371" t="str">
        <f>"有限会社吉永薬局　ハート薬局"</f>
        <v>有限会社吉永薬局　ハート薬局</v>
      </c>
      <c r="D371" t="str">
        <f>"玉名市築地字平町１０番７"</f>
        <v>玉名市築地字平町１０番７</v>
      </c>
      <c r="E371" t="str">
        <f>"R07.01.01"</f>
        <v>R07.01.01</v>
      </c>
      <c r="F371" t="str">
        <f>"R12.12.31"</f>
        <v>R12.12.31</v>
      </c>
    </row>
    <row r="372" spans="1:6" x14ac:dyDescent="0.2">
      <c r="A372" t="str">
        <f>"第2532号"</f>
        <v>第2532号</v>
      </c>
      <c r="B372" t="str">
        <f>"株式会社ケイエスファーマ"</f>
        <v>株式会社ケイエスファーマ</v>
      </c>
      <c r="C372" t="str">
        <f>"あらおシティ薬局"</f>
        <v>あらおシティ薬局</v>
      </c>
      <c r="D372" t="str">
        <f>"荒尾市緑ケ丘２－４－４"</f>
        <v>荒尾市緑ケ丘２－４－４</v>
      </c>
      <c r="E372" t="str">
        <f>"R07.01.01"</f>
        <v>R07.01.01</v>
      </c>
      <c r="F372" t="str">
        <f>"R12.12.31"</f>
        <v>R12.12.31</v>
      </c>
    </row>
    <row r="373" spans="1:6" x14ac:dyDescent="0.2">
      <c r="A373" t="str">
        <f>"第1856号"</f>
        <v>第1856号</v>
      </c>
      <c r="B373" t="str">
        <f>"有限会社　くすりの林田"</f>
        <v>有限会社　くすりの林田</v>
      </c>
      <c r="C373" t="str">
        <f>"林田薬局"</f>
        <v>林田薬局</v>
      </c>
      <c r="D373" t="str">
        <f>"玉名郡長洲町大字長洲１４０８番地の３"</f>
        <v>玉名郡長洲町大字長洲１４０８番地の３</v>
      </c>
      <c r="E373" t="str">
        <f>"R02.01.01"</f>
        <v>R02.01.01</v>
      </c>
      <c r="F373" t="str">
        <f>"R07.12.31"</f>
        <v>R07.12.31</v>
      </c>
    </row>
    <row r="374" spans="1:6" x14ac:dyDescent="0.2">
      <c r="A374" t="str">
        <f>"第2520号"</f>
        <v>第2520号</v>
      </c>
      <c r="B374" t="str">
        <f>"株式会社Ｂｅｔｔｅｒ　Ｔｏｍｏｒｒｏｗ　Ｐｈａｒｍａｃｙ"</f>
        <v>株式会社Ｂｅｔｔｅｒ　Ｔｏｍｏｒｒｏｗ　Ｐｈａｒｍａｃｙ</v>
      </c>
      <c r="C374" t="str">
        <f>"地域の薬局"</f>
        <v>地域の薬局</v>
      </c>
      <c r="D374" t="str">
        <f>"玉名郡玉東町木葉７５５番７"</f>
        <v>玉名郡玉東町木葉７５５番７</v>
      </c>
      <c r="E374" t="str">
        <f>"R06.01.01"</f>
        <v>R06.01.01</v>
      </c>
      <c r="F374" t="str">
        <f>"R11.12.31"</f>
        <v>R11.12.31</v>
      </c>
    </row>
    <row r="375" spans="1:6" x14ac:dyDescent="0.2">
      <c r="A375" t="str">
        <f>"第2664号"</f>
        <v>第2664号</v>
      </c>
      <c r="B375" t="str">
        <f>"有限会社つばめ薬局"</f>
        <v>有限会社つばめ薬局</v>
      </c>
      <c r="C375" t="str">
        <f>"つばめ薬局高瀬"</f>
        <v>つばめ薬局高瀬</v>
      </c>
      <c r="D375" t="str">
        <f>"玉名市高瀬２３２－３"</f>
        <v>玉名市高瀬２３２－３</v>
      </c>
      <c r="E375" t="str">
        <f>"R06.09.13"</f>
        <v>R06.09.13</v>
      </c>
      <c r="F375" t="str">
        <f>"R11.12.31"</f>
        <v>R11.12.31</v>
      </c>
    </row>
    <row r="376" spans="1:6" x14ac:dyDescent="0.2">
      <c r="A376" t="str">
        <f>"第2350号"</f>
        <v>第2350号</v>
      </c>
      <c r="B376" t="str">
        <f>"有限会社おくすりの本舗"</f>
        <v>有限会社おくすりの本舗</v>
      </c>
      <c r="C376" t="str">
        <f>"西原町すこやか調剤薬局"</f>
        <v>西原町すこやか調剤薬局</v>
      </c>
      <c r="D376" t="str">
        <f>"荒尾市西原町１丁目５－１"</f>
        <v>荒尾市西原町１丁目５－１</v>
      </c>
      <c r="E376" t="str">
        <f>"R06.01.01"</f>
        <v>R06.01.01</v>
      </c>
      <c r="F376" t="str">
        <f>"R11.12.31"</f>
        <v>R11.12.31</v>
      </c>
    </row>
    <row r="377" spans="1:6" x14ac:dyDescent="0.2">
      <c r="A377" t="str">
        <f>"第2028号"</f>
        <v>第2028号</v>
      </c>
      <c r="B377" t="str">
        <f>"有限会社あさひ調剤薬局"</f>
        <v>有限会社あさひ調剤薬局</v>
      </c>
      <c r="C377" t="str">
        <f>"有限会社あさひ調剤薬局"</f>
        <v>有限会社あさひ調剤薬局</v>
      </c>
      <c r="D377" t="str">
        <f>"荒尾市大島１００番地２"</f>
        <v>荒尾市大島１００番地２</v>
      </c>
      <c r="E377" t="str">
        <f>"R05.12.12"</f>
        <v>R05.12.12</v>
      </c>
      <c r="F377" t="str">
        <f>"R11.12.11"</f>
        <v>R11.12.11</v>
      </c>
    </row>
    <row r="378" spans="1:6" x14ac:dyDescent="0.2">
      <c r="A378" t="str">
        <f>"第1829号"</f>
        <v>第1829号</v>
      </c>
      <c r="B378" t="str">
        <f>"有限会社アイ調剤薬局"</f>
        <v>有限会社アイ調剤薬局</v>
      </c>
      <c r="C378" t="str">
        <f>"有限会社　アイ調剤薬局大谷店"</f>
        <v>有限会社　アイ調剤薬局大谷店</v>
      </c>
      <c r="D378" t="str">
        <f>"荒尾市荒尾４５４４番地５２"</f>
        <v>荒尾市荒尾４５４４番地５２</v>
      </c>
      <c r="E378" t="str">
        <f>"R02.03.07"</f>
        <v>R02.03.07</v>
      </c>
      <c r="F378" t="str">
        <f>"R08.03.06"</f>
        <v>R08.03.06</v>
      </c>
    </row>
    <row r="379" spans="1:6" x14ac:dyDescent="0.2">
      <c r="A379" t="str">
        <f>"第2226号"</f>
        <v>第2226号</v>
      </c>
      <c r="B379" t="str">
        <f>"有限会社おくすりの本舗"</f>
        <v>有限会社おくすりの本舗</v>
      </c>
      <c r="C379" t="str">
        <f>"あらお桜山調剤薬局"</f>
        <v>あらお桜山調剤薬局</v>
      </c>
      <c r="D379" t="str">
        <f>"荒尾市蔵満１８９０－５"</f>
        <v>荒尾市蔵満１８９０－５</v>
      </c>
      <c r="E379" t="str">
        <f>"R04.01.01"</f>
        <v>R04.01.01</v>
      </c>
      <c r="F379" t="str">
        <f>"R09.12.31"</f>
        <v>R09.12.31</v>
      </c>
    </row>
    <row r="380" spans="1:6" x14ac:dyDescent="0.2">
      <c r="A380" t="str">
        <f>"第1867号"</f>
        <v>第1867号</v>
      </c>
      <c r="B380" t="str">
        <f>"有限会社おくすりの本舗"</f>
        <v>有限会社おくすりの本舗</v>
      </c>
      <c r="C380" t="str">
        <f>"長洲金魚薬局"</f>
        <v>長洲金魚薬局</v>
      </c>
      <c r="D380" t="str">
        <f>"玉名郡長洲町大字清源寺字山下２７９３－１"</f>
        <v>玉名郡長洲町大字清源寺字山下２７９３－１</v>
      </c>
      <c r="E380" t="str">
        <f>"R02.01.01"</f>
        <v>R02.01.01</v>
      </c>
      <c r="F380" t="str">
        <f>"R07.12.31"</f>
        <v>R07.12.31</v>
      </c>
    </row>
    <row r="381" spans="1:6" x14ac:dyDescent="0.2">
      <c r="A381" t="str">
        <f>"第2494号"</f>
        <v>第2494号</v>
      </c>
      <c r="B381" t="str">
        <f>"有限会社ハッピー薬局"</f>
        <v>有限会社ハッピー薬局</v>
      </c>
      <c r="C381" t="str">
        <f>"ハッピー薬局　高道店"</f>
        <v>ハッピー薬局　高道店</v>
      </c>
      <c r="D381" t="str">
        <f>"玉名市岱明町高道１１９５"</f>
        <v>玉名市岱明町高道１１９５</v>
      </c>
      <c r="E381" t="str">
        <f>"R05.11.08"</f>
        <v>R05.11.08</v>
      </c>
      <c r="F381" t="str">
        <f>"R11.11.07"</f>
        <v>R11.11.07</v>
      </c>
    </row>
    <row r="382" spans="1:6" x14ac:dyDescent="0.2">
      <c r="A382" t="str">
        <f>"第2590号"</f>
        <v>第2590号</v>
      </c>
      <c r="B382" t="str">
        <f>"株式会社Ｗｉｓｄｏｍ"</f>
        <v>株式会社Ｗｉｓｄｏｍ</v>
      </c>
      <c r="C382" t="str">
        <f>"やまと薬局"</f>
        <v>やまと薬局</v>
      </c>
      <c r="D382" t="str">
        <f>"玉名市中１８３６番地６"</f>
        <v>玉名市中１８３６番地６</v>
      </c>
      <c r="E382" t="str">
        <f>"R03.08.01"</f>
        <v>R03.08.01</v>
      </c>
      <c r="F382" t="str">
        <f>"R08.12.31"</f>
        <v>R08.12.31</v>
      </c>
    </row>
    <row r="383" spans="1:6" x14ac:dyDescent="0.2">
      <c r="A383" t="str">
        <f>"第2145号"</f>
        <v>第2145号</v>
      </c>
      <c r="B383" t="str">
        <f>"有限会社オレンジ薬局"</f>
        <v>有限会社オレンジ薬局</v>
      </c>
      <c r="C383" t="str">
        <f>"オレンジ薬局おあま店"</f>
        <v>オレンジ薬局おあま店</v>
      </c>
      <c r="D383" t="str">
        <f>"玉名市天水町小天６９８７の１"</f>
        <v>玉名市天水町小天６９８７の１</v>
      </c>
      <c r="E383" t="str">
        <f>"R02.01.01"</f>
        <v>R02.01.01</v>
      </c>
      <c r="F383" t="str">
        <f>"R07.12.31"</f>
        <v>R07.12.31</v>
      </c>
    </row>
    <row r="384" spans="1:6" x14ac:dyDescent="0.2">
      <c r="A384" t="str">
        <f>"第1129号"</f>
        <v>第1129号</v>
      </c>
      <c r="B384" t="str">
        <f>"有限会社瀬戸薬局"</f>
        <v>有限会社瀬戸薬局</v>
      </c>
      <c r="C384" t="str">
        <f>"有限会社瀬戸薬局"</f>
        <v>有限会社瀬戸薬局</v>
      </c>
      <c r="D384" t="str">
        <f>"荒尾市西原町２丁目４番４号"</f>
        <v>荒尾市西原町２丁目４番４号</v>
      </c>
      <c r="E384" t="str">
        <f>"R06.01.01"</f>
        <v>R06.01.01</v>
      </c>
      <c r="F384" t="str">
        <f>"R11.12.31"</f>
        <v>R11.12.31</v>
      </c>
    </row>
    <row r="385" spans="1:6" x14ac:dyDescent="0.2">
      <c r="A385" t="str">
        <f>"第2521号"</f>
        <v>第2521号</v>
      </c>
      <c r="B385" t="str">
        <f>"合同会社あかり薬局"</f>
        <v>合同会社あかり薬局</v>
      </c>
      <c r="C385" t="str">
        <f>"あかり薬局"</f>
        <v>あかり薬局</v>
      </c>
      <c r="D385" t="str">
        <f>"玉名市大浜町630"</f>
        <v>玉名市大浜町630</v>
      </c>
      <c r="E385" t="str">
        <f>"R06.01.01"</f>
        <v>R06.01.01</v>
      </c>
      <c r="F385" t="str">
        <f>"R11.12.31"</f>
        <v>R11.12.31</v>
      </c>
    </row>
    <row r="386" spans="1:6" x14ac:dyDescent="0.2">
      <c r="A386" t="str">
        <f>"第1230号"</f>
        <v>第1230号</v>
      </c>
      <c r="B386" t="str">
        <f>"吉崎薬品有限会社"</f>
        <v>吉崎薬品有限会社</v>
      </c>
      <c r="C386" t="str">
        <f>"ヨシザキ薬局横島店"</f>
        <v>ヨシザキ薬局横島店</v>
      </c>
      <c r="D386" t="str">
        <f>"玉名市横島町横島１７０７番地１"</f>
        <v>玉名市横島町横島１７０７番地１</v>
      </c>
      <c r="E386" t="str">
        <f>"R06.01.01"</f>
        <v>R06.01.01</v>
      </c>
      <c r="F386" t="str">
        <f>"R11.12.31"</f>
        <v>R11.12.31</v>
      </c>
    </row>
    <row r="387" spans="1:6" x14ac:dyDescent="0.2">
      <c r="A387" t="str">
        <f>"第1746号"</f>
        <v>第1746号</v>
      </c>
      <c r="B387" t="str">
        <f>"有限会社　田中"</f>
        <v>有限会社　田中</v>
      </c>
      <c r="C387" t="str">
        <f>"山の手調剤薬局"</f>
        <v>山の手調剤薬局</v>
      </c>
      <c r="D387" t="str">
        <f>"荒尾市川登１８６８－１０"</f>
        <v>荒尾市川登１８６８－１０</v>
      </c>
      <c r="E387" t="str">
        <f>"R06.01.01"</f>
        <v>R06.01.01</v>
      </c>
      <c r="F387" t="str">
        <f>"R11.12.31"</f>
        <v>R11.12.31</v>
      </c>
    </row>
    <row r="388" spans="1:6" x14ac:dyDescent="0.2">
      <c r="A388" t="str">
        <f>"第2458号"</f>
        <v>第2458号</v>
      </c>
      <c r="B388" t="str">
        <f>"株式会社熊本幸生"</f>
        <v>株式会社熊本幸生</v>
      </c>
      <c r="C388" t="str">
        <f>"いちご薬局玉名店"</f>
        <v>いちご薬局玉名店</v>
      </c>
      <c r="D388" t="str">
        <f>"玉名市松木24‐3"</f>
        <v>玉名市松木24‐3</v>
      </c>
      <c r="E388" t="str">
        <f>"R04.01.01"</f>
        <v>R04.01.01</v>
      </c>
      <c r="F388" t="str">
        <f>"R09.12.31"</f>
        <v>R09.12.31</v>
      </c>
    </row>
    <row r="389" spans="1:6" x14ac:dyDescent="0.2">
      <c r="A389" t="str">
        <f>"第2265号"</f>
        <v>第2265号</v>
      </c>
      <c r="B389" t="str">
        <f>"株式会社ミズ"</f>
        <v>株式会社ミズ</v>
      </c>
      <c r="C389" t="str">
        <f>"溝上薬局　ひがしやかた店"</f>
        <v>溝上薬局　ひがしやかた店</v>
      </c>
      <c r="D389" t="str">
        <f>"熊本県荒尾市東屋形四丁目２番３２号"</f>
        <v>熊本県荒尾市東屋形四丁目２番３２号</v>
      </c>
      <c r="E389" t="str">
        <f>"R04.10.15"</f>
        <v>R04.10.15</v>
      </c>
      <c r="F389" t="str">
        <f>"R10.10.14"</f>
        <v>R10.10.14</v>
      </c>
    </row>
    <row r="390" spans="1:6" x14ac:dyDescent="0.2">
      <c r="A390" t="str">
        <f>"第2243号"</f>
        <v>第2243号</v>
      </c>
      <c r="B390" t="str">
        <f>"翔佑会株式会社"</f>
        <v>翔佑会株式会社</v>
      </c>
      <c r="C390" t="str">
        <f>"長洲まりん薬局"</f>
        <v>長洲まりん薬局</v>
      </c>
      <c r="D390" t="str">
        <f>"玉名郡長洲町長洲２７１５－１"</f>
        <v>玉名郡長洲町長洲２７１５－１</v>
      </c>
      <c r="E390" t="str">
        <f>"R04.01.01"</f>
        <v>R04.01.01</v>
      </c>
      <c r="F390" t="str">
        <f>"R09.12.31"</f>
        <v>R09.12.31</v>
      </c>
    </row>
    <row r="391" spans="1:6" x14ac:dyDescent="0.2">
      <c r="A391" t="str">
        <f>"第1443号"</f>
        <v>第1443号</v>
      </c>
      <c r="B391" t="str">
        <f>"有限会社爽快堂調剤薬局"</f>
        <v>有限会社爽快堂調剤薬局</v>
      </c>
      <c r="C391" t="str">
        <f>"有限会社爽快堂調剤薬局"</f>
        <v>有限会社爽快堂調剤薬局</v>
      </c>
      <c r="D391" t="str">
        <f>"荒尾市荒尾字合路２０１８番５号"</f>
        <v>荒尾市荒尾字合路２０１８番５号</v>
      </c>
      <c r="E391" t="str">
        <f>"R04.01.01"</f>
        <v>R04.01.01</v>
      </c>
      <c r="F391" t="str">
        <f>"R09.12.31"</f>
        <v>R09.12.31</v>
      </c>
    </row>
    <row r="392" spans="1:6" x14ac:dyDescent="0.2">
      <c r="A392" t="str">
        <f>"第2621号"</f>
        <v>第2621号</v>
      </c>
      <c r="B392" t="str">
        <f>"坂田　博文"</f>
        <v>坂田　博文</v>
      </c>
      <c r="C392" t="str">
        <f>"虎徹堂薬局"</f>
        <v>虎徹堂薬局</v>
      </c>
      <c r="D392" t="str">
        <f>"荒尾市川登１８１７－２１"</f>
        <v>荒尾市川登１８１７－２１</v>
      </c>
      <c r="E392" t="str">
        <f>"R05.03.13"</f>
        <v>R05.03.13</v>
      </c>
      <c r="F392" t="str">
        <f>"R10.12.31"</f>
        <v>R10.12.31</v>
      </c>
    </row>
    <row r="393" spans="1:6" x14ac:dyDescent="0.2">
      <c r="A393" t="str">
        <f>"第1696号"</f>
        <v>第1696号</v>
      </c>
      <c r="B393" t="str">
        <f>"有限会社せいうんメデイックス"</f>
        <v>有限会社せいうんメデイックス</v>
      </c>
      <c r="C393" t="str">
        <f>"なのはな薬局"</f>
        <v>なのはな薬局</v>
      </c>
      <c r="D393" t="str">
        <f>"熊本県荒尾市一部９０５番地８"</f>
        <v>熊本県荒尾市一部９０５番地８</v>
      </c>
      <c r="E393" t="str">
        <f>"R05.01.01"</f>
        <v>R05.01.01</v>
      </c>
      <c r="F393" t="str">
        <f>"R10.12.31"</f>
        <v>R10.12.31</v>
      </c>
    </row>
    <row r="394" spans="1:6" x14ac:dyDescent="0.2">
      <c r="A394" t="str">
        <f>"第1667号"</f>
        <v>第1667号</v>
      </c>
      <c r="B394" t="str">
        <f>"有限会社せいうんメデイックス"</f>
        <v>有限会社せいうんメデイックス</v>
      </c>
      <c r="C394" t="str">
        <f>"たんぽぽ薬局"</f>
        <v>たんぽぽ薬局</v>
      </c>
      <c r="D394" t="str">
        <f>"熊本県荒尾市宮内５７０番地３"</f>
        <v>熊本県荒尾市宮内５７０番地３</v>
      </c>
      <c r="E394" t="str">
        <f>"R05.01.01"</f>
        <v>R05.01.01</v>
      </c>
      <c r="F394" t="str">
        <f>"R10.12.31"</f>
        <v>R10.12.31</v>
      </c>
    </row>
    <row r="395" spans="1:6" x14ac:dyDescent="0.2">
      <c r="A395" t="str">
        <f>"第2491号"</f>
        <v>第2491号</v>
      </c>
      <c r="B395" t="str">
        <f>"ネオソルタ株式会社"</f>
        <v>ネオソルタ株式会社</v>
      </c>
      <c r="C395" t="str">
        <f>"双葉薬局"</f>
        <v>双葉薬局</v>
      </c>
      <c r="D395" t="str">
        <f>"玉名市立願寺１９０番地５"</f>
        <v>玉名市立願寺１９０番地５</v>
      </c>
      <c r="E395" t="str">
        <f>"R05.01.01"</f>
        <v>R05.01.01</v>
      </c>
      <c r="F395" t="str">
        <f>"R10.12.31"</f>
        <v>R10.12.31</v>
      </c>
    </row>
    <row r="396" spans="1:6" x14ac:dyDescent="0.2">
      <c r="A396" t="str">
        <f>"第2005号"</f>
        <v>第2005号</v>
      </c>
      <c r="B396" t="str">
        <f>"有限会社あおぞら薬局"</f>
        <v>有限会社あおぞら薬局</v>
      </c>
      <c r="C396" t="str">
        <f>"有限会社あおぞら薬局"</f>
        <v>有限会社あおぞら薬局</v>
      </c>
      <c r="D396" t="str">
        <f>"熊本県玉名郡長洲町宮野１４６３－３"</f>
        <v>熊本県玉名郡長洲町宮野１４６３－３</v>
      </c>
      <c r="E396" t="str">
        <f>"R05.01.01"</f>
        <v>R05.01.01</v>
      </c>
      <c r="F396" t="str">
        <f>"R10.12.31"</f>
        <v>R10.12.31</v>
      </c>
    </row>
    <row r="397" spans="1:6" x14ac:dyDescent="0.2">
      <c r="A397" t="str">
        <f>"第1971号"</f>
        <v>第1971号</v>
      </c>
      <c r="B397" t="str">
        <f>"有限会社なごみ薬局"</f>
        <v>有限会社なごみ薬局</v>
      </c>
      <c r="C397" t="str">
        <f>"有限会社なごみ薬局"</f>
        <v>有限会社なごみ薬局</v>
      </c>
      <c r="D397" t="str">
        <f>"玉名郡南関町大字上坂下字井手３４７８番４"</f>
        <v>玉名郡南関町大字上坂下字井手３４７８番４</v>
      </c>
      <c r="E397" t="str">
        <f>"R04.01.01"</f>
        <v>R04.01.01</v>
      </c>
      <c r="F397" t="str">
        <f>"R09.12.31"</f>
        <v>R09.12.31</v>
      </c>
    </row>
    <row r="398" spans="1:6" x14ac:dyDescent="0.2">
      <c r="A398" t="str">
        <f>"第1644号"</f>
        <v>第1644号</v>
      </c>
      <c r="B398" t="str">
        <f>"有限会社吉崎調剤薬局"</f>
        <v>有限会社吉崎調剤薬局</v>
      </c>
      <c r="C398" t="str">
        <f>"有限会社吉崎調剤薬局"</f>
        <v>有限会社吉崎調剤薬局</v>
      </c>
      <c r="D398" t="str">
        <f>"玉名市高瀬５０６番地１"</f>
        <v>玉名市高瀬５０６番地１</v>
      </c>
      <c r="E398" t="str">
        <f>"R04.01.01"</f>
        <v>R04.01.01</v>
      </c>
      <c r="F398" t="str">
        <f>"R09.12.31"</f>
        <v>R09.12.31</v>
      </c>
    </row>
    <row r="399" spans="1:6" x14ac:dyDescent="0.2">
      <c r="A399" t="str">
        <f>"第1855号"</f>
        <v>第1855号</v>
      </c>
      <c r="B399" t="str">
        <f>"有限会社調剤薬局ケンコ－堂"</f>
        <v>有限会社調剤薬局ケンコ－堂</v>
      </c>
      <c r="C399" t="str">
        <f>"有限会社調剤薬局ケンコ－堂シティモ－ル前店"</f>
        <v>有限会社調剤薬局ケンコ－堂シティモ－ル前店</v>
      </c>
      <c r="D399" t="str">
        <f>"荒尾市荒尾字上川後田４１６０－２６７"</f>
        <v>荒尾市荒尾字上川後田４１６０－２６７</v>
      </c>
      <c r="E399" t="str">
        <f>"R02.07.23"</f>
        <v>R02.07.23</v>
      </c>
      <c r="F399" t="str">
        <f>"R08.07.22"</f>
        <v>R08.07.22</v>
      </c>
    </row>
    <row r="400" spans="1:6" x14ac:dyDescent="0.2">
      <c r="A400" t="str">
        <f>"第2115号"</f>
        <v>第2115号</v>
      </c>
      <c r="B400" t="str">
        <f>"有限会社　ヤマムラ薬局"</f>
        <v>有限会社　ヤマムラ薬局</v>
      </c>
      <c r="C400" t="str">
        <f>"ヤマムラ薬局"</f>
        <v>ヤマムラ薬局</v>
      </c>
      <c r="D400" t="str">
        <f>"玉名郡長洲町大字高浜１４８３番地の１"</f>
        <v>玉名郡長洲町大字高浜１４８３番地の１</v>
      </c>
      <c r="E400" t="str">
        <f>"R01.12.17"</f>
        <v>R01.12.17</v>
      </c>
      <c r="F400" t="str">
        <f>"R07.12.16"</f>
        <v>R07.12.16</v>
      </c>
    </row>
    <row r="401" spans="1:6" x14ac:dyDescent="0.2">
      <c r="A401" t="str">
        <f>"第1723号"</f>
        <v>第1723号</v>
      </c>
      <c r="B401" t="str">
        <f>"有限会社下益城調剤支援センター"</f>
        <v>有限会社下益城調剤支援センター</v>
      </c>
      <c r="C401" t="str">
        <f>"宇城薬局"</f>
        <v>宇城薬局</v>
      </c>
      <c r="D401" t="str">
        <f>"宇城市松橋町両仲間７２４番地"</f>
        <v>宇城市松橋町両仲間７２４番地</v>
      </c>
      <c r="E401" t="str">
        <f>"R06.02.17"</f>
        <v>R06.02.17</v>
      </c>
      <c r="F401" t="str">
        <f>"R12.02.16"</f>
        <v>R12.02.16</v>
      </c>
    </row>
    <row r="402" spans="1:6" x14ac:dyDescent="0.2">
      <c r="A402" t="str">
        <f>"第1487号"</f>
        <v>第1487号</v>
      </c>
      <c r="B402" t="str">
        <f>"有限会社かやの"</f>
        <v>有限会社かやの</v>
      </c>
      <c r="C402" t="str">
        <f>"有限会社かやの　かやの薬局"</f>
        <v>有限会社かやの　かやの薬局</v>
      </c>
      <c r="D402" t="str">
        <f>"下益城郡美里町萱野１４１９－１"</f>
        <v>下益城郡美里町萱野１４１９－１</v>
      </c>
      <c r="E402" t="str">
        <f>"R05.05.30"</f>
        <v>R05.05.30</v>
      </c>
      <c r="F402" t="str">
        <f>"R11.05.29"</f>
        <v>R11.05.29</v>
      </c>
    </row>
    <row r="403" spans="1:6" x14ac:dyDescent="0.2">
      <c r="A403" t="str">
        <f>"第2679号"</f>
        <v>第2679号</v>
      </c>
      <c r="B403" t="str">
        <f>"株式会社城南メディカル"</f>
        <v>株式会社城南メディカル</v>
      </c>
      <c r="C403" t="str">
        <f>"松橋中央薬局"</f>
        <v>松橋中央薬局</v>
      </c>
      <c r="D403" t="str">
        <f>"宇城市松橋町きらら２丁目２番１３号"</f>
        <v>宇城市松橋町きらら２丁目２番１３号</v>
      </c>
      <c r="E403" t="str">
        <f>"R07.02.23"</f>
        <v>R07.02.23</v>
      </c>
      <c r="F403" t="str">
        <f>"R13.02.22"</f>
        <v>R13.02.22</v>
      </c>
    </row>
    <row r="404" spans="1:6" x14ac:dyDescent="0.2">
      <c r="A404" t="str">
        <f>"第1424号"</f>
        <v>第1424号</v>
      </c>
      <c r="B404" t="str">
        <f>"有限会社大渡薬局"</f>
        <v>有限会社大渡薬局</v>
      </c>
      <c r="C404" t="str">
        <f>"宇土駅前薬局"</f>
        <v>宇土駅前薬局</v>
      </c>
      <c r="D404" t="str">
        <f>"宇土市松原町３５番地１３"</f>
        <v>宇土市松原町３５番地１３</v>
      </c>
      <c r="E404" t="str">
        <f>"R04.01.01"</f>
        <v>R04.01.01</v>
      </c>
      <c r="F404" t="str">
        <f>"R09.12.31"</f>
        <v>R09.12.31</v>
      </c>
    </row>
    <row r="405" spans="1:6" x14ac:dyDescent="0.2">
      <c r="A405" t="str">
        <f>"第2634号"</f>
        <v>第2634号</v>
      </c>
      <c r="B405" t="str">
        <f>"さくら薬局株式会社"</f>
        <v>さくら薬局株式会社</v>
      </c>
      <c r="C405" t="str">
        <f>"さくら調剤薬局　松橋店"</f>
        <v>さくら調剤薬局　松橋店</v>
      </c>
      <c r="D405" t="str">
        <f>"宇城市松橋町きらら２丁目４番７号"</f>
        <v>宇城市松橋町きらら２丁目４番７号</v>
      </c>
      <c r="E405" t="str">
        <f>"R05.11.01"</f>
        <v>R05.11.01</v>
      </c>
      <c r="F405" t="str">
        <f>"R11.10.31"</f>
        <v>R11.10.31</v>
      </c>
    </row>
    <row r="406" spans="1:6" x14ac:dyDescent="0.2">
      <c r="A406" t="str">
        <f>"第2391号"</f>
        <v>第2391号</v>
      </c>
      <c r="B406" t="str">
        <f>"有限会社呉服薬局"</f>
        <v>有限会社呉服薬局</v>
      </c>
      <c r="C406" t="str">
        <f>"ウイング薬局"</f>
        <v>ウイング薬局</v>
      </c>
      <c r="D406" t="str">
        <f>"宇城市松橋町きらら１丁目６番８号"</f>
        <v>宇城市松橋町きらら１丁目６番８号</v>
      </c>
      <c r="E406" t="str">
        <f>"R07.09.17"</f>
        <v>R07.09.17</v>
      </c>
      <c r="F406" t="str">
        <f>"R13.09.16"</f>
        <v>R13.09.16</v>
      </c>
    </row>
    <row r="407" spans="1:6" x14ac:dyDescent="0.2">
      <c r="A407" t="str">
        <f>"第2102号"</f>
        <v>第2102号</v>
      </c>
      <c r="B407" t="str">
        <f>"有限会社サカモト"</f>
        <v>有限会社サカモト</v>
      </c>
      <c r="C407" t="str">
        <f>"みさと薬局"</f>
        <v>みさと薬局</v>
      </c>
      <c r="D407" t="str">
        <f>"下益城郡美里町馬場字臼杵町７５８－１"</f>
        <v>下益城郡美里町馬場字臼杵町７５８－１</v>
      </c>
      <c r="E407" t="str">
        <f>"R07.01.01"</f>
        <v>R07.01.01</v>
      </c>
      <c r="F407" t="str">
        <f>"R12.12.31"</f>
        <v>R12.12.31</v>
      </c>
    </row>
    <row r="408" spans="1:6" x14ac:dyDescent="0.2">
      <c r="A408" t="str">
        <f>"第2547号"</f>
        <v>第2547号</v>
      </c>
      <c r="B408" t="str">
        <f>"株式会社新生堂薬局"</f>
        <v>株式会社新生堂薬局</v>
      </c>
      <c r="C408" t="str">
        <f>"新生堂薬局　松橋曲野店"</f>
        <v>新生堂薬局　松橋曲野店</v>
      </c>
      <c r="D408" t="str">
        <f>"宇城市松橋町曲野２１１８番地１"</f>
        <v>宇城市松橋町曲野２１１８番地１</v>
      </c>
      <c r="E408" t="str">
        <f>"R07.09.13"</f>
        <v>R07.09.13</v>
      </c>
      <c r="F408" t="str">
        <f>"R13.09.12"</f>
        <v>R13.09.12</v>
      </c>
    </row>
    <row r="409" spans="1:6" x14ac:dyDescent="0.2">
      <c r="A409" t="str">
        <f>"第524号"</f>
        <v>第524号</v>
      </c>
      <c r="B409" t="str">
        <f>"株式会社高浜薬局"</f>
        <v>株式会社高浜薬局</v>
      </c>
      <c r="C409" t="str">
        <f>"株式会社高浜薬局"</f>
        <v>株式会社高浜薬局</v>
      </c>
      <c r="D409" t="str">
        <f>"宇城市松橋町曲野１９－３"</f>
        <v>宇城市松橋町曲野１９－３</v>
      </c>
      <c r="E409" t="str">
        <f>"R06.01.01"</f>
        <v>R06.01.01</v>
      </c>
      <c r="F409" t="str">
        <f>"R11.12.31"</f>
        <v>R11.12.31</v>
      </c>
    </row>
    <row r="410" spans="1:6" x14ac:dyDescent="0.2">
      <c r="A410" t="str">
        <f>"第2563号"</f>
        <v>第2563号</v>
      </c>
      <c r="B410" t="str">
        <f>"ヨネザワネット株式会社"</f>
        <v>ヨネザワネット株式会社</v>
      </c>
      <c r="C410" t="str">
        <f>"スエヒロ薬局"</f>
        <v>スエヒロ薬局</v>
      </c>
      <c r="D410" t="str">
        <f>"宇土市南段原町６－３"</f>
        <v>宇土市南段原町６－３</v>
      </c>
      <c r="E410" t="str">
        <f>"R02.05.08"</f>
        <v>R02.05.08</v>
      </c>
      <c r="F410" t="str">
        <f>"R08.05.07"</f>
        <v>R08.05.07</v>
      </c>
    </row>
    <row r="411" spans="1:6" x14ac:dyDescent="0.2">
      <c r="A411" t="str">
        <f>"第2287号"</f>
        <v>第2287号</v>
      </c>
      <c r="B411" t="str">
        <f>"有限会社明和"</f>
        <v>有限会社明和</v>
      </c>
      <c r="C411" t="str">
        <f>"ヒカリ調剤薬局"</f>
        <v>ヒカリ調剤薬局</v>
      </c>
      <c r="D411" t="str">
        <f>"宇城市三角町三角浦１１５９番地１２５"</f>
        <v>宇城市三角町三角浦１１５９番地１２５</v>
      </c>
      <c r="E411" t="str">
        <f>"R05.01.01"</f>
        <v>R05.01.01</v>
      </c>
      <c r="F411" t="str">
        <f>"R10.12.31"</f>
        <v>R10.12.31</v>
      </c>
    </row>
    <row r="412" spans="1:6" x14ac:dyDescent="0.2">
      <c r="A412" t="str">
        <f>"第2422号"</f>
        <v>第2422号</v>
      </c>
      <c r="B412" t="str">
        <f>"有限会社明和"</f>
        <v>有限会社明和</v>
      </c>
      <c r="C412" t="str">
        <f>"ミノリ調剤薬局"</f>
        <v>ミノリ調剤薬局</v>
      </c>
      <c r="D412" t="str">
        <f>"宇城市小川町新田出字二番２７４"</f>
        <v>宇城市小川町新田出字二番２７４</v>
      </c>
      <c r="E412" t="str">
        <f>"R02.09.12"</f>
        <v>R02.09.12</v>
      </c>
      <c r="F412" t="str">
        <f>"R08.09.11"</f>
        <v>R08.09.11</v>
      </c>
    </row>
    <row r="413" spans="1:6" x14ac:dyDescent="0.2">
      <c r="A413" t="str">
        <f>"第2658号"</f>
        <v>第2658号</v>
      </c>
      <c r="B413" t="str">
        <f>"株式会社ココカラファインヘルスケア"</f>
        <v>株式会社ココカラファインヘルスケア</v>
      </c>
      <c r="C413" t="str">
        <f>"ココカラファイン薬局　宇土本町店"</f>
        <v>ココカラファイン薬局　宇土本町店</v>
      </c>
      <c r="D413" t="str">
        <f>"宇土市築籠町１３９－５"</f>
        <v>宇土市築籠町１３９－５</v>
      </c>
      <c r="E413" t="str">
        <f>"R06.06.01"</f>
        <v>R06.06.01</v>
      </c>
      <c r="F413" t="str">
        <f>"R12.05.31"</f>
        <v>R12.05.31</v>
      </c>
    </row>
    <row r="414" spans="1:6" x14ac:dyDescent="0.2">
      <c r="A414" t="str">
        <f>"第2582号"</f>
        <v>第2582号</v>
      </c>
      <c r="B414" t="str">
        <f>"株式会社ココカラファインヘルスケア"</f>
        <v>株式会社ココカラファインヘルスケア</v>
      </c>
      <c r="C414" t="str">
        <f>"たんぽぽ薬局宇土市役所前店"</f>
        <v>たんぽぽ薬局宇土市役所前店</v>
      </c>
      <c r="D414" t="str">
        <f>"宇土市浦田町８５"</f>
        <v>宇土市浦田町８５</v>
      </c>
      <c r="E414" t="str">
        <f>"R03.04.01"</f>
        <v>R03.04.01</v>
      </c>
      <c r="F414" t="str">
        <f>"R09.03.31"</f>
        <v>R09.03.31</v>
      </c>
    </row>
    <row r="415" spans="1:6" x14ac:dyDescent="0.2">
      <c r="A415" t="str">
        <f>"第2511号"</f>
        <v>第2511号</v>
      </c>
      <c r="B415" t="str">
        <f>"株式会社新生堂薬局"</f>
        <v>株式会社新生堂薬局</v>
      </c>
      <c r="C415" t="str">
        <f>"新生堂薬局　松橋店"</f>
        <v>新生堂薬局　松橋店</v>
      </c>
      <c r="D415" t="str">
        <f>"宇城市松橋町松橋字園田８２０－１"</f>
        <v>宇城市松橋町松橋字園田８２０－１</v>
      </c>
      <c r="E415" t="str">
        <f>"R06.05.15"</f>
        <v>R06.05.15</v>
      </c>
      <c r="F415" t="str">
        <f>"R12.05.14"</f>
        <v>R12.05.14</v>
      </c>
    </row>
    <row r="416" spans="1:6" x14ac:dyDescent="0.2">
      <c r="A416" t="str">
        <f>"第2580号"</f>
        <v>第2580号</v>
      </c>
      <c r="B416" t="str">
        <f>"株式会社ココカラファインヘルスケア"</f>
        <v>株式会社ココカラファインヘルスケア</v>
      </c>
      <c r="C416" t="str">
        <f>"福永調剤薬局三丁目店"</f>
        <v>福永調剤薬局三丁目店</v>
      </c>
      <c r="D416" t="str">
        <f>"宇土市本町３丁目１８"</f>
        <v>宇土市本町３丁目１８</v>
      </c>
      <c r="E416" t="str">
        <f>"R03.04.01"</f>
        <v>R03.04.01</v>
      </c>
      <c r="F416" t="str">
        <f>"R09.03.31"</f>
        <v>R09.03.31</v>
      </c>
    </row>
    <row r="417" spans="1:6" x14ac:dyDescent="0.2">
      <c r="A417" t="str">
        <f>"第2581号"</f>
        <v>第2581号</v>
      </c>
      <c r="B417" t="str">
        <f>"株式会社ココカラファインヘルスケア"</f>
        <v>株式会社ココカラファインヘルスケア</v>
      </c>
      <c r="C417" t="str">
        <f>"たんぽぽ薬局"</f>
        <v>たんぽぽ薬局</v>
      </c>
      <c r="D417" t="str">
        <f>"宇城市松橋町松橋４９０番２"</f>
        <v>宇城市松橋町松橋４９０番２</v>
      </c>
      <c r="E417" t="str">
        <f>"R03.04.01"</f>
        <v>R03.04.01</v>
      </c>
      <c r="F417" t="str">
        <f>"R09.03.31"</f>
        <v>R09.03.31</v>
      </c>
    </row>
    <row r="418" spans="1:6" x14ac:dyDescent="0.2">
      <c r="A418" t="str">
        <f>"第1437号"</f>
        <v>第1437号</v>
      </c>
      <c r="B418" t="str">
        <f>"有限会社カワグチ薬局"</f>
        <v>有限会社カワグチ薬局</v>
      </c>
      <c r="C418" t="str">
        <f>"有限会社カワグチ薬局"</f>
        <v>有限会社カワグチ薬局</v>
      </c>
      <c r="D418" t="str">
        <f>"宇土市松山町４３９７番地３"</f>
        <v>宇土市松山町４３９７番地３</v>
      </c>
      <c r="E418" t="str">
        <f>"R04.01.01"</f>
        <v>R04.01.01</v>
      </c>
      <c r="F418" t="str">
        <f>"R09.12.31"</f>
        <v>R09.12.31</v>
      </c>
    </row>
    <row r="419" spans="1:6" x14ac:dyDescent="0.2">
      <c r="A419" t="str">
        <f>"第2353号"</f>
        <v>第2353号</v>
      </c>
      <c r="B419" t="str">
        <f>"有限会社プチマリノ"</f>
        <v>有限会社プチマリノ</v>
      </c>
      <c r="C419" t="str">
        <f>"マリノ薬局"</f>
        <v>マリノ薬局</v>
      </c>
      <c r="D419" t="str">
        <f>"宇城市松橋町久具６８７番地２"</f>
        <v>宇城市松橋町久具６８７番地２</v>
      </c>
      <c r="E419" t="str">
        <f>"R06.01.01"</f>
        <v>R06.01.01</v>
      </c>
      <c r="F419" t="str">
        <f>"R11.12.31"</f>
        <v>R11.12.31</v>
      </c>
    </row>
    <row r="420" spans="1:6" x14ac:dyDescent="0.2">
      <c r="A420" t="str">
        <f>"第1709号"</f>
        <v>第1709号</v>
      </c>
      <c r="B420" t="str">
        <f>"有限会社松橋調剤センター"</f>
        <v>有限会社松橋調剤センター</v>
      </c>
      <c r="C420" t="str">
        <f>"良寛堂薬局"</f>
        <v>良寛堂薬局</v>
      </c>
      <c r="D420" t="str">
        <f>"宇城市松橋町松橋１９４番地１"</f>
        <v>宇城市松橋町松橋１９４番地１</v>
      </c>
      <c r="E420" t="str">
        <f>"R05.09.29"</f>
        <v>R05.09.29</v>
      </c>
      <c r="F420" t="str">
        <f>"R11.09.28"</f>
        <v>R11.09.28</v>
      </c>
    </row>
    <row r="421" spans="1:6" x14ac:dyDescent="0.2">
      <c r="A421" t="str">
        <f>"第1775号"</f>
        <v>第1775号</v>
      </c>
      <c r="B421" t="str">
        <f>"有限会社　熊本南前薬局"</f>
        <v>有限会社　熊本南前薬局</v>
      </c>
      <c r="C421" t="str">
        <f>"熊本南前薬局"</f>
        <v>熊本南前薬局</v>
      </c>
      <c r="D421" t="str">
        <f>"宇城市松橋町豊福２０７０番地"</f>
        <v>宇城市松橋町豊福２０７０番地</v>
      </c>
      <c r="E421" t="str">
        <f>"R07.01.01"</f>
        <v>R07.01.01</v>
      </c>
      <c r="F421" t="str">
        <f>"R12.12.31"</f>
        <v>R12.12.31</v>
      </c>
    </row>
    <row r="422" spans="1:6" x14ac:dyDescent="0.2">
      <c r="A422" t="str">
        <f>"第2185号"</f>
        <v>第2185号</v>
      </c>
      <c r="B422" t="str">
        <f>"株式会社萩尾ハニーファーマシー"</f>
        <v>株式会社萩尾ハニーファーマシー</v>
      </c>
      <c r="C422" t="str">
        <f>"まつばせ薬局"</f>
        <v>まつばせ薬局</v>
      </c>
      <c r="D422" t="str">
        <f>"宇城市松橋町萩尾２０５１番地８"</f>
        <v>宇城市松橋町萩尾２０５１番地８</v>
      </c>
      <c r="E422" t="str">
        <f>"R03.01.01"</f>
        <v>R03.01.01</v>
      </c>
      <c r="F422" t="str">
        <f>"R08.12.31"</f>
        <v>R08.12.31</v>
      </c>
    </row>
    <row r="423" spans="1:6" x14ac:dyDescent="0.2">
      <c r="A423" t="str">
        <f>"第2365号"</f>
        <v>第2365号</v>
      </c>
      <c r="B423" t="str">
        <f>"株式会社ミカーレ"</f>
        <v>株式会社ミカーレ</v>
      </c>
      <c r="C423" t="str">
        <f>"きらら調剤薬局"</f>
        <v>きらら調剤薬局</v>
      </c>
      <c r="D423" t="str">
        <f>"宇城市松橋町きらら３丁目２番２０号"</f>
        <v>宇城市松橋町きらら３丁目２番２０号</v>
      </c>
      <c r="E423" t="str">
        <f>"R07.01.01"</f>
        <v>R07.01.01</v>
      </c>
      <c r="F423" t="str">
        <f>"R12.12.31"</f>
        <v>R12.12.31</v>
      </c>
    </row>
    <row r="424" spans="1:6" x14ac:dyDescent="0.2">
      <c r="A424" t="str">
        <f>"第2527号"</f>
        <v>第2527号</v>
      </c>
      <c r="B424" t="str">
        <f>"株式会社ホリサカ薬局"</f>
        <v>株式会社ホリサカ薬局</v>
      </c>
      <c r="C424" t="str">
        <f>"ホリサカ薬局"</f>
        <v>ホリサカ薬局</v>
      </c>
      <c r="D424" t="str">
        <f>"宇城市松橋町松橋園田９４７－１"</f>
        <v>宇城市松橋町松橋園田９４７－１</v>
      </c>
      <c r="E424" t="str">
        <f>"R06.12.19"</f>
        <v>R06.12.19</v>
      </c>
      <c r="F424" t="str">
        <f>"R12.12.18"</f>
        <v>R12.12.18</v>
      </c>
    </row>
    <row r="425" spans="1:6" x14ac:dyDescent="0.2">
      <c r="A425" t="str">
        <f>"第2545号"</f>
        <v>第2545号</v>
      </c>
      <c r="B425" t="str">
        <f>"株式会社さくら"</f>
        <v>株式会社さくら</v>
      </c>
      <c r="C425" t="str">
        <f>"さくら薬局宇土店"</f>
        <v>さくら薬局宇土店</v>
      </c>
      <c r="D425" t="str">
        <f>"宇土市高柳町２２７番地９"</f>
        <v>宇土市高柳町２２７番地９</v>
      </c>
      <c r="E425" t="str">
        <f>"R07.01.01"</f>
        <v>R07.01.01</v>
      </c>
      <c r="F425" t="str">
        <f>"R12.12.31"</f>
        <v>R12.12.31</v>
      </c>
    </row>
    <row r="426" spans="1:6" x14ac:dyDescent="0.2">
      <c r="A426" t="str">
        <f>"第2593号"</f>
        <v>第2593号</v>
      </c>
      <c r="B426" t="str">
        <f>"株式会社まるそうヘルスケア"</f>
        <v>株式会社まるそうヘルスケア</v>
      </c>
      <c r="C426" t="str">
        <f>"とよかわ薬局"</f>
        <v>とよかわ薬局</v>
      </c>
      <c r="D426" t="str">
        <f>"宇城市松橋町南豊崎５９３番地４"</f>
        <v>宇城市松橋町南豊崎５９３番地４</v>
      </c>
      <c r="E426" t="str">
        <f>"R03.10.01"</f>
        <v>R03.10.01</v>
      </c>
      <c r="F426" t="str">
        <f>"R09.09.30"</f>
        <v>R09.09.30</v>
      </c>
    </row>
    <row r="427" spans="1:6" x14ac:dyDescent="0.2">
      <c r="A427" t="str">
        <f>"第2190号"</f>
        <v>第2190号</v>
      </c>
      <c r="B427" t="str">
        <f>"株式会社ロードファーマシー"</f>
        <v>株式会社ロードファーマシー</v>
      </c>
      <c r="C427" t="str">
        <f>"すまいる薬局"</f>
        <v>すまいる薬局</v>
      </c>
      <c r="D427" t="str">
        <f>"宇城市小川町川尻２７４番地６"</f>
        <v>宇城市小川町川尻２７４番地６</v>
      </c>
      <c r="E427" t="str">
        <f>"R03.01.01"</f>
        <v>R03.01.01</v>
      </c>
      <c r="F427" t="str">
        <f>"R08.12.31"</f>
        <v>R08.12.31</v>
      </c>
    </row>
    <row r="428" spans="1:6" x14ac:dyDescent="0.2">
      <c r="A428" t="str">
        <f>"第2464号"</f>
        <v>第2464号</v>
      </c>
      <c r="B428" t="str">
        <f>"株式会社ファーマダイワ"</f>
        <v>株式会社ファーマダイワ</v>
      </c>
      <c r="C428" t="str">
        <f>"ひまわり薬局　宇土店"</f>
        <v>ひまわり薬局　宇土店</v>
      </c>
      <c r="D428" t="str">
        <f>"宇土市本町１丁目５番地１"</f>
        <v>宇土市本町１丁目５番地１</v>
      </c>
      <c r="E428" t="str">
        <f>"R04.05.01"</f>
        <v>R04.05.01</v>
      </c>
      <c r="F428" t="str">
        <f>"R10.04.30"</f>
        <v>R10.04.30</v>
      </c>
    </row>
    <row r="429" spans="1:6" x14ac:dyDescent="0.2">
      <c r="A429" t="str">
        <f>"第1404号"</f>
        <v>第1404号</v>
      </c>
      <c r="B429" t="str">
        <f>"ユタカ商事有限会社"</f>
        <v>ユタカ商事有限会社</v>
      </c>
      <c r="C429" t="str">
        <f>"とよの薬局"</f>
        <v>とよの薬局</v>
      </c>
      <c r="D429" t="str">
        <f>"宇城市豊野町糸石３８９６番地"</f>
        <v>宇城市豊野町糸石３８９６番地</v>
      </c>
      <c r="E429" t="str">
        <f>"R06.09.19"</f>
        <v>R06.09.19</v>
      </c>
      <c r="F429" t="str">
        <f>"R12.09.18"</f>
        <v>R12.09.18</v>
      </c>
    </row>
    <row r="430" spans="1:6" x14ac:dyDescent="0.2">
      <c r="A430" t="str">
        <f>"第2179号"</f>
        <v>第2179号</v>
      </c>
      <c r="B430" t="str">
        <f>"有限会社ＭＥＴ"</f>
        <v>有限会社ＭＥＴ</v>
      </c>
      <c r="C430" t="str">
        <f>"三気堂薬局　松橋店"</f>
        <v>三気堂薬局　松橋店</v>
      </c>
      <c r="D430" t="str">
        <f>"宇城市松橋町松橋１９４７－３"</f>
        <v>宇城市松橋町松橋１９４７－３</v>
      </c>
      <c r="E430" t="str">
        <f>"R03.01.01"</f>
        <v>R03.01.01</v>
      </c>
      <c r="F430" t="str">
        <f>"R08.12.31"</f>
        <v>R08.12.31</v>
      </c>
    </row>
    <row r="431" spans="1:6" x14ac:dyDescent="0.2">
      <c r="A431" t="str">
        <f>"第2148号"</f>
        <v>第2148号</v>
      </c>
      <c r="B431" t="str">
        <f>"株式会社　宇土まつやま調剤薬局"</f>
        <v>株式会社　宇土まつやま調剤薬局</v>
      </c>
      <c r="C431" t="str">
        <f>"宇土まつやま調剤薬局"</f>
        <v>宇土まつやま調剤薬局</v>
      </c>
      <c r="D431" t="str">
        <f>"宇土市松山町１９２１－３"</f>
        <v>宇土市松山町１９２１－３</v>
      </c>
      <c r="E431" t="str">
        <f>"R02.01.01"</f>
        <v>R02.01.01</v>
      </c>
      <c r="F431" t="str">
        <f>"R07.12.31"</f>
        <v>R07.12.31</v>
      </c>
    </row>
    <row r="432" spans="1:6" x14ac:dyDescent="0.2">
      <c r="A432" t="str">
        <f>"第1576号"</f>
        <v>第1576号</v>
      </c>
      <c r="B432" t="str">
        <f>"株式会社美生堂"</f>
        <v>株式会社美生堂</v>
      </c>
      <c r="C432" t="str">
        <f>"オガワ薬局"</f>
        <v>オガワ薬局</v>
      </c>
      <c r="D432" t="str">
        <f>"宇城市小川町小川河江１－１"</f>
        <v>宇城市小川町小川河江１－１</v>
      </c>
      <c r="E432" t="str">
        <f>"R06.01.01"</f>
        <v>R06.01.01</v>
      </c>
      <c r="F432" t="str">
        <f>"R11.12.31"</f>
        <v>R11.12.31</v>
      </c>
    </row>
    <row r="433" spans="1:6" x14ac:dyDescent="0.2">
      <c r="A433" t="str">
        <f>"第904号"</f>
        <v>第904号</v>
      </c>
      <c r="B433" t="str">
        <f>"有限会社福田薬局"</f>
        <v>有限会社福田薬局</v>
      </c>
      <c r="C433" t="str">
        <f>"有限会社福田薬局"</f>
        <v>有限会社福田薬局</v>
      </c>
      <c r="D433" t="str">
        <f>"宇城市小川町小川８７"</f>
        <v>宇城市小川町小川８７</v>
      </c>
      <c r="E433" t="str">
        <f>"R05.12.17"</f>
        <v>R05.12.17</v>
      </c>
      <c r="F433" t="str">
        <f>"R11.12.16"</f>
        <v>R11.12.16</v>
      </c>
    </row>
    <row r="434" spans="1:6" x14ac:dyDescent="0.2">
      <c r="A434" t="str">
        <f>"第2568号"</f>
        <v>第2568号</v>
      </c>
      <c r="B434" t="str">
        <f>"江上　慶太"</f>
        <v>江上　慶太</v>
      </c>
      <c r="C434" t="str">
        <f>"かえで薬局"</f>
        <v>かえで薬局</v>
      </c>
      <c r="D434" t="str">
        <f>"宇城市松橋町曲野字南田２２７５－６"</f>
        <v>宇城市松橋町曲野字南田２２７５－６</v>
      </c>
      <c r="E434" t="str">
        <f>"R02.07.27"</f>
        <v>R02.07.27</v>
      </c>
      <c r="F434" t="str">
        <f>"R08.07.26"</f>
        <v>R08.07.26</v>
      </c>
    </row>
    <row r="435" spans="1:6" x14ac:dyDescent="0.2">
      <c r="A435" t="str">
        <f>"第1890号"</f>
        <v>第1890号</v>
      </c>
      <c r="B435" t="str">
        <f>"有限会社江南薬局"</f>
        <v>有限会社江南薬局</v>
      </c>
      <c r="C435" t="str">
        <f>"江南薬局"</f>
        <v>江南薬局</v>
      </c>
      <c r="D435" t="str">
        <f>"宇城市小川町北新田６１番地４"</f>
        <v>宇城市小川町北新田６１番地４</v>
      </c>
      <c r="E435" t="str">
        <f>"R03.01.01"</f>
        <v>R03.01.01</v>
      </c>
      <c r="F435" t="str">
        <f>"R08.12.31"</f>
        <v>R08.12.31</v>
      </c>
    </row>
    <row r="436" spans="1:6" x14ac:dyDescent="0.2">
      <c r="A436" t="str">
        <f>"第2281号"</f>
        <v>第2281号</v>
      </c>
      <c r="B436" t="str">
        <f>"有限会社網田薬局"</f>
        <v>有限会社網田薬局</v>
      </c>
      <c r="C436" t="str">
        <f>"つばき薬局"</f>
        <v>つばき薬局</v>
      </c>
      <c r="D436" t="str">
        <f>"宇土市野鶴町３４１－２"</f>
        <v>宇土市野鶴町３４１－２</v>
      </c>
      <c r="E436" t="str">
        <f>"R05.01.01"</f>
        <v>R05.01.01</v>
      </c>
      <c r="F436" t="str">
        <f>"R10.12.31"</f>
        <v>R10.12.31</v>
      </c>
    </row>
    <row r="437" spans="1:6" x14ac:dyDescent="0.2">
      <c r="A437" t="str">
        <f>"第1660号"</f>
        <v>第1660号</v>
      </c>
      <c r="B437" t="str">
        <f>"ユタカ商事有限会社"</f>
        <v>ユタカ商事有限会社</v>
      </c>
      <c r="C437" t="str">
        <f>"みやび薬局"</f>
        <v>みやび薬局</v>
      </c>
      <c r="D437" t="str">
        <f>"宇城市松橋町久具字新開３２４番地２"</f>
        <v>宇城市松橋町久具字新開３２４番地２</v>
      </c>
      <c r="E437" t="str">
        <f>"R04.11.02"</f>
        <v>R04.11.02</v>
      </c>
      <c r="F437" t="str">
        <f>"R10.11.01"</f>
        <v>R10.11.01</v>
      </c>
    </row>
    <row r="438" spans="1:6" x14ac:dyDescent="0.2">
      <c r="A438" t="str">
        <f>"第1452号"</f>
        <v>第1452号</v>
      </c>
      <c r="B438" t="str">
        <f>"平成商事有限会社"</f>
        <v>平成商事有限会社</v>
      </c>
      <c r="C438" t="str">
        <f>"長生堂薬局"</f>
        <v>長生堂薬局</v>
      </c>
      <c r="D438" t="str">
        <f>"下益城郡美里町永富３６２番地"</f>
        <v>下益城郡美里町永富３６２番地</v>
      </c>
      <c r="E438" t="str">
        <f>"R04.01.01"</f>
        <v>R04.01.01</v>
      </c>
      <c r="F438" t="str">
        <f>"R09.12.31"</f>
        <v>R09.12.31</v>
      </c>
    </row>
    <row r="439" spans="1:6" x14ac:dyDescent="0.2">
      <c r="A439" t="str">
        <f>"第1599号"</f>
        <v>第1599号</v>
      </c>
      <c r="B439" t="str">
        <f>"有限会社オレンジ薬局"</f>
        <v>有限会社オレンジ薬局</v>
      </c>
      <c r="C439" t="str">
        <f>"有限会社オレンジ薬局"</f>
        <v>有限会社オレンジ薬局</v>
      </c>
      <c r="D439" t="str">
        <f>"宇城市不知火町御領７０８番地１５"</f>
        <v>宇城市不知火町御領７０８番地１５</v>
      </c>
      <c r="E439" t="str">
        <f>"R04.01.01"</f>
        <v>R04.01.01</v>
      </c>
      <c r="F439" t="str">
        <f>"R09.12.31"</f>
        <v>R09.12.31</v>
      </c>
    </row>
    <row r="440" spans="1:6" x14ac:dyDescent="0.2">
      <c r="A440" t="str">
        <f>"第2575号"</f>
        <v>第2575号</v>
      </c>
      <c r="B440" t="str">
        <f>"有限会社カワグチ薬局"</f>
        <v>有限会社カワグチ薬局</v>
      </c>
      <c r="C440" t="str">
        <f>"道の駅調剤薬局"</f>
        <v>道の駅調剤薬局</v>
      </c>
      <c r="D440" t="str">
        <f>"宇城市松橋町久具７５８番地４"</f>
        <v>宇城市松橋町久具７５８番地４</v>
      </c>
      <c r="E440" t="str">
        <f>"R03.04.01"</f>
        <v>R03.04.01</v>
      </c>
      <c r="F440" t="str">
        <f>"R09.03.31"</f>
        <v>R09.03.31</v>
      </c>
    </row>
    <row r="441" spans="1:6" x14ac:dyDescent="0.2">
      <c r="A441" t="str">
        <f>"第2216号"</f>
        <v>第2216号</v>
      </c>
      <c r="B441" t="str">
        <f>"有限会社不知火薬局"</f>
        <v>有限会社不知火薬局</v>
      </c>
      <c r="C441" t="str">
        <f>"松橋クローバー薬局"</f>
        <v>松橋クローバー薬局</v>
      </c>
      <c r="D441" t="str">
        <f>"宇城市松橋町豊福２０６４－３"</f>
        <v>宇城市松橋町豊福２０６４－３</v>
      </c>
      <c r="E441" t="str">
        <f>"R03.01.01"</f>
        <v>R03.01.01</v>
      </c>
      <c r="F441" t="str">
        <f>"R08.12.31"</f>
        <v>R08.12.31</v>
      </c>
    </row>
    <row r="442" spans="1:6" x14ac:dyDescent="0.2">
      <c r="A442" t="str">
        <f>"第2659号"</f>
        <v>第2659号</v>
      </c>
      <c r="B442" t="str">
        <f>"株式会社められうか"</f>
        <v>株式会社められうか</v>
      </c>
      <c r="C442" t="str">
        <f>"ありあけ薬局"</f>
        <v>ありあけ薬局</v>
      </c>
      <c r="D442" t="str">
        <f>"天草市有明町大島子１９４９－３"</f>
        <v>天草市有明町大島子１９４９－３</v>
      </c>
      <c r="E442" t="str">
        <f>"R06.06.06"</f>
        <v>R06.06.06</v>
      </c>
      <c r="F442" t="str">
        <f>"R11.12.31"</f>
        <v>R11.12.31</v>
      </c>
    </row>
    <row r="443" spans="1:6" x14ac:dyDescent="0.2">
      <c r="A443" t="str">
        <f>"第2697号"</f>
        <v>第2697号</v>
      </c>
      <c r="B443" t="str">
        <f>"有限会社木山ファーマシー"</f>
        <v>有限会社木山ファーマシー</v>
      </c>
      <c r="C443" t="str">
        <f>"木山薬局　南新町店"</f>
        <v>木山薬局　南新町店</v>
      </c>
      <c r="D443" t="str">
        <f>"天草市南新町７番地１９"</f>
        <v>天草市南新町７番地１９</v>
      </c>
      <c r="E443" t="str">
        <f>"R07.08.13"</f>
        <v>R07.08.13</v>
      </c>
      <c r="F443" t="str">
        <f>"R13.08.12"</f>
        <v>R13.08.12</v>
      </c>
    </row>
    <row r="444" spans="1:6" x14ac:dyDescent="0.2">
      <c r="A444" t="str">
        <f>"第2684号"</f>
        <v>第2684号</v>
      </c>
      <c r="B444" t="str">
        <f>"株式会社とみた薬局"</f>
        <v>株式会社とみた薬局</v>
      </c>
      <c r="C444" t="str">
        <f>"エーピー薬局"</f>
        <v>エーピー薬局</v>
      </c>
      <c r="D444" t="str">
        <f>"天草市亀場町亀川１６９３番地２"</f>
        <v>天草市亀場町亀川１６９３番地２</v>
      </c>
      <c r="E444" t="str">
        <f>"R07.04.01"</f>
        <v>R07.04.01</v>
      </c>
      <c r="F444" t="str">
        <f>"R12.12.31"</f>
        <v>R12.12.31</v>
      </c>
    </row>
    <row r="445" spans="1:6" x14ac:dyDescent="0.2">
      <c r="A445" t="str">
        <f>"第2686号"</f>
        <v>第2686号</v>
      </c>
      <c r="B445" t="str">
        <f>"株式会社とみた薬局"</f>
        <v>株式会社とみた薬局</v>
      </c>
      <c r="C445" t="str">
        <f>"カミタニ薬局"</f>
        <v>カミタニ薬局</v>
      </c>
      <c r="D445" t="str">
        <f>"上天草市大矢野町上３９７－２"</f>
        <v>上天草市大矢野町上３９７－２</v>
      </c>
      <c r="E445" t="str">
        <f>"R07.04.01"</f>
        <v>R07.04.01</v>
      </c>
      <c r="F445" t="str">
        <f>"R12.12.31"</f>
        <v>R12.12.31</v>
      </c>
    </row>
    <row r="446" spans="1:6" x14ac:dyDescent="0.2">
      <c r="A446" t="str">
        <f>"第1661号"</f>
        <v>第1661号</v>
      </c>
      <c r="B446" t="str">
        <f>"株式会社木山薬局"</f>
        <v>株式会社木山薬局</v>
      </c>
      <c r="C446" t="str">
        <f>"株式会社木山薬局北部店"</f>
        <v>株式会社木山薬局北部店</v>
      </c>
      <c r="D446" t="str">
        <f>"天草市八幡町１番１号"</f>
        <v>天草市八幡町１番１号</v>
      </c>
      <c r="E446" t="str">
        <f>"R04.11.20"</f>
        <v>R04.11.20</v>
      </c>
      <c r="F446" t="str">
        <f>"R09.12.31"</f>
        <v>R09.12.31</v>
      </c>
    </row>
    <row r="447" spans="1:6" x14ac:dyDescent="0.2">
      <c r="A447" t="str">
        <f>"第2619号"</f>
        <v>第2619号</v>
      </c>
      <c r="B447" t="str">
        <f>"株式会社ジョイプランニング"</f>
        <v>株式会社ジョイプランニング</v>
      </c>
      <c r="C447" t="str">
        <f>"南新町薬局"</f>
        <v>南新町薬局</v>
      </c>
      <c r="D447" t="str">
        <f>"天草市南新町４番地１３"</f>
        <v>天草市南新町４番地１３</v>
      </c>
      <c r="E447" t="str">
        <f>"R05.03.01"</f>
        <v>R05.03.01</v>
      </c>
      <c r="F447" t="str">
        <f>"R11.02.28"</f>
        <v>R11.02.28</v>
      </c>
    </row>
    <row r="448" spans="1:6" x14ac:dyDescent="0.2">
      <c r="A448" t="str">
        <f>"第2685号"</f>
        <v>第2685号</v>
      </c>
      <c r="B448" t="str">
        <f>"株式会社とみた薬局"</f>
        <v>株式会社とみた薬局</v>
      </c>
      <c r="C448" t="str">
        <f>"スモト薬局"</f>
        <v>スモト薬局</v>
      </c>
      <c r="D448" t="str">
        <f>"天草市栖本町湯船原７６８－２０"</f>
        <v>天草市栖本町湯船原７６８－２０</v>
      </c>
      <c r="E448" t="str">
        <f>"R07.04.01"</f>
        <v>R07.04.01</v>
      </c>
      <c r="F448" t="str">
        <f>"R12.12.31"</f>
        <v>R12.12.31</v>
      </c>
    </row>
    <row r="449" spans="1:6" x14ac:dyDescent="0.2">
      <c r="A449" t="str">
        <f>"第2683号"</f>
        <v>第2683号</v>
      </c>
      <c r="B449" t="str">
        <f>"株式会社とみた薬局"</f>
        <v>株式会社とみた薬局</v>
      </c>
      <c r="C449" t="str">
        <f>"ほんど北薬局"</f>
        <v>ほんど北薬局</v>
      </c>
      <c r="D449" t="str">
        <f>"天草市八幡町７－２５"</f>
        <v>天草市八幡町７－２５</v>
      </c>
      <c r="E449" t="str">
        <f>"R07.04.01"</f>
        <v>R07.04.01</v>
      </c>
      <c r="F449" t="str">
        <f>"R12.12.31"</f>
        <v>R12.12.31</v>
      </c>
    </row>
    <row r="450" spans="1:6" x14ac:dyDescent="0.2">
      <c r="A450" t="str">
        <f>"第1950号"</f>
        <v>第1950号</v>
      </c>
      <c r="B450" t="str">
        <f>"株式会社天草調剤薬局"</f>
        <v>株式会社天草調剤薬局</v>
      </c>
      <c r="C450" t="str">
        <f>"デイ薬局"</f>
        <v>デイ薬局</v>
      </c>
      <c r="D450" t="str">
        <f>"天草市亀場町食場８５２－３"</f>
        <v>天草市亀場町食場８５２－３</v>
      </c>
      <c r="E450" t="str">
        <f>"R04.01.01"</f>
        <v>R04.01.01</v>
      </c>
      <c r="F450" t="str">
        <f>"R09.12.31"</f>
        <v>R09.12.31</v>
      </c>
    </row>
    <row r="451" spans="1:6" x14ac:dyDescent="0.2">
      <c r="A451" t="str">
        <f>"第1394号"</f>
        <v>第1394号</v>
      </c>
      <c r="B451" t="str">
        <f>"有限会社栄町薬局"</f>
        <v>有限会社栄町薬局</v>
      </c>
      <c r="C451" t="str">
        <f>"有限会社栄町薬局"</f>
        <v>有限会社栄町薬局</v>
      </c>
      <c r="D451" t="str">
        <f>"天草市栄町１２番１５号"</f>
        <v>天草市栄町１２番１５号</v>
      </c>
      <c r="E451" t="str">
        <f>"R06.01.01"</f>
        <v>R06.01.01</v>
      </c>
      <c r="F451" t="str">
        <f>"R11.12.31"</f>
        <v>R11.12.31</v>
      </c>
    </row>
    <row r="452" spans="1:6" x14ac:dyDescent="0.2">
      <c r="A452" t="str">
        <f>"第2690号"</f>
        <v>第2690号</v>
      </c>
      <c r="B452" t="str">
        <f>"株式会社サニープレイス"</f>
        <v>株式会社サニープレイス</v>
      </c>
      <c r="C452" t="str">
        <f>"サニー牛深薬局"</f>
        <v>サニー牛深薬局</v>
      </c>
      <c r="D452" t="str">
        <f>"天草市久玉町５７０４番地５"</f>
        <v>天草市久玉町５７０４番地５</v>
      </c>
      <c r="E452" t="str">
        <f>"R07.06.01"</f>
        <v>R07.06.01</v>
      </c>
      <c r="F452" t="str">
        <f>"R13.05.31"</f>
        <v>R13.05.31</v>
      </c>
    </row>
    <row r="453" spans="1:6" x14ac:dyDescent="0.2">
      <c r="A453" t="str">
        <f>"第2352号"</f>
        <v>第2352号</v>
      </c>
      <c r="B453" t="str">
        <f>"株式会社ふれんず薬局"</f>
        <v>株式会社ふれんず薬局</v>
      </c>
      <c r="C453" t="str">
        <f>"ふれんず薬局"</f>
        <v>ふれんず薬局</v>
      </c>
      <c r="D453" t="str">
        <f>"天草市五和町二江４４８８－２４"</f>
        <v>天草市五和町二江４４８８－２４</v>
      </c>
      <c r="E453" t="str">
        <f>"R06.01.01"</f>
        <v>R06.01.01</v>
      </c>
      <c r="F453" t="str">
        <f>"R11.12.31"</f>
        <v>R11.12.31</v>
      </c>
    </row>
    <row r="454" spans="1:6" x14ac:dyDescent="0.2">
      <c r="A454" t="str">
        <f>"第2456号"</f>
        <v>第2456号</v>
      </c>
      <c r="B454" t="str">
        <f>"株式会社ケミスト"</f>
        <v>株式会社ケミスト</v>
      </c>
      <c r="C454" t="str">
        <f>"あおぞら薬局"</f>
        <v>あおぞら薬局</v>
      </c>
      <c r="D454" t="str">
        <f>"天草市栄町１１番１０号"</f>
        <v>天草市栄町１１番１０号</v>
      </c>
      <c r="E454" t="str">
        <f>"R04.01.01"</f>
        <v>R04.01.01</v>
      </c>
      <c r="F454" t="str">
        <f>"R09.12.31"</f>
        <v>R09.12.31</v>
      </c>
    </row>
    <row r="455" spans="1:6" x14ac:dyDescent="0.2">
      <c r="A455" t="str">
        <f>"第1529号"</f>
        <v>第1529号</v>
      </c>
      <c r="B455" t="str">
        <f>"有限会社嶽本薬局"</f>
        <v>有限会社嶽本薬局</v>
      </c>
      <c r="C455" t="str">
        <f>"はまゆう薬局"</f>
        <v>はまゆう薬局</v>
      </c>
      <c r="D455" t="str">
        <f>"上天草市大矢野町上１５０７－２"</f>
        <v>上天草市大矢野町上１５０７－２</v>
      </c>
      <c r="E455" t="str">
        <f>"R06.01.01"</f>
        <v>R06.01.01</v>
      </c>
      <c r="F455" t="str">
        <f>"R11.12.31"</f>
        <v>R11.12.31</v>
      </c>
    </row>
    <row r="456" spans="1:6" x14ac:dyDescent="0.2">
      <c r="A456" t="str">
        <f>"第2598号"</f>
        <v>第2598号</v>
      </c>
      <c r="B456" t="str">
        <f>"株式会社SKY　CREATE"</f>
        <v>株式会社SKY　CREATE</v>
      </c>
      <c r="C456" t="str">
        <f>"海浜総合薬局　東町店"</f>
        <v>海浜総合薬局　東町店</v>
      </c>
      <c r="D456" t="str">
        <f>"天草市東町７－４５"</f>
        <v>天草市東町７－４５</v>
      </c>
      <c r="E456" t="str">
        <f>"R04.01.01"</f>
        <v>R04.01.01</v>
      </c>
      <c r="F456" t="str">
        <f>"R09.12.31"</f>
        <v>R09.12.31</v>
      </c>
    </row>
    <row r="457" spans="1:6" x14ac:dyDescent="0.2">
      <c r="A457" t="str">
        <f>"第2606号"</f>
        <v>第2606号</v>
      </c>
      <c r="B457" t="str">
        <f>"有限会社木山ファーマシー"</f>
        <v>有限会社木山ファーマシー</v>
      </c>
      <c r="C457" t="str">
        <f>"御所浦薬局"</f>
        <v>御所浦薬局</v>
      </c>
      <c r="D457" t="str">
        <f>"天草市御所浦町御所浦２０８１番地１３"</f>
        <v>天草市御所浦町御所浦２０８１番地１３</v>
      </c>
      <c r="E457" t="str">
        <f>"R04.05.01"</f>
        <v>R04.05.01</v>
      </c>
      <c r="F457" t="str">
        <f>"R10.04.30"</f>
        <v>R10.04.30</v>
      </c>
    </row>
    <row r="458" spans="1:6" x14ac:dyDescent="0.2">
      <c r="A458" t="str">
        <f>"第2546号"</f>
        <v>第2546号</v>
      </c>
      <c r="B458" t="str">
        <f>"株式会社アポセカリーＨＡＹＡＳＨＩ"</f>
        <v>株式会社アポセカリーＨＡＹＡＳＨＩ</v>
      </c>
      <c r="C458" t="str">
        <f>"はやし薬局"</f>
        <v>はやし薬局</v>
      </c>
      <c r="D458" t="str">
        <f>"天草市城下町６番１９号"</f>
        <v>天草市城下町６番１９号</v>
      </c>
      <c r="E458" t="str">
        <f t="shared" ref="E458:E466" si="4">"R07.01.01"</f>
        <v>R07.01.01</v>
      </c>
      <c r="F458" t="str">
        <f t="shared" ref="F458:F466" si="5">"R12.12.31"</f>
        <v>R12.12.31</v>
      </c>
    </row>
    <row r="459" spans="1:6" x14ac:dyDescent="0.2">
      <c r="A459" t="str">
        <f>"第2536号"</f>
        <v>第2536号</v>
      </c>
      <c r="B459" t="str">
        <f>"株式会社メディカルインテリジェンス"</f>
        <v>株式会社メディカルインテリジェンス</v>
      </c>
      <c r="C459" t="str">
        <f>"くらしの薬局"</f>
        <v>くらしの薬局</v>
      </c>
      <c r="D459" t="str">
        <f>"上天草市姫戸町姫浦２５２８－３"</f>
        <v>上天草市姫戸町姫浦２５２８－３</v>
      </c>
      <c r="E459" t="str">
        <f t="shared" si="4"/>
        <v>R07.01.01</v>
      </c>
      <c r="F459" t="str">
        <f t="shared" si="5"/>
        <v>R12.12.31</v>
      </c>
    </row>
    <row r="460" spans="1:6" x14ac:dyDescent="0.2">
      <c r="A460" t="str">
        <f>"第2390号"</f>
        <v>第2390号</v>
      </c>
      <c r="B460" t="str">
        <f>"有限会社松﨑商店"</f>
        <v>有限会社松﨑商店</v>
      </c>
      <c r="C460" t="str">
        <f>"しもうら薬局"</f>
        <v>しもうら薬局</v>
      </c>
      <c r="D460" t="str">
        <f>"天草市下浦町字尾戸２００３番１"</f>
        <v>天草市下浦町字尾戸２００３番１</v>
      </c>
      <c r="E460" t="str">
        <f t="shared" si="4"/>
        <v>R07.01.01</v>
      </c>
      <c r="F460" t="str">
        <f t="shared" si="5"/>
        <v>R12.12.31</v>
      </c>
    </row>
    <row r="461" spans="1:6" x14ac:dyDescent="0.2">
      <c r="A461" t="str">
        <f>"第2388号"</f>
        <v>第2388号</v>
      </c>
      <c r="B461" t="str">
        <f>"株式会社アビィロード"</f>
        <v>株式会社アビィロード</v>
      </c>
      <c r="C461" t="str">
        <f>"ファイン薬局"</f>
        <v>ファイン薬局</v>
      </c>
      <c r="D461" t="str">
        <f>"天草市大浜町８番８号"</f>
        <v>天草市大浜町８番８号</v>
      </c>
      <c r="E461" t="str">
        <f t="shared" si="4"/>
        <v>R07.01.01</v>
      </c>
      <c r="F461" t="str">
        <f t="shared" si="5"/>
        <v>R12.12.31</v>
      </c>
    </row>
    <row r="462" spans="1:6" x14ac:dyDescent="0.2">
      <c r="A462" t="str">
        <f>"第2387号"</f>
        <v>第2387号</v>
      </c>
      <c r="B462" t="str">
        <f>"有限会社船の尾薬局"</f>
        <v>有限会社船の尾薬局</v>
      </c>
      <c r="C462" t="str">
        <f>"アクア薬局"</f>
        <v>アクア薬局</v>
      </c>
      <c r="D462" t="str">
        <f>"天草市中村町３７"</f>
        <v>天草市中村町３７</v>
      </c>
      <c r="E462" t="str">
        <f t="shared" si="4"/>
        <v>R07.01.01</v>
      </c>
      <c r="F462" t="str">
        <f t="shared" si="5"/>
        <v>R12.12.31</v>
      </c>
    </row>
    <row r="463" spans="1:6" x14ac:dyDescent="0.2">
      <c r="A463" t="str">
        <f>"第2386号"</f>
        <v>第2386号</v>
      </c>
      <c r="B463" t="str">
        <f>"株式会社天草調剤薬局"</f>
        <v>株式会社天草調剤薬局</v>
      </c>
      <c r="C463" t="str">
        <f>"東町調剤薬局"</f>
        <v>東町調剤薬局</v>
      </c>
      <c r="D463" t="str">
        <f>"天草市東町８５番地"</f>
        <v>天草市東町８５番地</v>
      </c>
      <c r="E463" t="str">
        <f t="shared" si="4"/>
        <v>R07.01.01</v>
      </c>
      <c r="F463" t="str">
        <f t="shared" si="5"/>
        <v>R12.12.31</v>
      </c>
    </row>
    <row r="464" spans="1:6" x14ac:dyDescent="0.2">
      <c r="A464" t="str">
        <f>"第2076号"</f>
        <v>第2076号</v>
      </c>
      <c r="B464" t="str">
        <f>"株式会社　ロクイチ"</f>
        <v>株式会社　ロクイチ</v>
      </c>
      <c r="C464" t="str">
        <f>"アーチ薬局"</f>
        <v>アーチ薬局</v>
      </c>
      <c r="D464" t="str">
        <f>"天草市五和町城河原３丁目４０１番地"</f>
        <v>天草市五和町城河原３丁目４０１番地</v>
      </c>
      <c r="E464" t="str">
        <f t="shared" si="4"/>
        <v>R07.01.01</v>
      </c>
      <c r="F464" t="str">
        <f t="shared" si="5"/>
        <v>R12.12.31</v>
      </c>
    </row>
    <row r="465" spans="1:6" x14ac:dyDescent="0.2">
      <c r="A465" t="str">
        <f>"第1791号"</f>
        <v>第1791号</v>
      </c>
      <c r="B465" t="str">
        <f>"有限会社　ほっと薬局"</f>
        <v>有限会社　ほっと薬局</v>
      </c>
      <c r="C465" t="str">
        <f>"ほっと薬局"</f>
        <v>ほっと薬局</v>
      </c>
      <c r="D465" t="str">
        <f>"天草市東町１０７－２"</f>
        <v>天草市東町１０７－２</v>
      </c>
      <c r="E465" t="str">
        <f t="shared" si="4"/>
        <v>R07.01.01</v>
      </c>
      <c r="F465" t="str">
        <f t="shared" si="5"/>
        <v>R12.12.31</v>
      </c>
    </row>
    <row r="466" spans="1:6" x14ac:dyDescent="0.2">
      <c r="A466" t="str">
        <f>"第1782号"</f>
        <v>第1782号</v>
      </c>
      <c r="B466" t="str">
        <f>"有限会社　木山ファ－マシ－"</f>
        <v>有限会社　木山ファ－マシ－</v>
      </c>
      <c r="C466" t="str">
        <f>"久玉薬局"</f>
        <v>久玉薬局</v>
      </c>
      <c r="D466" t="str">
        <f>"天草市久玉町１４１１－１８８"</f>
        <v>天草市久玉町１４１１－１８８</v>
      </c>
      <c r="E466" t="str">
        <f t="shared" si="4"/>
        <v>R07.01.01</v>
      </c>
      <c r="F466" t="str">
        <f t="shared" si="5"/>
        <v>R12.12.31</v>
      </c>
    </row>
    <row r="467" spans="1:6" x14ac:dyDescent="0.2">
      <c r="A467" t="str">
        <f>"第872号"</f>
        <v>第872号</v>
      </c>
      <c r="B467" t="str">
        <f>"有限会社　江崎薬局"</f>
        <v>有限会社　江崎薬局</v>
      </c>
      <c r="C467" t="str">
        <f>"有限会社　江崎薬局"</f>
        <v>有限会社　江崎薬局</v>
      </c>
      <c r="D467" t="str">
        <f>"天草市太田町６－１"</f>
        <v>天草市太田町６－１</v>
      </c>
      <c r="E467" t="str">
        <f>"R05.01.01"</f>
        <v>R05.01.01</v>
      </c>
      <c r="F467" t="str">
        <f>"R10.12.31"</f>
        <v>R10.12.31</v>
      </c>
    </row>
    <row r="468" spans="1:6" x14ac:dyDescent="0.2">
      <c r="A468" t="str">
        <f>"第1525号"</f>
        <v>第1525号</v>
      </c>
      <c r="B468" t="str">
        <f>"有限会社カミシマ薬局"</f>
        <v>有限会社カミシマ薬局</v>
      </c>
      <c r="C468" t="str">
        <f>"有限会社カミシマ薬局"</f>
        <v>有限会社カミシマ薬局</v>
      </c>
      <c r="D468" t="str">
        <f>"上天草市龍ケ岳町高戸１４２７番地"</f>
        <v>上天草市龍ケ岳町高戸１４２７番地</v>
      </c>
      <c r="E468" t="str">
        <f>"R06.01.01"</f>
        <v>R06.01.01</v>
      </c>
      <c r="F468" t="str">
        <f>"R11.12.31"</f>
        <v>R11.12.31</v>
      </c>
    </row>
    <row r="469" spans="1:6" x14ac:dyDescent="0.2">
      <c r="A469" t="str">
        <f>"第2613号"</f>
        <v>第2613号</v>
      </c>
      <c r="B469" t="str">
        <f>"有限会社あべ薬局"</f>
        <v>有限会社あべ薬局</v>
      </c>
      <c r="C469" t="str">
        <f>"有限会社あべ薬局"</f>
        <v>有限会社あべ薬局</v>
      </c>
      <c r="D469" t="str">
        <f>"天草郡苓北町上津深江２７９－４"</f>
        <v>天草郡苓北町上津深江２７９－４</v>
      </c>
      <c r="E469" t="str">
        <f>"R04.09.01"</f>
        <v>R04.09.01</v>
      </c>
      <c r="F469" t="str">
        <f>"R10.08.31"</f>
        <v>R10.08.31</v>
      </c>
    </row>
    <row r="470" spans="1:6" x14ac:dyDescent="0.2">
      <c r="A470" t="str">
        <f>"第2604号"</f>
        <v>第2604号</v>
      </c>
      <c r="B470" t="str">
        <f>"株式会社モアナ"</f>
        <v>株式会社モアナ</v>
      </c>
      <c r="C470" t="str">
        <f>"マリーン薬局"</f>
        <v>マリーン薬局</v>
      </c>
      <c r="D470" t="str">
        <f>"天草市牛深町１５５１－６９"</f>
        <v>天草市牛深町１５５１－６９</v>
      </c>
      <c r="E470" t="str">
        <f>"R04.04.01"</f>
        <v>R04.04.01</v>
      </c>
      <c r="F470" t="str">
        <f>"R10.03.31"</f>
        <v>R10.03.31</v>
      </c>
    </row>
    <row r="471" spans="1:6" x14ac:dyDescent="0.2">
      <c r="A471" t="str">
        <f>"第2009号"</f>
        <v>第2009号</v>
      </c>
      <c r="B471" t="str">
        <f>"北岡　敏克"</f>
        <v>北岡　敏克</v>
      </c>
      <c r="C471" t="str">
        <f>"きたおか薬局"</f>
        <v>きたおか薬局</v>
      </c>
      <c r="D471" t="str">
        <f>"天草市東浜町１２－１"</f>
        <v>天草市東浜町１２－１</v>
      </c>
      <c r="E471" t="str">
        <f>"R05.01.01"</f>
        <v>R05.01.01</v>
      </c>
      <c r="F471" t="str">
        <f>"R10.12.31"</f>
        <v>R10.12.31</v>
      </c>
    </row>
    <row r="472" spans="1:6" x14ac:dyDescent="0.2">
      <c r="A472" t="str">
        <f>"第1998号"</f>
        <v>第1998号</v>
      </c>
      <c r="B472" t="str">
        <f>"有限会社木山ファ－マシ－"</f>
        <v>有限会社木山ファ－マシ－</v>
      </c>
      <c r="C472" t="str">
        <f>"河浦薬局"</f>
        <v>河浦薬局</v>
      </c>
      <c r="D472" t="str">
        <f>"天草市河浦町大字白木河内２２７番地７"</f>
        <v>天草市河浦町大字白木河内２２７番地７</v>
      </c>
      <c r="E472" t="str">
        <f>"R05.01.01"</f>
        <v>R05.01.01</v>
      </c>
      <c r="F472" t="str">
        <f>"R10.12.31"</f>
        <v>R10.12.31</v>
      </c>
    </row>
    <row r="473" spans="1:6" x14ac:dyDescent="0.2">
      <c r="A473" t="str">
        <f>"第1753号"</f>
        <v>第1753号</v>
      </c>
      <c r="B473" t="str">
        <f>"有限会社　ハート薬局"</f>
        <v>有限会社　ハート薬局</v>
      </c>
      <c r="C473" t="str">
        <f>"有限会社　ハート薬局"</f>
        <v>有限会社　ハート薬局</v>
      </c>
      <c r="D473" t="str">
        <f>"天草市今釜新町３４１３番地１"</f>
        <v>天草市今釜新町３４１３番地１</v>
      </c>
      <c r="E473" t="str">
        <f>"R06.01.01"</f>
        <v>R06.01.01</v>
      </c>
      <c r="F473" t="str">
        <f>"R11.12.31"</f>
        <v>R11.12.31</v>
      </c>
    </row>
    <row r="474" spans="1:6" x14ac:dyDescent="0.2">
      <c r="A474" t="str">
        <f>"第1739号"</f>
        <v>第1739号</v>
      </c>
      <c r="B474" t="str">
        <f>"株式会社メディカルインテリジェンス"</f>
        <v>株式会社メディカルインテリジェンス</v>
      </c>
      <c r="C474" t="str">
        <f>"くらしの薬局　阿村店"</f>
        <v>くらしの薬局　阿村店</v>
      </c>
      <c r="D474" t="str">
        <f>"上天草市松島町阿村８０４番地６"</f>
        <v>上天草市松島町阿村８０４番地６</v>
      </c>
      <c r="E474" t="str">
        <f>"R06.01.01"</f>
        <v>R06.01.01</v>
      </c>
      <c r="F474" t="str">
        <f>"R11.12.31"</f>
        <v>R11.12.31</v>
      </c>
    </row>
    <row r="475" spans="1:6" x14ac:dyDescent="0.2">
      <c r="A475" t="str">
        <f>"第1606号"</f>
        <v>第1606号</v>
      </c>
      <c r="B475" t="str">
        <f>"株式会社メディカルインテリジェンス"</f>
        <v>株式会社メディカルインテリジェンス</v>
      </c>
      <c r="C475" t="str">
        <f>"くらしの薬局中店"</f>
        <v>くらしの薬局中店</v>
      </c>
      <c r="D475" t="str">
        <f>"上天草市大矢野町中８２９２－７"</f>
        <v>上天草市大矢野町中８２９２－７</v>
      </c>
      <c r="E475" t="str">
        <f>"R04.01.01"</f>
        <v>R04.01.01</v>
      </c>
      <c r="F475" t="str">
        <f>"R09.12.31"</f>
        <v>R09.12.31</v>
      </c>
    </row>
    <row r="476" spans="1:6" x14ac:dyDescent="0.2">
      <c r="A476" t="str">
        <f>"第2656号"</f>
        <v>第2656号</v>
      </c>
      <c r="B476" t="str">
        <f>"株式会社メディカルインテリジェンス"</f>
        <v>株式会社メディカルインテリジェンス</v>
      </c>
      <c r="C476" t="str">
        <f>"龍ヶ岳くらしの薬局"</f>
        <v>龍ヶ岳くらしの薬局</v>
      </c>
      <c r="D476" t="str">
        <f>"上天草市龍ケ岳町高戸１２３７－１７"</f>
        <v>上天草市龍ケ岳町高戸１２３７－１７</v>
      </c>
      <c r="E476" t="str">
        <f>"R06.05.01"</f>
        <v>R06.05.01</v>
      </c>
      <c r="F476" t="str">
        <f>"R12.04.30"</f>
        <v>R12.04.30</v>
      </c>
    </row>
    <row r="477" spans="1:6" x14ac:dyDescent="0.2">
      <c r="A477" t="str">
        <f>"第1949号"</f>
        <v>第1949号</v>
      </c>
      <c r="B477" t="str">
        <f>"有限会社興福堂"</f>
        <v>有限会社興福堂</v>
      </c>
      <c r="C477" t="str">
        <f>"わかば薬局"</f>
        <v>わかば薬局</v>
      </c>
      <c r="D477" t="str">
        <f>"天草市北原町１番１１号"</f>
        <v>天草市北原町１番１１号</v>
      </c>
      <c r="E477" t="str">
        <f>"R04.01.01"</f>
        <v>R04.01.01</v>
      </c>
      <c r="F477" t="str">
        <f>"R09.12.31"</f>
        <v>R09.12.31</v>
      </c>
    </row>
    <row r="478" spans="1:6" x14ac:dyDescent="0.2">
      <c r="A478" t="str">
        <f>"第2602号"</f>
        <v>第2602号</v>
      </c>
      <c r="B478" t="str">
        <f>"株式会社E-メディスン"</f>
        <v>株式会社E-メディスン</v>
      </c>
      <c r="C478" t="str">
        <f>"あすなろ薬局"</f>
        <v>あすなろ薬局</v>
      </c>
      <c r="D478" t="str">
        <f>"上天草市龍ケ岳町高戸２０９５－５２"</f>
        <v>上天草市龍ケ岳町高戸２０９５－５２</v>
      </c>
      <c r="E478" t="str">
        <f>"R04.04.01"</f>
        <v>R04.04.01</v>
      </c>
      <c r="F478" t="str">
        <f>"R10.03.31"</f>
        <v>R10.03.31</v>
      </c>
    </row>
    <row r="479" spans="1:6" x14ac:dyDescent="0.2">
      <c r="A479" t="str">
        <f>"第1828号"</f>
        <v>第1828号</v>
      </c>
      <c r="B479" t="str">
        <f>"有限会社　サンワ"</f>
        <v>有限会社　サンワ</v>
      </c>
      <c r="C479" t="str">
        <f>"あい薬局"</f>
        <v>あい薬局</v>
      </c>
      <c r="D479" t="str">
        <f>"天草市牛深町３０５２番地２"</f>
        <v>天草市牛深町３０５２番地２</v>
      </c>
      <c r="E479" t="str">
        <f>"R02.01.01"</f>
        <v>R02.01.01</v>
      </c>
      <c r="F479" t="str">
        <f>"R07.12.31"</f>
        <v>R07.12.31</v>
      </c>
    </row>
    <row r="480" spans="1:6" x14ac:dyDescent="0.2">
      <c r="A480" t="str">
        <f>"第2645号"</f>
        <v>第2645号</v>
      </c>
      <c r="B480" t="str">
        <f>"株式会社Ｅ－メディスン"</f>
        <v>株式会社Ｅ－メディスン</v>
      </c>
      <c r="C480" t="str">
        <f>"ネクスト薬局"</f>
        <v>ネクスト薬局</v>
      </c>
      <c r="D480" t="str">
        <f>"上天草市大矢野町中１１８８－１"</f>
        <v>上天草市大矢野町中１１８８－１</v>
      </c>
      <c r="E480" t="str">
        <f>"R06.02.01"</f>
        <v>R06.02.01</v>
      </c>
      <c r="F480" t="str">
        <f>"R12.01.31"</f>
        <v>R12.01.31</v>
      </c>
    </row>
    <row r="481" spans="1:6" x14ac:dyDescent="0.2">
      <c r="A481" t="str">
        <f>"第2329号"</f>
        <v>第2329号</v>
      </c>
      <c r="B481" t="str">
        <f>"有限会社ハート薬局"</f>
        <v>有限会社ハート薬局</v>
      </c>
      <c r="C481" t="str">
        <f>"オリーブ薬局"</f>
        <v>オリーブ薬局</v>
      </c>
      <c r="D481" t="str">
        <f>"天草市今釜町７－３２"</f>
        <v>天草市今釜町７－３２</v>
      </c>
      <c r="E481" t="str">
        <f>"R06.01.01"</f>
        <v>R06.01.01</v>
      </c>
      <c r="F481" t="str">
        <f>"R11.12.31"</f>
        <v>R11.12.31</v>
      </c>
    </row>
    <row r="482" spans="1:6" x14ac:dyDescent="0.2">
      <c r="A482" t="str">
        <f>"第1572号"</f>
        <v>第1572号</v>
      </c>
      <c r="B482" t="str">
        <f>"株式会社天草調剤薬局"</f>
        <v>株式会社天草調剤薬局</v>
      </c>
      <c r="C482" t="str">
        <f>"シンワ薬局"</f>
        <v>シンワ薬局</v>
      </c>
      <c r="D482" t="str">
        <f>"天草市新和町小宮地７６３番地１０"</f>
        <v>天草市新和町小宮地７６３番地１０</v>
      </c>
      <c r="E482" t="str">
        <f>"R06.01.01"</f>
        <v>R06.01.01</v>
      </c>
      <c r="F482" t="str">
        <f>"R11.12.31"</f>
        <v>R11.12.31</v>
      </c>
    </row>
    <row r="483" spans="1:6" x14ac:dyDescent="0.2">
      <c r="A483" t="str">
        <f>"第1398号"</f>
        <v>第1398号</v>
      </c>
      <c r="B483" t="str">
        <f>"株式会社　サイカイ薬局"</f>
        <v>株式会社　サイカイ薬局</v>
      </c>
      <c r="C483" t="str">
        <f>"株式会社　サイカイ薬局"</f>
        <v>株式会社　サイカイ薬局</v>
      </c>
      <c r="D483" t="str">
        <f>"天草郡苓北町富岡３５９７番１７号"</f>
        <v>天草郡苓北町富岡３５９７番１７号</v>
      </c>
      <c r="E483" t="str">
        <f>"R06.01.01"</f>
        <v>R06.01.01</v>
      </c>
      <c r="F483" t="str">
        <f>"R11.12.31"</f>
        <v>R11.12.31</v>
      </c>
    </row>
    <row r="484" spans="1:6" x14ac:dyDescent="0.2">
      <c r="A484" t="str">
        <f>"第2501号"</f>
        <v>第2501号</v>
      </c>
      <c r="B484" t="str">
        <f>"株式会社亀川薬局"</f>
        <v>株式会社亀川薬局</v>
      </c>
      <c r="C484" t="str">
        <f>"亀川薬局"</f>
        <v>亀川薬局</v>
      </c>
      <c r="D484" t="str">
        <f>"天草市亀場町亀川１６８１番地１"</f>
        <v>天草市亀場町亀川１６８１番地１</v>
      </c>
      <c r="E484" t="str">
        <f>"R05.12.18"</f>
        <v>R05.12.18</v>
      </c>
      <c r="F484" t="str">
        <f>"R11.12.17"</f>
        <v>R11.12.17</v>
      </c>
    </row>
    <row r="485" spans="1:6" x14ac:dyDescent="0.2">
      <c r="A485" t="str">
        <f>"第2056号"</f>
        <v>第2056号</v>
      </c>
      <c r="B485" t="str">
        <f>"有限会社　翔優"</f>
        <v>有限会社　翔優</v>
      </c>
      <c r="C485" t="str">
        <f>"くすうら薬局"</f>
        <v>くすうら薬局</v>
      </c>
      <c r="D485" t="str">
        <f>"天草市楠浦町２７８番地１"</f>
        <v>天草市楠浦町２７８番地１</v>
      </c>
      <c r="E485" t="str">
        <f>"R06.01.01"</f>
        <v>R06.01.01</v>
      </c>
      <c r="F485" t="str">
        <f>"R11.12.31"</f>
        <v>R11.12.31</v>
      </c>
    </row>
    <row r="486" spans="1:6" x14ac:dyDescent="0.2">
      <c r="A486" t="str">
        <f>"第2029号"</f>
        <v>第2029号</v>
      </c>
      <c r="B486" t="str">
        <f>"有限会社　すばる薬局"</f>
        <v>有限会社　すばる薬局</v>
      </c>
      <c r="C486" t="str">
        <f>"すばる薬局"</f>
        <v>すばる薬局</v>
      </c>
      <c r="D486" t="str">
        <f>"天草市大浜町３番３５号"</f>
        <v>天草市大浜町３番３５号</v>
      </c>
      <c r="E486" t="str">
        <f>"R05.12.14"</f>
        <v>R05.12.14</v>
      </c>
      <c r="F486" t="str">
        <f>"R11.12.13"</f>
        <v>R11.12.13</v>
      </c>
    </row>
    <row r="487" spans="1:6" x14ac:dyDescent="0.2">
      <c r="A487" t="str">
        <f>"第2060号"</f>
        <v>第2060号</v>
      </c>
      <c r="B487" t="str">
        <f>"株式会社　ＡＱＵＡ"</f>
        <v>株式会社　ＡＱＵＡ</v>
      </c>
      <c r="C487" t="str">
        <f>"イルカ薬局"</f>
        <v>イルカ薬局</v>
      </c>
      <c r="D487" t="str">
        <f>"天草市五和町二江１４７７番地７３"</f>
        <v>天草市五和町二江１４７７番地７３</v>
      </c>
      <c r="E487" t="str">
        <f>"R06.01.01"</f>
        <v>R06.01.01</v>
      </c>
      <c r="F487" t="str">
        <f>"R11.12.31"</f>
        <v>R11.12.31</v>
      </c>
    </row>
    <row r="488" spans="1:6" x14ac:dyDescent="0.2">
      <c r="A488" t="str">
        <f>"第2064号"</f>
        <v>第2064号</v>
      </c>
      <c r="B488" t="str">
        <f>"株式会社　ＡＱＵＡ"</f>
        <v>株式会社　ＡＱＵＡ</v>
      </c>
      <c r="C488" t="str">
        <f>"あまくさ薬局"</f>
        <v>あまくさ薬局</v>
      </c>
      <c r="D488" t="str">
        <f>"天草市本渡町広瀬字大矢崎５番地１２３"</f>
        <v>天草市本渡町広瀬字大矢崎５番地１２３</v>
      </c>
      <c r="E488" t="str">
        <f>"R06.01.01"</f>
        <v>R06.01.01</v>
      </c>
      <c r="F488" t="str">
        <f>"R11.12.31"</f>
        <v>R11.12.31</v>
      </c>
    </row>
    <row r="489" spans="1:6" x14ac:dyDescent="0.2">
      <c r="A489" t="str">
        <f>"第1986号"</f>
        <v>第1986号</v>
      </c>
      <c r="B489" t="str">
        <f>"有限会社ＮＡＤＡセンター薬局"</f>
        <v>有限会社ＮＡＤＡセンター薬局</v>
      </c>
      <c r="C489" t="str">
        <f>"センター薬局"</f>
        <v>センター薬局</v>
      </c>
      <c r="D489" t="str">
        <f>"天草市南新町７番地１５"</f>
        <v>天草市南新町７番地１５</v>
      </c>
      <c r="E489" t="str">
        <f>"R04.12.01"</f>
        <v>R04.12.01</v>
      </c>
      <c r="F489" t="str">
        <f>"R10.11.30"</f>
        <v>R10.11.30</v>
      </c>
    </row>
    <row r="490" spans="1:6" x14ac:dyDescent="0.2">
      <c r="A490" t="str">
        <f>"第2426号"</f>
        <v>第2426号</v>
      </c>
      <c r="B490" t="str">
        <f>"有限会社パートナー"</f>
        <v>有限会社パートナー</v>
      </c>
      <c r="C490" t="str">
        <f>"登立調剤薬局"</f>
        <v>登立調剤薬局</v>
      </c>
      <c r="D490" t="str">
        <f>"上天草市大矢野町登立９６１６－１５"</f>
        <v>上天草市大矢野町登立９６１６－１５</v>
      </c>
      <c r="E490" t="str">
        <f>"R02.10.01"</f>
        <v>R02.10.01</v>
      </c>
      <c r="F490" t="str">
        <f>"R08.09.30"</f>
        <v>R08.09.30</v>
      </c>
    </row>
    <row r="491" spans="1:6" x14ac:dyDescent="0.2">
      <c r="A491" t="str">
        <f>"第2459号"</f>
        <v>第2459号</v>
      </c>
      <c r="B491" t="str">
        <f>"株式会社ココアーク"</f>
        <v>株式会社ココアーク</v>
      </c>
      <c r="C491" t="str">
        <f>"ココ薬局"</f>
        <v>ココ薬局</v>
      </c>
      <c r="D491" t="str">
        <f>"天草市八幡町７６－１"</f>
        <v>天草市八幡町７６－１</v>
      </c>
      <c r="E491" t="str">
        <f>"R04.01.01"</f>
        <v>R04.01.01</v>
      </c>
      <c r="F491" t="str">
        <f>"R09.12.31"</f>
        <v>R09.12.31</v>
      </c>
    </row>
    <row r="492" spans="1:6" x14ac:dyDescent="0.2">
      <c r="A492" t="str">
        <f>"第2480号"</f>
        <v>第2480号</v>
      </c>
      <c r="B492" t="str">
        <f>"有限会社ハート薬局"</f>
        <v>有限会社ハート薬局</v>
      </c>
      <c r="C492" t="str">
        <f>"ハート薬局牛深店"</f>
        <v>ハート薬局牛深店</v>
      </c>
      <c r="D492" t="str">
        <f>"天草市牛深町１４９８－３８"</f>
        <v>天草市牛深町１４９８－３８</v>
      </c>
      <c r="E492" t="str">
        <f>"R05.06.01"</f>
        <v>R05.06.01</v>
      </c>
      <c r="F492" t="str">
        <f>"R11.05.31"</f>
        <v>R11.05.31</v>
      </c>
    </row>
    <row r="493" spans="1:6" x14ac:dyDescent="0.2">
      <c r="A493" t="str">
        <f>"第1933号"</f>
        <v>第1933号</v>
      </c>
      <c r="B493" t="str">
        <f>"有限会社コジマ薬局"</f>
        <v>有限会社コジマ薬局</v>
      </c>
      <c r="C493" t="str">
        <f>"コジマ薬局"</f>
        <v>コジマ薬局</v>
      </c>
      <c r="D493" t="str">
        <f>"上天草市松島町阿村５０７２番１４"</f>
        <v>上天草市松島町阿村５０７２番１４</v>
      </c>
      <c r="E493" t="str">
        <f>"R03.01.01"</f>
        <v>R03.01.01</v>
      </c>
      <c r="F493" t="str">
        <f>"R08.12.31"</f>
        <v>R08.12.31</v>
      </c>
    </row>
    <row r="494" spans="1:6" x14ac:dyDescent="0.2">
      <c r="A494" t="str">
        <f>"第1896号"</f>
        <v>第1896号</v>
      </c>
      <c r="B494" t="str">
        <f>"有限会社　松﨑商店"</f>
        <v>有限会社　松﨑商店</v>
      </c>
      <c r="C494" t="str">
        <f>"しらす薬局"</f>
        <v>しらす薬局</v>
      </c>
      <c r="D494" t="str">
        <f>"天草市栖本町馬場２５７２－４０"</f>
        <v>天草市栖本町馬場２５７２－４０</v>
      </c>
      <c r="E494" t="str">
        <f>"R03.01.01"</f>
        <v>R03.01.01</v>
      </c>
      <c r="F494" t="str">
        <f>"R08.12.31"</f>
        <v>R08.12.31</v>
      </c>
    </row>
    <row r="495" spans="1:6" x14ac:dyDescent="0.2">
      <c r="A495" t="str">
        <f>"第1422号"</f>
        <v>第1422号</v>
      </c>
      <c r="B495" t="str">
        <f>"有限会社ワコー"</f>
        <v>有限会社ワコー</v>
      </c>
      <c r="C495" t="str">
        <f>"ほんど調剤薬局"</f>
        <v>ほんど調剤薬局</v>
      </c>
      <c r="D495" t="str">
        <f>"天草市南新町３番地の１"</f>
        <v>天草市南新町３番地の１</v>
      </c>
      <c r="E495" t="str">
        <f>"R04.01.06"</f>
        <v>R04.01.06</v>
      </c>
      <c r="F495" t="str">
        <f>"R10.01.05"</f>
        <v>R10.01.05</v>
      </c>
    </row>
    <row r="496" spans="1:6" x14ac:dyDescent="0.2">
      <c r="A496" t="str">
        <f>"第2617号"</f>
        <v>第2617号</v>
      </c>
      <c r="B496" t="str">
        <f>"株式会社かなうま"</f>
        <v>株式会社かなうま</v>
      </c>
      <c r="C496" t="str">
        <f>"さいつ薬局"</f>
        <v>さいつ薬局</v>
      </c>
      <c r="D496" t="str">
        <f>"天草市佐伊津町５８４２－４３"</f>
        <v>天草市佐伊津町５８４２－４３</v>
      </c>
      <c r="E496" t="str">
        <f>"R05.02.02"</f>
        <v>R05.02.02</v>
      </c>
      <c r="F496" t="str">
        <f>"R11.02.01"</f>
        <v>R11.02.01</v>
      </c>
    </row>
    <row r="497" spans="1:6" x14ac:dyDescent="0.2">
      <c r="A497" t="str">
        <f>"第2014号"</f>
        <v>第2014号</v>
      </c>
      <c r="B497" t="str">
        <f>"有限会社　江崎薬局"</f>
        <v>有限会社　江崎薬局</v>
      </c>
      <c r="C497" t="str">
        <f>"エザキ三方堂薬局"</f>
        <v>エザキ三方堂薬局</v>
      </c>
      <c r="D497" t="str">
        <f>"天草市志柿町中ノ浦５６７６番地２"</f>
        <v>天草市志柿町中ノ浦５６７６番地２</v>
      </c>
      <c r="E497" t="str">
        <f>"R05.01.01"</f>
        <v>R05.01.01</v>
      </c>
      <c r="F497" t="str">
        <f>"R10.12.31"</f>
        <v>R10.12.31</v>
      </c>
    </row>
    <row r="498" spans="1:6" x14ac:dyDescent="0.2">
      <c r="A498" t="str">
        <f>"第2013号"</f>
        <v>第2013号</v>
      </c>
      <c r="B498" t="str">
        <f>"有限会社　同仁"</f>
        <v>有限会社　同仁</v>
      </c>
      <c r="C498" t="str">
        <f>"うしぶか調剤薬局"</f>
        <v>うしぶか調剤薬局</v>
      </c>
      <c r="D498" t="str">
        <f>"天草市久玉町５７１６－１７"</f>
        <v>天草市久玉町５７１６－１７</v>
      </c>
      <c r="E498" t="str">
        <f>"R05.01.01"</f>
        <v>R05.01.01</v>
      </c>
      <c r="F498" t="str">
        <f>"R10.12.31"</f>
        <v>R10.12.31</v>
      </c>
    </row>
    <row r="499" spans="1:6" x14ac:dyDescent="0.2">
      <c r="A499" t="str">
        <f>"第1705号"</f>
        <v>第1705号</v>
      </c>
      <c r="B499" t="str">
        <f>"有限会社　ひまわり薬局"</f>
        <v>有限会社　ひまわり薬局</v>
      </c>
      <c r="C499" t="str">
        <f>"ひまわり薬局"</f>
        <v>ひまわり薬局</v>
      </c>
      <c r="D499" t="str">
        <f>"天草市本町下河内８７５－４"</f>
        <v>天草市本町下河内８７５－４</v>
      </c>
      <c r="E499" t="str">
        <f>"R05.01.01"</f>
        <v>R05.01.01</v>
      </c>
      <c r="F499" t="str">
        <f>"R10.12.31"</f>
        <v>R10.12.31</v>
      </c>
    </row>
    <row r="500" spans="1:6" x14ac:dyDescent="0.2">
      <c r="A500" t="str">
        <f>"第1629号"</f>
        <v>第1629号</v>
      </c>
      <c r="B500" t="str">
        <f>"尾石　富人"</f>
        <v>尾石　富人</v>
      </c>
      <c r="C500" t="str">
        <f>"オイシ薬局"</f>
        <v>オイシ薬局</v>
      </c>
      <c r="D500" t="str">
        <f>"上天草市大矢野町登立９１４５－３"</f>
        <v>上天草市大矢野町登立９１４５－３</v>
      </c>
      <c r="E500" t="str">
        <f>"R04.01.01"</f>
        <v>R04.01.01</v>
      </c>
      <c r="F500" t="str">
        <f>"R09.12.31"</f>
        <v>R09.12.31</v>
      </c>
    </row>
    <row r="501" spans="1:6" x14ac:dyDescent="0.2">
      <c r="A501" t="str">
        <f>"第1595号"</f>
        <v>第1595号</v>
      </c>
      <c r="B501" t="str">
        <f>"有限会社翔優"</f>
        <v>有限会社翔優</v>
      </c>
      <c r="C501" t="str">
        <f>"港町調剤薬局"</f>
        <v>港町調剤薬局</v>
      </c>
      <c r="D501" t="str">
        <f>"天草市港町１６番１１号"</f>
        <v>天草市港町１６番１１号</v>
      </c>
      <c r="E501" t="str">
        <f>"R04.01.01"</f>
        <v>R04.01.01</v>
      </c>
      <c r="F501" t="str">
        <f>"R09.12.31"</f>
        <v>R09.12.31</v>
      </c>
    </row>
    <row r="502" spans="1:6" x14ac:dyDescent="0.2">
      <c r="A502" t="str">
        <f>"第1066号"</f>
        <v>第1066号</v>
      </c>
      <c r="B502" t="str">
        <f>"有限会社ゆう薬局"</f>
        <v>有限会社ゆう薬局</v>
      </c>
      <c r="C502" t="str">
        <f>"有限会社ゆう薬局"</f>
        <v>有限会社ゆう薬局</v>
      </c>
      <c r="D502" t="str">
        <f>"天草市本渡町本戸馬場２１２５番地４"</f>
        <v>天草市本渡町本戸馬場２１２５番地４</v>
      </c>
      <c r="E502" t="str">
        <f>"R04.01.01"</f>
        <v>R04.01.01</v>
      </c>
      <c r="F502" t="str">
        <f>"R09.12.31"</f>
        <v>R09.12.31</v>
      </c>
    </row>
    <row r="503" spans="1:6" x14ac:dyDescent="0.2">
      <c r="A503" t="str">
        <f>"第2186号"</f>
        <v>第2186号</v>
      </c>
      <c r="B503" t="str">
        <f>"有限会社江崎薬局"</f>
        <v>有限会社江崎薬局</v>
      </c>
      <c r="C503" t="str">
        <f>"しろはと薬局"</f>
        <v>しろはと薬局</v>
      </c>
      <c r="D503" t="str">
        <f>"天草市太田町7番6"</f>
        <v>天草市太田町7番6</v>
      </c>
      <c r="E503" t="str">
        <f>"R03.01.01"</f>
        <v>R03.01.01</v>
      </c>
      <c r="F503" t="str">
        <f>"R08.12.31"</f>
        <v>R08.12.31</v>
      </c>
    </row>
    <row r="504" spans="1:6" x14ac:dyDescent="0.2">
      <c r="A504" t="str">
        <f>"第2401号"</f>
        <v>第2401号</v>
      </c>
      <c r="B504" t="str">
        <f>"株式会社　苓北薬局"</f>
        <v>株式会社　苓北薬局</v>
      </c>
      <c r="C504" t="str">
        <f>"株式会社　苓北薬局"</f>
        <v>株式会社　苓北薬局</v>
      </c>
      <c r="D504" t="str">
        <f>"天草郡苓北町富岡３２８１"</f>
        <v>天草郡苓北町富岡３２８１</v>
      </c>
      <c r="E504" t="str">
        <f>"R02.01.01"</f>
        <v>R02.01.01</v>
      </c>
      <c r="F504" t="str">
        <f>"R07.12.31"</f>
        <v>R07.12.31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YDataSearch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1900886</dc:creator>
  <cp:lastModifiedBy>1900886</cp:lastModifiedBy>
  <dcterms:created xsi:type="dcterms:W3CDTF">2025-10-01T23:07:30Z</dcterms:created>
  <dcterms:modified xsi:type="dcterms:W3CDTF">2025-10-03T08:46:02Z</dcterms:modified>
</cp:coreProperties>
</file>