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71\薬務共有\②薬事班\99_その他\11_オープンデータ\01_R7年度\第２四半期\作業データ\"/>
    </mc:Choice>
  </mc:AlternateContent>
  <bookViews>
    <workbookView xWindow="0" yWindow="0" windowWidth="28800" windowHeight="12470"/>
  </bookViews>
  <sheets>
    <sheet name="YDataSearch" sheetId="1" r:id="rId1"/>
  </sheets>
  <definedNames>
    <definedName name="_xlnm._FilterDatabase" localSheetId="0" hidden="1">YDataSearch!$A$1:$F$155</definedName>
  </definedNames>
  <calcPr calcId="162913"/>
</workbook>
</file>

<file path=xl/calcChain.xml><?xml version="1.0" encoding="utf-8"?>
<calcChain xmlns="http://schemas.openxmlformats.org/spreadsheetml/2006/main">
  <c r="D46" i="1" l="1"/>
  <c r="D42" i="1"/>
  <c r="D37" i="1"/>
  <c r="D32" i="1"/>
  <c r="A2" i="1" l="1"/>
  <c r="E2" i="1"/>
  <c r="F2" i="1"/>
  <c r="D2" i="1"/>
  <c r="C2" i="1"/>
  <c r="B2" i="1"/>
  <c r="A3" i="1"/>
  <c r="E3" i="1"/>
  <c r="F3" i="1"/>
  <c r="D3" i="1"/>
  <c r="C3" i="1"/>
  <c r="B3" i="1"/>
  <c r="A4" i="1"/>
  <c r="E4" i="1"/>
  <c r="F4" i="1"/>
  <c r="D4" i="1"/>
  <c r="C4" i="1"/>
  <c r="B4" i="1"/>
  <c r="A5" i="1"/>
  <c r="E5" i="1"/>
  <c r="F5" i="1"/>
  <c r="D5" i="1"/>
  <c r="C5" i="1"/>
  <c r="B5" i="1"/>
  <c r="A6" i="1"/>
  <c r="E6" i="1"/>
  <c r="F6" i="1"/>
  <c r="D6" i="1"/>
  <c r="C6" i="1"/>
  <c r="B6" i="1"/>
  <c r="A7" i="1"/>
  <c r="E7" i="1"/>
  <c r="F7" i="1"/>
  <c r="D7" i="1"/>
  <c r="C7" i="1"/>
  <c r="B7" i="1"/>
  <c r="A8" i="1"/>
  <c r="E8" i="1"/>
  <c r="F8" i="1"/>
  <c r="D8" i="1"/>
  <c r="C8" i="1"/>
  <c r="B8" i="1"/>
  <c r="A9" i="1"/>
  <c r="E9" i="1"/>
  <c r="F9" i="1"/>
  <c r="D9" i="1"/>
  <c r="C9" i="1"/>
  <c r="B9" i="1"/>
  <c r="A10" i="1"/>
  <c r="E10" i="1"/>
  <c r="F10" i="1"/>
  <c r="D10" i="1"/>
  <c r="C10" i="1"/>
  <c r="B10" i="1"/>
  <c r="A11" i="1"/>
  <c r="E11" i="1"/>
  <c r="F11" i="1"/>
  <c r="D11" i="1"/>
  <c r="C11" i="1"/>
  <c r="B11" i="1"/>
  <c r="A12" i="1"/>
  <c r="E12" i="1"/>
  <c r="F12" i="1"/>
  <c r="D12" i="1"/>
  <c r="C12" i="1"/>
  <c r="B12" i="1"/>
  <c r="A13" i="1"/>
  <c r="E13" i="1"/>
  <c r="F13" i="1"/>
  <c r="D13" i="1"/>
  <c r="C13" i="1"/>
  <c r="B13" i="1"/>
  <c r="A14" i="1"/>
  <c r="E14" i="1"/>
  <c r="F14" i="1"/>
  <c r="D14" i="1"/>
  <c r="C14" i="1"/>
  <c r="B14" i="1"/>
  <c r="A15" i="1"/>
  <c r="E15" i="1"/>
  <c r="F15" i="1"/>
  <c r="D15" i="1"/>
  <c r="C15" i="1"/>
  <c r="B15" i="1"/>
  <c r="A16" i="1"/>
  <c r="E16" i="1"/>
  <c r="F16" i="1"/>
  <c r="D16" i="1"/>
  <c r="C16" i="1"/>
  <c r="B16" i="1"/>
  <c r="A17" i="1"/>
  <c r="E17" i="1"/>
  <c r="F17" i="1"/>
  <c r="D17" i="1"/>
  <c r="C17" i="1"/>
  <c r="B17" i="1"/>
  <c r="A18" i="1"/>
  <c r="E18" i="1"/>
  <c r="F18" i="1"/>
  <c r="D18" i="1"/>
  <c r="C18" i="1"/>
  <c r="B18" i="1"/>
  <c r="A19" i="1"/>
  <c r="E19" i="1"/>
  <c r="F19" i="1"/>
  <c r="D19" i="1"/>
  <c r="C19" i="1"/>
  <c r="B19" i="1"/>
  <c r="A20" i="1"/>
  <c r="E20" i="1"/>
  <c r="F20" i="1"/>
  <c r="D20" i="1"/>
  <c r="C20" i="1"/>
  <c r="B20" i="1"/>
  <c r="A21" i="1"/>
  <c r="E21" i="1"/>
  <c r="F21" i="1"/>
  <c r="D21" i="1"/>
  <c r="C21" i="1"/>
  <c r="B21" i="1"/>
  <c r="A22" i="1"/>
  <c r="E22" i="1"/>
  <c r="F22" i="1"/>
  <c r="D22" i="1"/>
  <c r="C22" i="1"/>
  <c r="B22" i="1"/>
  <c r="A23" i="1"/>
  <c r="E23" i="1"/>
  <c r="F23" i="1"/>
  <c r="D23" i="1"/>
  <c r="C23" i="1"/>
  <c r="B23" i="1"/>
  <c r="A24" i="1"/>
  <c r="E24" i="1"/>
  <c r="F24" i="1"/>
  <c r="D24" i="1"/>
  <c r="C24" i="1"/>
  <c r="B24" i="1"/>
  <c r="A25" i="1"/>
  <c r="E25" i="1"/>
  <c r="F25" i="1"/>
  <c r="D25" i="1"/>
  <c r="C25" i="1"/>
  <c r="B25" i="1"/>
  <c r="A26" i="1"/>
  <c r="E26" i="1"/>
  <c r="F26" i="1"/>
  <c r="D26" i="1"/>
  <c r="C26" i="1"/>
  <c r="B26" i="1"/>
  <c r="A27" i="1"/>
  <c r="E27" i="1"/>
  <c r="F27" i="1"/>
  <c r="D27" i="1"/>
  <c r="C27" i="1"/>
  <c r="B27" i="1"/>
  <c r="A28" i="1"/>
  <c r="E28" i="1"/>
  <c r="F28" i="1"/>
  <c r="D28" i="1"/>
  <c r="C28" i="1"/>
  <c r="B28" i="1"/>
  <c r="A29" i="1"/>
  <c r="E29" i="1"/>
  <c r="F29" i="1"/>
  <c r="D29" i="1"/>
  <c r="C29" i="1"/>
  <c r="B29" i="1"/>
  <c r="A30" i="1"/>
  <c r="E30" i="1"/>
  <c r="F30" i="1"/>
  <c r="D30" i="1"/>
  <c r="C30" i="1"/>
  <c r="B30" i="1"/>
  <c r="A31" i="1"/>
  <c r="E31" i="1"/>
  <c r="F31" i="1"/>
  <c r="D31" i="1"/>
  <c r="C31" i="1"/>
  <c r="B31" i="1"/>
  <c r="A32" i="1"/>
  <c r="E32" i="1"/>
  <c r="F32" i="1"/>
  <c r="C32" i="1"/>
  <c r="B32" i="1"/>
  <c r="A33" i="1"/>
  <c r="E33" i="1"/>
  <c r="F33" i="1"/>
  <c r="D33" i="1"/>
  <c r="C33" i="1"/>
  <c r="B33" i="1"/>
  <c r="A34" i="1"/>
  <c r="E34" i="1"/>
  <c r="F34" i="1"/>
  <c r="D34" i="1"/>
  <c r="C34" i="1"/>
  <c r="B34" i="1"/>
  <c r="A35" i="1"/>
  <c r="E35" i="1"/>
  <c r="F35" i="1"/>
  <c r="D35" i="1"/>
  <c r="C35" i="1"/>
  <c r="B35" i="1"/>
  <c r="A36" i="1"/>
  <c r="E36" i="1"/>
  <c r="F36" i="1"/>
  <c r="D36" i="1"/>
  <c r="C36" i="1"/>
  <c r="B36" i="1"/>
  <c r="A37" i="1"/>
  <c r="E37" i="1"/>
  <c r="F37" i="1"/>
  <c r="C37" i="1"/>
  <c r="B37" i="1"/>
  <c r="A38" i="1"/>
  <c r="E38" i="1"/>
  <c r="F38" i="1"/>
  <c r="D38" i="1"/>
  <c r="C38" i="1"/>
  <c r="B38" i="1"/>
  <c r="A39" i="1"/>
  <c r="E39" i="1"/>
  <c r="F39" i="1"/>
  <c r="D39" i="1"/>
  <c r="C39" i="1"/>
  <c r="B39" i="1"/>
  <c r="A40" i="1"/>
  <c r="E40" i="1"/>
  <c r="F40" i="1"/>
  <c r="D40" i="1"/>
  <c r="C40" i="1"/>
  <c r="B40" i="1"/>
  <c r="A41" i="1"/>
  <c r="E41" i="1"/>
  <c r="F41" i="1"/>
  <c r="D41" i="1"/>
  <c r="C41" i="1"/>
  <c r="B41" i="1"/>
  <c r="A42" i="1"/>
  <c r="E42" i="1"/>
  <c r="F42" i="1"/>
  <c r="C42" i="1"/>
  <c r="B42" i="1"/>
  <c r="A43" i="1"/>
  <c r="E43" i="1"/>
  <c r="F43" i="1"/>
  <c r="D43" i="1"/>
  <c r="C43" i="1"/>
  <c r="B43" i="1"/>
  <c r="A44" i="1"/>
  <c r="E44" i="1"/>
  <c r="F44" i="1"/>
  <c r="D44" i="1"/>
  <c r="C44" i="1"/>
  <c r="B44" i="1"/>
  <c r="A45" i="1"/>
  <c r="E45" i="1"/>
  <c r="F45" i="1"/>
  <c r="D45" i="1"/>
  <c r="C45" i="1"/>
  <c r="B45" i="1"/>
  <c r="A46" i="1"/>
  <c r="E46" i="1"/>
  <c r="F46" i="1"/>
  <c r="C46" i="1"/>
  <c r="B46" i="1"/>
  <c r="A47" i="1"/>
  <c r="E47" i="1"/>
  <c r="F47" i="1"/>
  <c r="D47" i="1"/>
  <c r="C47" i="1"/>
  <c r="B47" i="1"/>
  <c r="A48" i="1"/>
  <c r="E48" i="1"/>
  <c r="F48" i="1"/>
  <c r="D48" i="1"/>
  <c r="C48" i="1"/>
  <c r="B48" i="1"/>
  <c r="A49" i="1"/>
  <c r="E49" i="1"/>
  <c r="F49" i="1"/>
  <c r="D49" i="1"/>
  <c r="C49" i="1"/>
  <c r="B49" i="1"/>
  <c r="A50" i="1"/>
  <c r="E50" i="1"/>
  <c r="F50" i="1"/>
  <c r="D50" i="1"/>
  <c r="C50" i="1"/>
  <c r="B50" i="1"/>
  <c r="A51" i="1"/>
  <c r="E51" i="1"/>
  <c r="F51" i="1"/>
  <c r="D51" i="1"/>
  <c r="C51" i="1"/>
  <c r="B51" i="1"/>
  <c r="A52" i="1"/>
  <c r="E52" i="1"/>
  <c r="F52" i="1"/>
  <c r="D52" i="1"/>
  <c r="C52" i="1"/>
  <c r="B52" i="1"/>
  <c r="A53" i="1"/>
  <c r="E53" i="1"/>
  <c r="F53" i="1"/>
  <c r="D53" i="1"/>
  <c r="C53" i="1"/>
  <c r="B53" i="1"/>
  <c r="A54" i="1"/>
  <c r="E54" i="1"/>
  <c r="F54" i="1"/>
  <c r="D54" i="1"/>
  <c r="C54" i="1"/>
  <c r="B54" i="1"/>
  <c r="A55" i="1"/>
  <c r="E55" i="1"/>
  <c r="F55" i="1"/>
  <c r="D55" i="1"/>
  <c r="C55" i="1"/>
  <c r="B55" i="1"/>
  <c r="A56" i="1"/>
  <c r="E56" i="1"/>
  <c r="F56" i="1"/>
  <c r="D56" i="1"/>
  <c r="C56" i="1"/>
  <c r="B56" i="1"/>
  <c r="A57" i="1"/>
  <c r="E57" i="1"/>
  <c r="F57" i="1"/>
  <c r="D57" i="1"/>
  <c r="C57" i="1"/>
  <c r="B57" i="1"/>
  <c r="A58" i="1"/>
  <c r="E58" i="1"/>
  <c r="F58" i="1"/>
  <c r="D58" i="1"/>
  <c r="C58" i="1"/>
  <c r="B58" i="1"/>
  <c r="A59" i="1"/>
  <c r="E59" i="1"/>
  <c r="F59" i="1"/>
  <c r="D59" i="1"/>
  <c r="C59" i="1"/>
  <c r="B59" i="1"/>
  <c r="A60" i="1"/>
  <c r="E60" i="1"/>
  <c r="F60" i="1"/>
  <c r="D60" i="1"/>
  <c r="C60" i="1"/>
  <c r="B60" i="1"/>
  <c r="A61" i="1"/>
  <c r="E61" i="1"/>
  <c r="F61" i="1"/>
  <c r="D61" i="1"/>
  <c r="C61" i="1"/>
  <c r="B61" i="1"/>
  <c r="A62" i="1"/>
  <c r="E62" i="1"/>
  <c r="F62" i="1"/>
  <c r="D62" i="1"/>
  <c r="C62" i="1"/>
  <c r="B62" i="1"/>
  <c r="A63" i="1"/>
  <c r="E63" i="1"/>
  <c r="F63" i="1"/>
  <c r="D63" i="1"/>
  <c r="C63" i="1"/>
  <c r="B63" i="1"/>
  <c r="A64" i="1"/>
  <c r="E64" i="1"/>
  <c r="F64" i="1"/>
  <c r="D64" i="1"/>
  <c r="C64" i="1"/>
  <c r="B64" i="1"/>
  <c r="A65" i="1"/>
  <c r="E65" i="1"/>
  <c r="F65" i="1"/>
  <c r="D65" i="1"/>
  <c r="C65" i="1"/>
  <c r="B65" i="1"/>
  <c r="A66" i="1"/>
  <c r="E66" i="1"/>
  <c r="F66" i="1"/>
  <c r="D66" i="1"/>
  <c r="C66" i="1"/>
  <c r="B66" i="1"/>
  <c r="A67" i="1"/>
  <c r="E67" i="1"/>
  <c r="F67" i="1"/>
  <c r="D67" i="1"/>
  <c r="C67" i="1"/>
  <c r="B67" i="1"/>
  <c r="A68" i="1"/>
  <c r="E68" i="1"/>
  <c r="F68" i="1"/>
  <c r="D68" i="1"/>
  <c r="C68" i="1"/>
  <c r="B68" i="1"/>
  <c r="A69" i="1"/>
  <c r="E69" i="1"/>
  <c r="F69" i="1"/>
  <c r="D69" i="1"/>
  <c r="C69" i="1"/>
  <c r="B69" i="1"/>
  <c r="A70" i="1"/>
  <c r="E70" i="1"/>
  <c r="F70" i="1"/>
  <c r="D70" i="1"/>
  <c r="C70" i="1"/>
  <c r="B70" i="1"/>
  <c r="A71" i="1"/>
  <c r="E71" i="1"/>
  <c r="F71" i="1"/>
  <c r="D71" i="1"/>
  <c r="C71" i="1"/>
  <c r="B71" i="1"/>
  <c r="A72" i="1"/>
  <c r="E72" i="1"/>
  <c r="F72" i="1"/>
  <c r="D72" i="1"/>
  <c r="C72" i="1"/>
  <c r="B72" i="1"/>
  <c r="A73" i="1"/>
  <c r="E73" i="1"/>
  <c r="F73" i="1"/>
  <c r="D73" i="1"/>
  <c r="C73" i="1"/>
  <c r="B73" i="1"/>
  <c r="A74" i="1"/>
  <c r="E74" i="1"/>
  <c r="F74" i="1"/>
  <c r="D74" i="1"/>
  <c r="C74" i="1"/>
  <c r="B74" i="1"/>
  <c r="A75" i="1"/>
  <c r="E75" i="1"/>
  <c r="F75" i="1"/>
  <c r="D75" i="1"/>
  <c r="C75" i="1"/>
  <c r="B75" i="1"/>
  <c r="A76" i="1"/>
  <c r="E76" i="1"/>
  <c r="F76" i="1"/>
  <c r="D76" i="1"/>
  <c r="C76" i="1"/>
  <c r="B76" i="1"/>
  <c r="A77" i="1"/>
  <c r="E77" i="1"/>
  <c r="F77" i="1"/>
  <c r="D77" i="1"/>
  <c r="C77" i="1"/>
  <c r="B77" i="1"/>
  <c r="A78" i="1"/>
  <c r="E78" i="1"/>
  <c r="F78" i="1"/>
  <c r="D78" i="1"/>
  <c r="C78" i="1"/>
  <c r="B78" i="1"/>
  <c r="A79" i="1"/>
  <c r="E79" i="1"/>
  <c r="F79" i="1"/>
  <c r="D79" i="1"/>
  <c r="C79" i="1"/>
  <c r="B79" i="1"/>
  <c r="A80" i="1"/>
  <c r="E80" i="1"/>
  <c r="F80" i="1"/>
  <c r="D80" i="1"/>
  <c r="C80" i="1"/>
  <c r="B80" i="1"/>
  <c r="A81" i="1"/>
  <c r="E81" i="1"/>
  <c r="F81" i="1"/>
  <c r="D81" i="1"/>
  <c r="C81" i="1"/>
  <c r="B81" i="1"/>
  <c r="A82" i="1"/>
  <c r="E82" i="1"/>
  <c r="F82" i="1"/>
  <c r="D82" i="1"/>
  <c r="C82" i="1"/>
  <c r="B82" i="1"/>
  <c r="A83" i="1"/>
  <c r="E83" i="1"/>
  <c r="F83" i="1"/>
  <c r="D83" i="1"/>
  <c r="C83" i="1"/>
  <c r="B83" i="1"/>
  <c r="A84" i="1"/>
  <c r="E84" i="1"/>
  <c r="F84" i="1"/>
  <c r="D84" i="1"/>
  <c r="C84" i="1"/>
  <c r="B84" i="1"/>
  <c r="A85" i="1"/>
  <c r="E85" i="1"/>
  <c r="F85" i="1"/>
  <c r="D85" i="1"/>
  <c r="C85" i="1"/>
  <c r="B85" i="1"/>
  <c r="A86" i="1"/>
  <c r="E86" i="1"/>
  <c r="F86" i="1"/>
  <c r="D86" i="1"/>
  <c r="C86" i="1"/>
  <c r="B86" i="1"/>
  <c r="A87" i="1"/>
  <c r="E87" i="1"/>
  <c r="F87" i="1"/>
  <c r="D87" i="1"/>
  <c r="C87" i="1"/>
  <c r="B87" i="1"/>
  <c r="A88" i="1"/>
  <c r="E88" i="1"/>
  <c r="F88" i="1"/>
  <c r="D88" i="1"/>
  <c r="C88" i="1"/>
  <c r="B88" i="1"/>
  <c r="A89" i="1"/>
  <c r="E89" i="1"/>
  <c r="F89" i="1"/>
  <c r="D89" i="1"/>
  <c r="C89" i="1"/>
  <c r="B89" i="1"/>
  <c r="A90" i="1"/>
  <c r="E90" i="1"/>
  <c r="F90" i="1"/>
  <c r="D90" i="1"/>
  <c r="C90" i="1"/>
  <c r="B90" i="1"/>
  <c r="A91" i="1"/>
  <c r="E91" i="1"/>
  <c r="F91" i="1"/>
  <c r="D91" i="1"/>
  <c r="C91" i="1"/>
  <c r="B91" i="1"/>
  <c r="A92" i="1"/>
  <c r="E92" i="1"/>
  <c r="F92" i="1"/>
  <c r="D92" i="1"/>
  <c r="C92" i="1"/>
  <c r="B92" i="1"/>
  <c r="A93" i="1"/>
  <c r="E93" i="1"/>
  <c r="F93" i="1"/>
  <c r="D93" i="1"/>
  <c r="C93" i="1"/>
  <c r="B93" i="1"/>
  <c r="A94" i="1"/>
  <c r="E94" i="1"/>
  <c r="F94" i="1"/>
  <c r="D94" i="1"/>
  <c r="C94" i="1"/>
  <c r="B94" i="1"/>
  <c r="A95" i="1"/>
  <c r="E95" i="1"/>
  <c r="F95" i="1"/>
  <c r="D95" i="1"/>
  <c r="C95" i="1"/>
  <c r="B95" i="1"/>
  <c r="A96" i="1"/>
  <c r="E96" i="1"/>
  <c r="F96" i="1"/>
  <c r="D96" i="1"/>
  <c r="C96" i="1"/>
  <c r="B96" i="1"/>
  <c r="A97" i="1"/>
  <c r="E97" i="1"/>
  <c r="F97" i="1"/>
  <c r="D97" i="1"/>
  <c r="C97" i="1"/>
  <c r="B97" i="1"/>
  <c r="A98" i="1"/>
  <c r="E98" i="1"/>
  <c r="F98" i="1"/>
  <c r="D98" i="1"/>
  <c r="C98" i="1"/>
  <c r="B98" i="1"/>
  <c r="A99" i="1"/>
  <c r="E99" i="1"/>
  <c r="F99" i="1"/>
  <c r="D99" i="1"/>
  <c r="C99" i="1"/>
  <c r="B99" i="1"/>
  <c r="A100" i="1"/>
  <c r="E100" i="1"/>
  <c r="F100" i="1"/>
  <c r="D100" i="1"/>
  <c r="C100" i="1"/>
  <c r="B100" i="1"/>
  <c r="A101" i="1"/>
  <c r="E101" i="1"/>
  <c r="F101" i="1"/>
  <c r="D101" i="1"/>
  <c r="C101" i="1"/>
  <c r="B101" i="1"/>
  <c r="A102" i="1"/>
  <c r="E102" i="1"/>
  <c r="F102" i="1"/>
  <c r="D102" i="1"/>
  <c r="C102" i="1"/>
  <c r="B102" i="1"/>
  <c r="A103" i="1"/>
  <c r="E103" i="1"/>
  <c r="F103" i="1"/>
  <c r="D103" i="1"/>
  <c r="C103" i="1"/>
  <c r="B103" i="1"/>
  <c r="A104" i="1"/>
  <c r="E104" i="1"/>
  <c r="F104" i="1"/>
  <c r="D104" i="1"/>
  <c r="C104" i="1"/>
  <c r="B104" i="1"/>
  <c r="A105" i="1"/>
  <c r="E105" i="1"/>
  <c r="F105" i="1"/>
  <c r="D105" i="1"/>
  <c r="C105" i="1"/>
  <c r="B105" i="1"/>
  <c r="A106" i="1"/>
  <c r="E106" i="1"/>
  <c r="F106" i="1"/>
  <c r="D106" i="1"/>
  <c r="C106" i="1"/>
  <c r="B106" i="1"/>
  <c r="A107" i="1"/>
  <c r="E107" i="1"/>
  <c r="F107" i="1"/>
  <c r="D107" i="1"/>
  <c r="C107" i="1"/>
  <c r="B107" i="1"/>
  <c r="A108" i="1"/>
  <c r="E108" i="1"/>
  <c r="F108" i="1"/>
  <c r="D108" i="1"/>
  <c r="C108" i="1"/>
  <c r="B108" i="1"/>
  <c r="A109" i="1"/>
  <c r="E109" i="1"/>
  <c r="F109" i="1"/>
  <c r="D109" i="1"/>
  <c r="C109" i="1"/>
  <c r="B109" i="1"/>
  <c r="A110" i="1"/>
  <c r="E110" i="1"/>
  <c r="F110" i="1"/>
  <c r="D110" i="1"/>
  <c r="C110" i="1"/>
  <c r="B110" i="1"/>
  <c r="A111" i="1"/>
  <c r="E111" i="1"/>
  <c r="F111" i="1"/>
  <c r="D111" i="1"/>
  <c r="C111" i="1"/>
  <c r="B111" i="1"/>
  <c r="A112" i="1"/>
  <c r="E112" i="1"/>
  <c r="F112" i="1"/>
  <c r="D112" i="1"/>
  <c r="C112" i="1"/>
  <c r="B112" i="1"/>
  <c r="A113" i="1"/>
  <c r="E113" i="1"/>
  <c r="F113" i="1"/>
  <c r="D113" i="1"/>
  <c r="C113" i="1"/>
  <c r="B113" i="1"/>
  <c r="A114" i="1"/>
  <c r="E114" i="1"/>
  <c r="F114" i="1"/>
  <c r="D114" i="1"/>
  <c r="C114" i="1"/>
  <c r="B114" i="1"/>
  <c r="A115" i="1"/>
  <c r="E115" i="1"/>
  <c r="F115" i="1"/>
  <c r="D115" i="1"/>
  <c r="C115" i="1"/>
  <c r="B115" i="1"/>
  <c r="A116" i="1"/>
  <c r="E116" i="1"/>
  <c r="F116" i="1"/>
  <c r="D116" i="1"/>
  <c r="C116" i="1"/>
  <c r="B116" i="1"/>
  <c r="A117" i="1"/>
  <c r="E117" i="1"/>
  <c r="F117" i="1"/>
  <c r="D117" i="1"/>
  <c r="C117" i="1"/>
  <c r="B117" i="1"/>
  <c r="A118" i="1"/>
  <c r="E118" i="1"/>
  <c r="F118" i="1"/>
  <c r="D118" i="1"/>
  <c r="C118" i="1"/>
  <c r="B118" i="1"/>
  <c r="A119" i="1"/>
  <c r="E119" i="1"/>
  <c r="F119" i="1"/>
  <c r="D119" i="1"/>
  <c r="C119" i="1"/>
  <c r="B119" i="1"/>
  <c r="A120" i="1"/>
  <c r="E120" i="1"/>
  <c r="F120" i="1"/>
  <c r="D120" i="1"/>
  <c r="C120" i="1"/>
  <c r="B120" i="1"/>
  <c r="A121" i="1"/>
  <c r="E121" i="1"/>
  <c r="F121" i="1"/>
  <c r="D121" i="1"/>
  <c r="C121" i="1"/>
  <c r="B121" i="1"/>
  <c r="A122" i="1"/>
  <c r="E122" i="1"/>
  <c r="F122" i="1"/>
  <c r="D122" i="1"/>
  <c r="C122" i="1"/>
  <c r="B122" i="1"/>
  <c r="A123" i="1"/>
  <c r="E123" i="1"/>
  <c r="F123" i="1"/>
  <c r="D123" i="1"/>
  <c r="C123" i="1"/>
  <c r="B123" i="1"/>
  <c r="A124" i="1"/>
  <c r="E124" i="1"/>
  <c r="F124" i="1"/>
  <c r="D124" i="1"/>
  <c r="C124" i="1"/>
  <c r="B124" i="1"/>
  <c r="A125" i="1"/>
  <c r="E125" i="1"/>
  <c r="F125" i="1"/>
  <c r="D125" i="1"/>
  <c r="C125" i="1"/>
  <c r="B125" i="1"/>
  <c r="A126" i="1"/>
  <c r="E126" i="1"/>
  <c r="F126" i="1"/>
  <c r="D126" i="1"/>
  <c r="C126" i="1"/>
  <c r="B126" i="1"/>
  <c r="A127" i="1"/>
  <c r="E127" i="1"/>
  <c r="F127" i="1"/>
  <c r="D127" i="1"/>
  <c r="C127" i="1"/>
  <c r="B127" i="1"/>
  <c r="A128" i="1"/>
  <c r="E128" i="1"/>
  <c r="F128" i="1"/>
  <c r="D128" i="1"/>
  <c r="C128" i="1"/>
  <c r="B128" i="1"/>
  <c r="A129" i="1"/>
  <c r="E129" i="1"/>
  <c r="F129" i="1"/>
  <c r="D129" i="1"/>
  <c r="C129" i="1"/>
  <c r="B129" i="1"/>
  <c r="A130" i="1"/>
  <c r="E130" i="1"/>
  <c r="F130" i="1"/>
  <c r="D130" i="1"/>
  <c r="C130" i="1"/>
  <c r="B130" i="1"/>
  <c r="A131" i="1"/>
  <c r="E131" i="1"/>
  <c r="F131" i="1"/>
  <c r="D131" i="1"/>
  <c r="C131" i="1"/>
  <c r="B131" i="1"/>
  <c r="A132" i="1"/>
  <c r="E132" i="1"/>
  <c r="F132" i="1"/>
  <c r="D132" i="1"/>
  <c r="C132" i="1"/>
  <c r="B132" i="1"/>
  <c r="A133" i="1"/>
  <c r="E133" i="1"/>
  <c r="F133" i="1"/>
  <c r="D133" i="1"/>
  <c r="C133" i="1"/>
  <c r="B133" i="1"/>
  <c r="A134" i="1"/>
  <c r="E134" i="1"/>
  <c r="F134" i="1"/>
  <c r="D134" i="1"/>
  <c r="C134" i="1"/>
  <c r="B134" i="1"/>
  <c r="A135" i="1"/>
  <c r="E135" i="1"/>
  <c r="F135" i="1"/>
  <c r="D135" i="1"/>
  <c r="C135" i="1"/>
  <c r="B135" i="1"/>
  <c r="A136" i="1"/>
  <c r="E136" i="1"/>
  <c r="F136" i="1"/>
  <c r="D136" i="1"/>
  <c r="C136" i="1"/>
  <c r="B136" i="1"/>
  <c r="A137" i="1"/>
  <c r="E137" i="1"/>
  <c r="F137" i="1"/>
  <c r="D137" i="1"/>
  <c r="C137" i="1"/>
  <c r="B137" i="1"/>
  <c r="A138" i="1"/>
  <c r="E138" i="1"/>
  <c r="F138" i="1"/>
  <c r="D138" i="1"/>
  <c r="C138" i="1"/>
  <c r="B138" i="1"/>
  <c r="A139" i="1"/>
  <c r="E139" i="1"/>
  <c r="F139" i="1"/>
  <c r="D139" i="1"/>
  <c r="C139" i="1"/>
  <c r="B139" i="1"/>
  <c r="A140" i="1"/>
  <c r="E140" i="1"/>
  <c r="F140" i="1"/>
  <c r="D140" i="1"/>
  <c r="C140" i="1"/>
  <c r="B140" i="1"/>
  <c r="A141" i="1"/>
  <c r="E141" i="1"/>
  <c r="F141" i="1"/>
  <c r="D141" i="1"/>
  <c r="C141" i="1"/>
  <c r="B141" i="1"/>
  <c r="A142" i="1"/>
  <c r="E142" i="1"/>
  <c r="F142" i="1"/>
  <c r="D142" i="1"/>
  <c r="C142" i="1"/>
  <c r="B142" i="1"/>
  <c r="A143" i="1"/>
  <c r="E143" i="1"/>
  <c r="F143" i="1"/>
  <c r="D143" i="1"/>
  <c r="C143" i="1"/>
  <c r="B143" i="1"/>
  <c r="A144" i="1"/>
  <c r="E144" i="1"/>
  <c r="F144" i="1"/>
  <c r="D144" i="1"/>
  <c r="C144" i="1"/>
  <c r="B144" i="1"/>
  <c r="A145" i="1"/>
  <c r="E145" i="1"/>
  <c r="F145" i="1"/>
  <c r="D145" i="1"/>
  <c r="C145" i="1"/>
  <c r="B145" i="1"/>
  <c r="A146" i="1"/>
  <c r="E146" i="1"/>
  <c r="F146" i="1"/>
  <c r="D146" i="1"/>
  <c r="C146" i="1"/>
  <c r="B146" i="1"/>
  <c r="A147" i="1"/>
  <c r="E147" i="1"/>
  <c r="F147" i="1"/>
  <c r="D147" i="1"/>
  <c r="C147" i="1"/>
  <c r="B147" i="1"/>
  <c r="A148" i="1"/>
  <c r="E148" i="1"/>
  <c r="F148" i="1"/>
  <c r="D148" i="1"/>
  <c r="C148" i="1"/>
  <c r="B148" i="1"/>
  <c r="A149" i="1"/>
  <c r="E149" i="1"/>
  <c r="F149" i="1"/>
  <c r="D149" i="1"/>
  <c r="C149" i="1"/>
  <c r="B149" i="1"/>
  <c r="A150" i="1"/>
  <c r="E150" i="1"/>
  <c r="F150" i="1"/>
  <c r="D150" i="1"/>
  <c r="C150" i="1"/>
  <c r="B150" i="1"/>
  <c r="A151" i="1"/>
  <c r="E151" i="1"/>
  <c r="F151" i="1"/>
  <c r="D151" i="1"/>
  <c r="C151" i="1"/>
  <c r="B151" i="1"/>
  <c r="A152" i="1"/>
  <c r="E152" i="1"/>
  <c r="F152" i="1"/>
  <c r="D152" i="1"/>
  <c r="C152" i="1"/>
  <c r="B152" i="1"/>
  <c r="A153" i="1"/>
  <c r="E153" i="1"/>
  <c r="F153" i="1"/>
  <c r="D153" i="1"/>
  <c r="C153" i="1"/>
  <c r="B153" i="1"/>
  <c r="A154" i="1"/>
  <c r="E154" i="1"/>
  <c r="F154" i="1"/>
  <c r="D154" i="1"/>
  <c r="C154" i="1"/>
  <c r="B154" i="1"/>
  <c r="A155" i="1"/>
  <c r="E155" i="1"/>
  <c r="F155" i="1"/>
  <c r="D155" i="1"/>
  <c r="C155" i="1"/>
  <c r="B155" i="1"/>
</calcChain>
</file>

<file path=xl/sharedStrings.xml><?xml version="1.0" encoding="utf-8"?>
<sst xmlns="http://schemas.openxmlformats.org/spreadsheetml/2006/main" count="6" uniqueCount="6">
  <si>
    <t>開設者氏名</t>
  </si>
  <si>
    <t>許可番号</t>
    <phoneticPr fontId="18"/>
  </si>
  <si>
    <t>営業所の名称</t>
    <rPh sb="0" eb="3">
      <t>エイギョウショ</t>
    </rPh>
    <rPh sb="4" eb="6">
      <t>メイショウ</t>
    </rPh>
    <phoneticPr fontId="18"/>
  </si>
  <si>
    <t>営業所の所在地</t>
    <rPh sb="0" eb="3">
      <t>エイギョウショ</t>
    </rPh>
    <phoneticPr fontId="18"/>
  </si>
  <si>
    <t>有効期間（終）</t>
    <rPh sb="2" eb="4">
      <t>キカン</t>
    </rPh>
    <rPh sb="5" eb="6">
      <t>オ</t>
    </rPh>
    <phoneticPr fontId="18"/>
  </si>
  <si>
    <t>有効期間（始）</t>
    <rPh sb="2" eb="4">
      <t>キカン</t>
    </rPh>
    <rPh sb="5" eb="6">
      <t>ハジ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</si>
</sst>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workbookViewId="0">
      <selection activeCell="I11" sqref="I11"/>
    </sheetView>
  </sheetViews>
  <sheetFormatPr defaultRowHeight="13" x14ac:dyDescent="0.2"/>
  <cols>
    <col min="1" max="1" width="11.54296875" bestFit="1" customWidth="1"/>
    <col min="2" max="2" width="32.08984375" bestFit="1" customWidth="1"/>
    <col min="3" max="3" width="60.453125" bestFit="1" customWidth="1"/>
    <col min="4" max="4" width="47.1796875" bestFit="1" customWidth="1"/>
    <col min="5" max="6" width="13.6328125" bestFit="1" customWidth="1"/>
  </cols>
  <sheetData>
    <row r="1" spans="1:6" x14ac:dyDescent="0.2">
      <c r="A1" t="s">
        <v>1</v>
      </c>
      <c r="B1" t="s">
        <v>0</v>
      </c>
      <c r="C1" t="s">
        <v>2</v>
      </c>
      <c r="D1" t="s">
        <v>3</v>
      </c>
      <c r="E1" t="s">
        <v>5</v>
      </c>
      <c r="F1" t="s">
        <v>4</v>
      </c>
    </row>
    <row r="2" spans="1:6" x14ac:dyDescent="0.2">
      <c r="A2" t="str">
        <f>"第1308号"</f>
        <v>第1308号</v>
      </c>
      <c r="B2" t="str">
        <f>"株式会社アトル"</f>
        <v>株式会社アトル</v>
      </c>
      <c r="C2" t="str">
        <f>"株式会社アトル　大津支店"</f>
        <v>株式会社アトル　大津支店</v>
      </c>
      <c r="D2" t="str">
        <f>"菊池郡大津町大字森字居島７８９－２"</f>
        <v>菊池郡大津町大字森字居島７８９－２</v>
      </c>
      <c r="E2" t="str">
        <f>"R05.01.01"</f>
        <v>R05.01.01</v>
      </c>
      <c r="F2" t="str">
        <f>"R10.12.31"</f>
        <v>R10.12.31</v>
      </c>
    </row>
    <row r="3" spans="1:6" x14ac:dyDescent="0.2">
      <c r="A3" t="str">
        <f>"第1551号"</f>
        <v>第1551号</v>
      </c>
      <c r="B3" t="str">
        <f>"日本エア・リキード合同会社"</f>
        <v>日本エア・リキード合同会社</v>
      </c>
      <c r="C3" t="str">
        <f>"日本エア・リキード合同会社九州支社（熊本）"</f>
        <v>日本エア・リキード合同会社九州支社（熊本）</v>
      </c>
      <c r="D3" t="str">
        <f>"合志市福原１－３３"</f>
        <v>合志市福原１－３３</v>
      </c>
      <c r="E3" t="str">
        <f>"R04.05.10"</f>
        <v>R04.05.10</v>
      </c>
      <c r="F3" t="str">
        <f>"R10.05.09"</f>
        <v>R10.05.09</v>
      </c>
    </row>
    <row r="4" spans="1:6" x14ac:dyDescent="0.2">
      <c r="A4" t="str">
        <f>"第1553号"</f>
        <v>第1553号</v>
      </c>
      <c r="B4" t="str">
        <f>"大陽日酸株式会社"</f>
        <v>大陽日酸株式会社</v>
      </c>
      <c r="C4" t="str">
        <f>"大陽日酸株式会社　九州支社　熊本支店"</f>
        <v>大陽日酸株式会社　九州支社　熊本支店</v>
      </c>
      <c r="D4" t="str">
        <f>"菊池郡菊陽町原水５６２２－２"</f>
        <v>菊池郡菊陽町原水５６２２－２</v>
      </c>
      <c r="E4" t="str">
        <f>"R05.01.10"</f>
        <v>R05.01.10</v>
      </c>
      <c r="F4" t="str">
        <f>"R10.12.31"</f>
        <v>R10.12.31</v>
      </c>
    </row>
    <row r="5" spans="1:6" x14ac:dyDescent="0.2">
      <c r="A5" t="str">
        <f>"第1548号"</f>
        <v>第1548号</v>
      </c>
      <c r="B5" t="str">
        <f>"MeijiSeikaファルマ株式会社"</f>
        <v>MeijiSeikaファルマ株式会社</v>
      </c>
      <c r="C5" t="str">
        <f>"MeijiSeikaファルマ株式会社 菊池配送センター"</f>
        <v>MeijiSeikaファルマ株式会社 菊池配送センター</v>
      </c>
      <c r="D5" t="str">
        <f>"菊池郡大津町大字杉水７０５番地"</f>
        <v>菊池郡大津町大字杉水７０５番地</v>
      </c>
      <c r="E5" t="str">
        <f>"R03.12.13"</f>
        <v>R03.12.13</v>
      </c>
      <c r="F5" t="str">
        <f>"R09.12.12"</f>
        <v>R09.12.12</v>
      </c>
    </row>
    <row r="6" spans="1:6" x14ac:dyDescent="0.2">
      <c r="A6" t="str">
        <f>"第1200号"</f>
        <v>第1200号</v>
      </c>
      <c r="B6" t="str">
        <f>"株式会社アステム"</f>
        <v>株式会社アステム</v>
      </c>
      <c r="C6" t="str">
        <f>"株式会社アステム熊本東支店"</f>
        <v>株式会社アステム熊本東支店</v>
      </c>
      <c r="D6" t="str">
        <f>"菊池郡菊陽町大字久保田２８２２－６"</f>
        <v>菊池郡菊陽町大字久保田２８２２－６</v>
      </c>
      <c r="E6" t="str">
        <f>"R04.01.01"</f>
        <v>R04.01.01</v>
      </c>
      <c r="F6" t="str">
        <f>"R09.12.31"</f>
        <v>R09.12.31</v>
      </c>
    </row>
    <row r="7" spans="1:6" x14ac:dyDescent="0.2">
      <c r="A7" t="str">
        <f>"第1518号"</f>
        <v>第1518号</v>
      </c>
      <c r="B7" t="str">
        <f>"ＫＭバイオロジクス株式会社"</f>
        <v>ＫＭバイオロジクス株式会社</v>
      </c>
      <c r="C7" t="str">
        <f>"ＫＭバイオロジクス株式会社　配送センター"</f>
        <v>ＫＭバイオロジクス株式会社　配送センター</v>
      </c>
      <c r="D7" t="str">
        <f>"菊池郡大津町大字杉水７０５番地１"</f>
        <v>菊池郡大津町大字杉水７０５番地１</v>
      </c>
      <c r="E7" t="str">
        <f>"R06.07.01"</f>
        <v>R06.07.01</v>
      </c>
      <c r="F7" t="str">
        <f>"R12.06.30"</f>
        <v>R12.06.30</v>
      </c>
    </row>
    <row r="8" spans="1:6" x14ac:dyDescent="0.2">
      <c r="A8" t="str">
        <f>"第1556号"</f>
        <v>第1556号</v>
      </c>
      <c r="B8" t="str">
        <f>"株式会社巴商会"</f>
        <v>株式会社巴商会</v>
      </c>
      <c r="C8" t="str">
        <f>"株式会社巴商会　熊本営業所"</f>
        <v>株式会社巴商会　熊本営業所</v>
      </c>
      <c r="D8" t="str">
        <f>"菊池郡大津町大字杉水字水口３３１８－１"</f>
        <v>菊池郡大津町大字杉水字水口３３１８－１</v>
      </c>
      <c r="E8" t="str">
        <f>"R05.05.19"</f>
        <v>R05.05.19</v>
      </c>
      <c r="F8" t="str">
        <f>"R11.05.18"</f>
        <v>R11.05.18</v>
      </c>
    </row>
    <row r="9" spans="1:6" x14ac:dyDescent="0.2">
      <c r="A9" t="str">
        <f>"第1515号"</f>
        <v>第1515号</v>
      </c>
      <c r="B9" t="str">
        <f>"九州東邦株式会社"</f>
        <v>九州東邦株式会社</v>
      </c>
      <c r="C9" t="str">
        <f>"九州東邦株式会社　熊本北営業所"</f>
        <v>九州東邦株式会社　熊本北営業所</v>
      </c>
      <c r="D9" t="str">
        <f>"合志市竹迫２２２０番地"</f>
        <v>合志市竹迫２２２０番地</v>
      </c>
      <c r="E9" t="str">
        <f>"R05.01.01"</f>
        <v>R05.01.01</v>
      </c>
      <c r="F9" t="str">
        <f>"R10.12.31"</f>
        <v>R10.12.31</v>
      </c>
    </row>
    <row r="10" spans="1:6" x14ac:dyDescent="0.2">
      <c r="A10" t="str">
        <f>"第1392号"</f>
        <v>第1392号</v>
      </c>
      <c r="B10" t="str">
        <f>"富田薬品株式会社"</f>
        <v>富田薬品株式会社</v>
      </c>
      <c r="C10" t="str">
        <f>"富田薬品株式会社　大津営業所"</f>
        <v>富田薬品株式会社　大津営業所</v>
      </c>
      <c r="D10" t="str">
        <f>"菊池郡大津町室１５１４番地"</f>
        <v>菊池郡大津町室１５１４番地</v>
      </c>
      <c r="E10" t="str">
        <f>"R02.01.01"</f>
        <v>R02.01.01</v>
      </c>
      <c r="F10" t="str">
        <f>"R07.12.31"</f>
        <v>R07.12.31</v>
      </c>
    </row>
    <row r="11" spans="1:6" x14ac:dyDescent="0.2">
      <c r="A11" t="str">
        <f>"第1481号"</f>
        <v>第1481号</v>
      </c>
      <c r="B11" t="str">
        <f>"日本ガスケミ株式会社"</f>
        <v>日本ガスケミ株式会社</v>
      </c>
      <c r="C11" t="str">
        <f>"日本ガスケミ株式会社"</f>
        <v>日本ガスケミ株式会社</v>
      </c>
      <c r="D11" t="str">
        <f>"阿蘇郡西原村布田９９５－１"</f>
        <v>阿蘇郡西原村布田９９５－１</v>
      </c>
      <c r="E11" t="str">
        <f>"R06.05.31"</f>
        <v>R06.05.31</v>
      </c>
      <c r="F11" t="str">
        <f>"R12.05.30"</f>
        <v>R12.05.30</v>
      </c>
    </row>
    <row r="12" spans="1:6" x14ac:dyDescent="0.2">
      <c r="A12" t="str">
        <f>"第1567号"</f>
        <v>第1567号</v>
      </c>
      <c r="B12" t="str">
        <f>"アルフレッサヘルスケア株式会社"</f>
        <v>アルフレッサヘルスケア株式会社</v>
      </c>
      <c r="C12" t="str">
        <f>"アルフレッサヘルスケア株式会社　九州物流センター"</f>
        <v>アルフレッサヘルスケア株式会社　九州物流センター</v>
      </c>
      <c r="D12" t="str">
        <f>"上益城郡御船町大字木倉４０７番の１"</f>
        <v>上益城郡御船町大字木倉４０７番の１</v>
      </c>
      <c r="E12" t="str">
        <f>"R07.02.07"</f>
        <v>R07.02.07</v>
      </c>
      <c r="F12" t="str">
        <f>"R13.02.06"</f>
        <v>R13.02.06</v>
      </c>
    </row>
    <row r="13" spans="1:6" x14ac:dyDescent="0.2">
      <c r="A13" t="str">
        <f>"第1544号"</f>
        <v>第1544号</v>
      </c>
      <c r="B13" t="str">
        <f>"株式会社サンドラッグ"</f>
        <v>株式会社サンドラッグ</v>
      </c>
      <c r="C13" t="str">
        <f>"サンドラッグ熊本物流センター"</f>
        <v>サンドラッグ熊本物流センター</v>
      </c>
      <c r="D13" t="str">
        <f>"上益城郡御船町滝川大字大塚１３３１"</f>
        <v>上益城郡御船町滝川大字大塚１３３１</v>
      </c>
      <c r="E13" t="str">
        <f>"R03.04.30"</f>
        <v>R03.04.30</v>
      </c>
      <c r="F13" t="str">
        <f>"R09.04.29"</f>
        <v>R09.04.29</v>
      </c>
    </row>
    <row r="14" spans="1:6" x14ac:dyDescent="0.2">
      <c r="A14" t="str">
        <f>"第1455号"</f>
        <v>第1455号</v>
      </c>
      <c r="B14" t="str">
        <f>"内村酸素株式会社"</f>
        <v>内村酸素株式会社</v>
      </c>
      <c r="C14" t="str">
        <f>"内村酸素株式会社　嘉島事業所"</f>
        <v>内村酸素株式会社　嘉島事業所</v>
      </c>
      <c r="D14" t="str">
        <f>"上益城郡嘉島町大字上仲間２２７－９"</f>
        <v>上益城郡嘉島町大字上仲間２２７－９</v>
      </c>
      <c r="E14" t="str">
        <f>"R06.01.01"</f>
        <v>R06.01.01</v>
      </c>
      <c r="F14" t="str">
        <f>"R11.12.31"</f>
        <v>R11.12.31</v>
      </c>
    </row>
    <row r="15" spans="1:6" x14ac:dyDescent="0.2">
      <c r="A15" t="str">
        <f>"第1555号"</f>
        <v>第1555号</v>
      </c>
      <c r="B15" t="str">
        <f>"ピップ物流株式会社"</f>
        <v>ピップ物流株式会社</v>
      </c>
      <c r="C15" t="str">
        <f>"ピップ物流株式会社　熊本センター"</f>
        <v>ピップ物流株式会社　熊本センター</v>
      </c>
      <c r="D15" t="str">
        <f>"上益城郡益城町大字古閑字峠１０３番１"</f>
        <v>上益城郡益城町大字古閑字峠１０３番１</v>
      </c>
      <c r="E15" t="str">
        <f>"R05.05.11"</f>
        <v>R05.05.11</v>
      </c>
      <c r="F15" t="str">
        <f>"R11.05.10"</f>
        <v>R11.05.10</v>
      </c>
    </row>
    <row r="16" spans="1:6" x14ac:dyDescent="0.2">
      <c r="A16" t="str">
        <f>"第1435号"</f>
        <v>第1435号</v>
      </c>
      <c r="B16" t="str">
        <f>"ウエルディングガス九州株式会社"</f>
        <v>ウエルディングガス九州株式会社</v>
      </c>
      <c r="C16" t="str">
        <f>"ウエルディングガス九州株式会社　熊本営業所"</f>
        <v>ウエルディングガス九州株式会社　熊本営業所</v>
      </c>
      <c r="D16" t="str">
        <f>"上益城郡嘉島町上仲間３９４－１"</f>
        <v>上益城郡嘉島町上仲間３９４－１</v>
      </c>
      <c r="E16" t="str">
        <f>"R05.04.01"</f>
        <v>R05.04.01</v>
      </c>
      <c r="F16" t="str">
        <f>"R11.03.31"</f>
        <v>R11.03.31</v>
      </c>
    </row>
    <row r="17" spans="1:6" x14ac:dyDescent="0.2">
      <c r="A17" t="str">
        <f>"第1143号"</f>
        <v>第1143号</v>
      </c>
      <c r="B17" t="str">
        <f>"株式会社新生堂"</f>
        <v>株式会社新生堂</v>
      </c>
      <c r="C17" t="str">
        <f>"株式会社新生堂八代営業所"</f>
        <v>株式会社新生堂八代営業所</v>
      </c>
      <c r="D17" t="str">
        <f>"八代市海士江町２５６２－１"</f>
        <v>八代市海士江町２５６２－１</v>
      </c>
      <c r="E17" t="str">
        <f>"R03.11.28"</f>
        <v>R03.11.28</v>
      </c>
      <c r="F17" t="str">
        <f>"R09.11.27"</f>
        <v>R09.11.27</v>
      </c>
    </row>
    <row r="18" spans="1:6" x14ac:dyDescent="0.2">
      <c r="A18" t="str">
        <f>"第1278号"</f>
        <v>第1278号</v>
      </c>
      <c r="B18" t="str">
        <f>"アイティーアイ株式会社"</f>
        <v>アイティーアイ株式会社</v>
      </c>
      <c r="C18" t="str">
        <f>"アイティーアイ株式会社八代支店"</f>
        <v>アイティーアイ株式会社八代支店</v>
      </c>
      <c r="D18" t="str">
        <f>"八代市田中北町１２番３号"</f>
        <v>八代市田中北町１２番３号</v>
      </c>
      <c r="E18" t="str">
        <f>"R05.01.01"</f>
        <v>R05.01.01</v>
      </c>
      <c r="F18" t="str">
        <f>"R10.12.31"</f>
        <v>R10.12.31</v>
      </c>
    </row>
    <row r="19" spans="1:6" x14ac:dyDescent="0.2">
      <c r="A19" t="str">
        <f>"第1357号"</f>
        <v>第1357号</v>
      </c>
      <c r="B19" t="str">
        <f>"株式会社アトル"</f>
        <v>株式会社アトル</v>
      </c>
      <c r="C19" t="str">
        <f>"株式会社アトル八代支店"</f>
        <v>株式会社アトル八代支店</v>
      </c>
      <c r="D19" t="str">
        <f>"八代市黄金町１０－１"</f>
        <v>八代市黄金町１０－１</v>
      </c>
      <c r="E19" t="str">
        <f>"R04.01.01"</f>
        <v>R04.01.01</v>
      </c>
      <c r="F19" t="str">
        <f>"R09.12.31"</f>
        <v>R09.12.31</v>
      </c>
    </row>
    <row r="20" spans="1:6" x14ac:dyDescent="0.2">
      <c r="A20" t="str">
        <f>"第1378号"</f>
        <v>第1378号</v>
      </c>
      <c r="B20" t="str">
        <f>"株式会社　翔薬"</f>
        <v>株式会社　翔薬</v>
      </c>
      <c r="C20" t="str">
        <f>"株式会社　翔薬　八代支店"</f>
        <v>株式会社　翔薬　八代支店</v>
      </c>
      <c r="D20" t="str">
        <f>"八代市田中北町１６号５番地"</f>
        <v>八代市田中北町１６号５番地</v>
      </c>
      <c r="E20" t="str">
        <f>"R06.12.19"</f>
        <v>R06.12.19</v>
      </c>
      <c r="F20" t="str">
        <f>"R12.12.18"</f>
        <v>R12.12.18</v>
      </c>
    </row>
    <row r="21" spans="1:6" x14ac:dyDescent="0.2">
      <c r="A21" t="str">
        <f>"第1449号"</f>
        <v>第1449号</v>
      </c>
      <c r="B21" t="str">
        <f>"福岡酸素株式会社"</f>
        <v>福岡酸素株式会社</v>
      </c>
      <c r="C21" t="str">
        <f>"福岡酸素株式会社八代出張所"</f>
        <v>福岡酸素株式会社八代出張所</v>
      </c>
      <c r="D21" t="str">
        <f>"八代市郡築一番町１番地１号"</f>
        <v>八代市郡築一番町１番地１号</v>
      </c>
      <c r="E21" t="str">
        <f>"R05.12.01"</f>
        <v>R05.12.01</v>
      </c>
      <c r="F21" t="str">
        <f>"R11.11.30"</f>
        <v>R11.11.30</v>
      </c>
    </row>
    <row r="22" spans="1:6" x14ac:dyDescent="0.2">
      <c r="A22" t="str">
        <f>"第1565号"</f>
        <v>第1565号</v>
      </c>
      <c r="B22" t="str">
        <f>"帝人ヘルスケア株式会社"</f>
        <v>帝人ヘルスケア株式会社</v>
      </c>
      <c r="C22" t="str">
        <f>"帝人ヘルスケア株式会社　九州支店　熊本南営業所　八代駐在所"</f>
        <v>帝人ヘルスケア株式会社　九州支店　熊本南営業所　八代駐在所</v>
      </c>
      <c r="D22" t="str">
        <f>"八代市旭中央通２０－１０"</f>
        <v>八代市旭中央通２０－１０</v>
      </c>
      <c r="E22" t="str">
        <f>"R06.10.28"</f>
        <v>R06.10.28</v>
      </c>
      <c r="F22" t="str">
        <f>"R12.10.27"</f>
        <v>R12.10.27</v>
      </c>
    </row>
    <row r="23" spans="1:6" x14ac:dyDescent="0.2">
      <c r="A23" t="str">
        <f>"第1264号"</f>
        <v>第1264号</v>
      </c>
      <c r="B23" t="str">
        <f>"株式会社アステム"</f>
        <v>株式会社アステム</v>
      </c>
      <c r="C23" t="str">
        <f>"株式会社アステム八代支店"</f>
        <v>株式会社アステム八代支店</v>
      </c>
      <c r="D23" t="str">
        <f>"八代市中片町５１０"</f>
        <v>八代市中片町５１０</v>
      </c>
      <c r="E23" t="str">
        <f>"R04.01.01"</f>
        <v>R04.01.01</v>
      </c>
      <c r="F23" t="str">
        <f>"R09.12.31"</f>
        <v>R09.12.31</v>
      </c>
    </row>
    <row r="24" spans="1:6" x14ac:dyDescent="0.2">
      <c r="A24" t="str">
        <f>"第1420号"</f>
        <v>第1420号</v>
      </c>
      <c r="B24" t="str">
        <f>"山下医科器械株式会社"</f>
        <v>山下医科器械株式会社</v>
      </c>
      <c r="C24" t="str">
        <f>"山下医科器械株式会社　八代営業所"</f>
        <v>山下医科器械株式会社　八代営業所</v>
      </c>
      <c r="D24" t="str">
        <f>"八代市宮地町２０８８番地"</f>
        <v>八代市宮地町２０８８番地</v>
      </c>
      <c r="E24" t="str">
        <f>"R04.05.17"</f>
        <v>R04.05.17</v>
      </c>
      <c r="F24" t="str">
        <f>"R10.05.16"</f>
        <v>R10.05.16</v>
      </c>
    </row>
    <row r="25" spans="1:6" x14ac:dyDescent="0.2">
      <c r="A25" t="str">
        <f>"第1444号"</f>
        <v>第1444号</v>
      </c>
      <c r="B25" t="str">
        <f>"富田薬品株式会社"</f>
        <v>富田薬品株式会社</v>
      </c>
      <c r="C25" t="str">
        <f>"富田薬品株式会社　八代物流センター"</f>
        <v>富田薬品株式会社　八代物流センター</v>
      </c>
      <c r="D25" t="str">
        <f>"八代市西片町１４５４"</f>
        <v>八代市西片町１４５４</v>
      </c>
      <c r="E25" t="str">
        <f>"R05.09.21"</f>
        <v>R05.09.21</v>
      </c>
      <c r="F25" t="str">
        <f>"R11.09.20"</f>
        <v>R11.09.20</v>
      </c>
    </row>
    <row r="26" spans="1:6" x14ac:dyDescent="0.2">
      <c r="A26" t="str">
        <f>"第1445号"</f>
        <v>第1445号</v>
      </c>
      <c r="B26" t="str">
        <f>"富田薬品株式会社"</f>
        <v>富田薬品株式会社</v>
      </c>
      <c r="C26" t="str">
        <f>"富田薬品株式会社　八代支店"</f>
        <v>富田薬品株式会社　八代支店</v>
      </c>
      <c r="D26" t="str">
        <f>"八代市西片町１４５４"</f>
        <v>八代市西片町１４５４</v>
      </c>
      <c r="E26" t="str">
        <f>"R05.09.21"</f>
        <v>R05.09.21</v>
      </c>
      <c r="F26" t="str">
        <f>"R11.09.20"</f>
        <v>R11.09.20</v>
      </c>
    </row>
    <row r="27" spans="1:6" x14ac:dyDescent="0.2">
      <c r="A27" t="str">
        <f>"第1541号"</f>
        <v>第1541号</v>
      </c>
      <c r="B27" t="str">
        <f>"九州東邦株式会社"</f>
        <v>九州東邦株式会社</v>
      </c>
      <c r="C27" t="str">
        <f>"九州東邦株式会社　八代人吉営業所"</f>
        <v>九州東邦株式会社　八代人吉営業所</v>
      </c>
      <c r="D27" t="str">
        <f>"八代市古閑中町１２５３－３"</f>
        <v>八代市古閑中町１２５３－３</v>
      </c>
      <c r="E27" t="str">
        <f>"R02.12.30"</f>
        <v>R02.12.30</v>
      </c>
      <c r="F27" t="str">
        <f>"R08.12.29"</f>
        <v>R08.12.29</v>
      </c>
    </row>
    <row r="28" spans="1:6" x14ac:dyDescent="0.2">
      <c r="A28" t="str">
        <f>"第1506号"</f>
        <v>第1506号</v>
      </c>
      <c r="B28" t="str">
        <f>"倉門　芳啓"</f>
        <v>倉門　芳啓</v>
      </c>
      <c r="C28" t="str">
        <f>"メディカル・エイト"</f>
        <v>メディカル・エイト</v>
      </c>
      <c r="D28" t="str">
        <f>"八代市通町４－３９－１０２"</f>
        <v>八代市通町４－３９－１０２</v>
      </c>
      <c r="E28" t="str">
        <f>"R05.01.01"</f>
        <v>R05.01.01</v>
      </c>
      <c r="F28" t="str">
        <f>"R10.12.31"</f>
        <v>R10.12.31</v>
      </c>
    </row>
    <row r="29" spans="1:6" x14ac:dyDescent="0.2">
      <c r="A29" t="str">
        <f>"第1503号"</f>
        <v>第1503号</v>
      </c>
      <c r="B29" t="str">
        <f>"フクダライフテック九州株式会社"</f>
        <v>フクダライフテック九州株式会社</v>
      </c>
      <c r="C29" t="str">
        <f>"フクダライフテック九州株式会社　八代出張所"</f>
        <v>フクダライフテック九州株式会社　八代出張所</v>
      </c>
      <c r="D29" t="str">
        <f>"八代市横手新町１－３"</f>
        <v>八代市横手新町１－３</v>
      </c>
      <c r="E29" t="str">
        <f>"R04.09.21"</f>
        <v>R04.09.21</v>
      </c>
      <c r="F29" t="str">
        <f>"R10.09.20"</f>
        <v>R10.09.20</v>
      </c>
    </row>
    <row r="30" spans="1:6" x14ac:dyDescent="0.2">
      <c r="A30" t="str">
        <f>"第1430号"</f>
        <v>第1430号</v>
      </c>
      <c r="B30" t="str">
        <f>"有限会社八代歯材"</f>
        <v>有限会社八代歯材</v>
      </c>
      <c r="C30" t="str">
        <f>"有限会社　八代歯材"</f>
        <v>有限会社　八代歯材</v>
      </c>
      <c r="D30" t="str">
        <f>"八代市長田町２９０２－１"</f>
        <v>八代市長田町２９０２－１</v>
      </c>
      <c r="E30" t="str">
        <f>"R04.01.01"</f>
        <v>R04.01.01</v>
      </c>
      <c r="F30" t="str">
        <f>"R09.12.31"</f>
        <v>R09.12.31</v>
      </c>
    </row>
    <row r="31" spans="1:6" x14ac:dyDescent="0.2">
      <c r="A31" t="str">
        <f>"第1409号"</f>
        <v>第1409号</v>
      </c>
      <c r="B31" t="str">
        <f>"吉住酸素工業株式会社"</f>
        <v>吉住酸素工業株式会社</v>
      </c>
      <c r="C31" t="str">
        <f>"吉住酸素工業株式会社"</f>
        <v>吉住酸素工業株式会社</v>
      </c>
      <c r="D31" t="str">
        <f>"八代市弥生町１５－１０"</f>
        <v>八代市弥生町１５－１０</v>
      </c>
      <c r="E31" t="str">
        <f>"R04.01.01"</f>
        <v>R04.01.01</v>
      </c>
      <c r="F31" t="str">
        <f>"R09.12.31"</f>
        <v>R09.12.31</v>
      </c>
    </row>
    <row r="32" spans="1:6" x14ac:dyDescent="0.2">
      <c r="A32" t="str">
        <f>"第1448号"</f>
        <v>第1448号</v>
      </c>
      <c r="B32" t="str">
        <f>"クロックス株式会社"</f>
        <v>クロックス株式会社</v>
      </c>
      <c r="C32" t="str">
        <f>"クロックス株式会社"</f>
        <v>クロックス株式会社</v>
      </c>
      <c r="D32" t="str">
        <f>"水俣市百間町一丁目１番２７号"</f>
        <v>水俣市百間町一丁目１番２７号</v>
      </c>
      <c r="E32" t="str">
        <f>"R06.01.01"</f>
        <v>R06.01.01</v>
      </c>
      <c r="F32" t="str">
        <f>"R11.12.31"</f>
        <v>R11.12.31</v>
      </c>
    </row>
    <row r="33" spans="1:6" x14ac:dyDescent="0.2">
      <c r="A33" t="str">
        <f>"第827号"</f>
        <v>第827号</v>
      </c>
      <c r="B33" t="str">
        <f>"株式会社新生堂"</f>
        <v>株式会社新生堂</v>
      </c>
      <c r="C33" t="str">
        <f>"株式会社新生堂人吉営業所"</f>
        <v>株式会社新生堂人吉営業所</v>
      </c>
      <c r="D33" t="str">
        <f>"人吉市西間下町鳶岩１１１８－１"</f>
        <v>人吉市西間下町鳶岩１１１８－１</v>
      </c>
      <c r="E33" t="str">
        <f>"R04.01.01"</f>
        <v>R04.01.01</v>
      </c>
      <c r="F33" t="str">
        <f>"R09.12.31"</f>
        <v>R09.12.31</v>
      </c>
    </row>
    <row r="34" spans="1:6" x14ac:dyDescent="0.2">
      <c r="A34" t="str">
        <f>"第1486号"</f>
        <v>第1486号</v>
      </c>
      <c r="B34" t="str">
        <f>"富田薬品株式会社"</f>
        <v>富田薬品株式会社</v>
      </c>
      <c r="C34" t="str">
        <f>"富田薬品株式会社　人吉営業所"</f>
        <v>富田薬品株式会社　人吉営業所</v>
      </c>
      <c r="D34" t="str">
        <f>"人吉市相良町２番５"</f>
        <v>人吉市相良町２番５</v>
      </c>
      <c r="E34" t="str">
        <f>"R07.01.01"</f>
        <v>R07.01.01</v>
      </c>
      <c r="F34" t="str">
        <f>"R12.12.31"</f>
        <v>R12.12.31</v>
      </c>
    </row>
    <row r="35" spans="1:6" x14ac:dyDescent="0.2">
      <c r="A35" t="str">
        <f>"第1168号"</f>
        <v>第1168号</v>
      </c>
      <c r="B35" t="str">
        <f>"株式会社アステム"</f>
        <v>株式会社アステム</v>
      </c>
      <c r="C35" t="str">
        <f>"株式会社アステム　八代支店　人吉営業課"</f>
        <v>株式会社アステム　八代支店　人吉営業課</v>
      </c>
      <c r="D35" t="str">
        <f>"人吉市下薩摩瀬町西町８４８"</f>
        <v>人吉市下薩摩瀬町西町８４８</v>
      </c>
      <c r="E35" t="str">
        <f>"R04.01.01"</f>
        <v>R04.01.01</v>
      </c>
      <c r="F35" t="str">
        <f>"R09.12.31"</f>
        <v>R09.12.31</v>
      </c>
    </row>
    <row r="36" spans="1:6" x14ac:dyDescent="0.2">
      <c r="A36" t="str">
        <f>"第1438号"</f>
        <v>第1438号</v>
      </c>
      <c r="B36" t="str">
        <f>"有限会社　ミズノ"</f>
        <v>有限会社　ミズノ</v>
      </c>
      <c r="C36" t="str">
        <f>"有限会社　ミズノ"</f>
        <v>有限会社　ミズノ</v>
      </c>
      <c r="D36" t="str">
        <f>"人吉市上林町１４１５－１"</f>
        <v>人吉市上林町１４１５－１</v>
      </c>
      <c r="E36" t="str">
        <f>"R05.01.01"</f>
        <v>R05.01.01</v>
      </c>
      <c r="F36" t="str">
        <f>"R10.12.31"</f>
        <v>R10.12.31</v>
      </c>
    </row>
    <row r="37" spans="1:6" x14ac:dyDescent="0.2">
      <c r="A37" t="str">
        <f>"第1436号"</f>
        <v>第1436号</v>
      </c>
      <c r="B37" t="str">
        <f>"東邦薬品株式会社"</f>
        <v>東邦薬品株式会社</v>
      </c>
      <c r="C37" t="str">
        <f>"東邦薬品株式会社ＴＢＣ九州"</f>
        <v>東邦薬品株式会社ＴＢＣ九州</v>
      </c>
      <c r="D37" t="str">
        <f>"荒尾市水野１６８４番１３"</f>
        <v>荒尾市水野１６８４番１３</v>
      </c>
      <c r="E37" t="str">
        <f>"R05.04.01"</f>
        <v>R05.04.01</v>
      </c>
      <c r="F37" t="str">
        <f>"R10.12.31"</f>
        <v>R10.12.31</v>
      </c>
    </row>
    <row r="38" spans="1:6" x14ac:dyDescent="0.2">
      <c r="A38" t="str">
        <f>"第1309号"</f>
        <v>第1309号</v>
      </c>
      <c r="B38" t="str">
        <f>"株式会社アトル"</f>
        <v>株式会社アトル</v>
      </c>
      <c r="C38" t="str">
        <f>"株式会社アトル玉名支店"</f>
        <v>株式会社アトル玉名支店</v>
      </c>
      <c r="D38" t="str">
        <f>"玉名市岱明町野口６２９－１"</f>
        <v>玉名市岱明町野口６２９－１</v>
      </c>
      <c r="E38" t="str">
        <f>"R05.01.01"</f>
        <v>R05.01.01</v>
      </c>
      <c r="F38" t="str">
        <f>"R10.12.31"</f>
        <v>R10.12.31</v>
      </c>
    </row>
    <row r="39" spans="1:6" x14ac:dyDescent="0.2">
      <c r="A39" t="str">
        <f>"第1505号"</f>
        <v>第1505号</v>
      </c>
      <c r="B39" t="str">
        <f>"九州東邦株式会社"</f>
        <v>九州東邦株式会社</v>
      </c>
      <c r="C39" t="str">
        <f>"九州東邦株式会社　有明営業所"</f>
        <v>九州東邦株式会社　有明営業所</v>
      </c>
      <c r="D39" t="str">
        <f>"荒尾市水野１６８４番１３"</f>
        <v>荒尾市水野１６８４番１３</v>
      </c>
      <c r="E39" t="str">
        <f>"R05.01.04"</f>
        <v>R05.01.04</v>
      </c>
      <c r="F39" t="str">
        <f>"R11.01.03"</f>
        <v>R11.01.03</v>
      </c>
    </row>
    <row r="40" spans="1:6" x14ac:dyDescent="0.2">
      <c r="A40" t="str">
        <f>"第1512号"</f>
        <v>第1512号</v>
      </c>
      <c r="B40" t="str">
        <f>"株式会社田尻３００年製薬"</f>
        <v>株式会社田尻３００年製薬</v>
      </c>
      <c r="C40" t="str">
        <f>"株式会社田尻３００年製薬"</f>
        <v>株式会社田尻３００年製薬</v>
      </c>
      <c r="D40" t="str">
        <f>"玉名市岱明町開田３２９番地１"</f>
        <v>玉名市岱明町開田３２９番地１</v>
      </c>
      <c r="E40" t="str">
        <f>"R05.06.01"</f>
        <v>R05.06.01</v>
      </c>
      <c r="F40" t="str">
        <f>"R11.05.31"</f>
        <v>R11.05.31</v>
      </c>
    </row>
    <row r="41" spans="1:6" x14ac:dyDescent="0.2">
      <c r="A41" t="str">
        <f>"第868号"</f>
        <v>第868号</v>
      </c>
      <c r="B41" t="str">
        <f>"株式会社新生堂"</f>
        <v>株式会社新生堂</v>
      </c>
      <c r="C41" t="str">
        <f>"株式会社新生堂荒尾営業所"</f>
        <v>株式会社新生堂荒尾営業所</v>
      </c>
      <c r="D41" t="str">
        <f>"荒尾市金山字粢田１１７８－５５"</f>
        <v>荒尾市金山字粢田１１７８－５５</v>
      </c>
      <c r="E41" t="str">
        <f>"R06.01.01"</f>
        <v>R06.01.01</v>
      </c>
      <c r="F41" t="str">
        <f>"R11.12.31"</f>
        <v>R11.12.31</v>
      </c>
    </row>
    <row r="42" spans="1:6" x14ac:dyDescent="0.2">
      <c r="A42" t="str">
        <f>"第1311号"</f>
        <v>第1311号</v>
      </c>
      <c r="B42" t="str">
        <f>"株式会社アステム"</f>
        <v>株式会社アステム</v>
      </c>
      <c r="C42" t="str">
        <f>"株式会社アステム有明支店"</f>
        <v>株式会社アステム有明支店</v>
      </c>
      <c r="D42" t="str">
        <f>"荒尾市原万田７０５"</f>
        <v>荒尾市原万田７０５</v>
      </c>
      <c r="E42" t="str">
        <f>"R05.01.01"</f>
        <v>R05.01.01</v>
      </c>
      <c r="F42" t="str">
        <f>"R10.12.31"</f>
        <v>R10.12.31</v>
      </c>
    </row>
    <row r="43" spans="1:6" x14ac:dyDescent="0.2">
      <c r="A43" t="str">
        <f>"第1466号"</f>
        <v>第1466号</v>
      </c>
      <c r="B43" t="str">
        <f>"内村酸素株式会社"</f>
        <v>内村酸素株式会社</v>
      </c>
      <c r="C43" t="str">
        <f>"内村酸素株式会社有明事業所"</f>
        <v>内村酸素株式会社有明事業所</v>
      </c>
      <c r="D43" t="str">
        <f>"玉名郡長洲町大字清源寺６２０－１"</f>
        <v>玉名郡長洲町大字清源寺６２０－１</v>
      </c>
      <c r="E43" t="str">
        <f>"R06.06.01"</f>
        <v>R06.06.01</v>
      </c>
      <c r="F43" t="str">
        <f>"R12.05.31"</f>
        <v>R12.05.31</v>
      </c>
    </row>
    <row r="44" spans="1:6" x14ac:dyDescent="0.2">
      <c r="A44" t="str">
        <f>"第1483号"</f>
        <v>第1483号</v>
      </c>
      <c r="B44" t="str">
        <f>"株式会社フクヨウ"</f>
        <v>株式会社フクヨウ</v>
      </c>
      <c r="C44" t="str">
        <f>"株式会社フクヨウ　熊本営業所"</f>
        <v>株式会社フクヨウ　熊本営業所</v>
      </c>
      <c r="D44" t="str">
        <f>"玉名郡和水町瀬川３５７－１"</f>
        <v>玉名郡和水町瀬川３５７－１</v>
      </c>
      <c r="E44" t="str">
        <f>"R06.01.01"</f>
        <v>R06.01.01</v>
      </c>
      <c r="F44" t="str">
        <f>"R11.12.31"</f>
        <v>R11.12.31</v>
      </c>
    </row>
    <row r="45" spans="1:6" x14ac:dyDescent="0.2">
      <c r="A45" t="str">
        <f>"第1498号"</f>
        <v>第1498号</v>
      </c>
      <c r="B45" t="str">
        <f>"西日本イワタニガス株式会社"</f>
        <v>西日本イワタニガス株式会社</v>
      </c>
      <c r="C45" t="str">
        <f>"西日本イワタニガス株式会社九州支社有明営業所"</f>
        <v>西日本イワタニガス株式会社九州支社有明営業所</v>
      </c>
      <c r="D45" t="str">
        <f>"荒尾市高浜１８２５－５"</f>
        <v>荒尾市高浜１８２５－５</v>
      </c>
      <c r="E45" t="str">
        <f>"R04.01.01"</f>
        <v>R04.01.01</v>
      </c>
      <c r="F45" t="str">
        <f>"R09.12.31"</f>
        <v>R09.12.31</v>
      </c>
    </row>
    <row r="46" spans="1:6" x14ac:dyDescent="0.2">
      <c r="A46" t="str">
        <f>"第1501号"</f>
        <v>第1501号</v>
      </c>
      <c r="B46" t="str">
        <f>"富田薬品株式会社"</f>
        <v>富田薬品株式会社</v>
      </c>
      <c r="C46" t="str">
        <f>"富田薬品株式会社　玉名営業所"</f>
        <v>富田薬品株式会社　玉名営業所</v>
      </c>
      <c r="D46" t="str">
        <f>"玉名市山田１７５０－1"</f>
        <v>玉名市山田１７５０－1</v>
      </c>
      <c r="E46" t="str">
        <f>"R04.07.30"</f>
        <v>R04.07.30</v>
      </c>
      <c r="F46" t="str">
        <f>"R10.07.29"</f>
        <v>R10.07.29</v>
      </c>
    </row>
    <row r="47" spans="1:6" x14ac:dyDescent="0.2">
      <c r="A47" t="str">
        <f>"第1331号"</f>
        <v>第1331号</v>
      </c>
      <c r="B47" t="str">
        <f>"有限会社　フロンティア"</f>
        <v>有限会社　フロンティア</v>
      </c>
      <c r="C47" t="str">
        <f>"有限会社　フロンティア"</f>
        <v>有限会社　フロンティア</v>
      </c>
      <c r="D47" t="str">
        <f>"荒尾市大島３０番地１３"</f>
        <v>荒尾市大島３０番地１３</v>
      </c>
      <c r="E47" t="str">
        <f>"R02.01.01"</f>
        <v>R02.01.01</v>
      </c>
      <c r="F47" t="str">
        <f>"R07.12.31"</f>
        <v>R07.12.31</v>
      </c>
    </row>
    <row r="48" spans="1:6" x14ac:dyDescent="0.2">
      <c r="A48" t="str">
        <f>"第1547号"</f>
        <v>第1547号</v>
      </c>
      <c r="B48" t="str">
        <f>"福岡酸素株式会社"</f>
        <v>福岡酸素株式会社</v>
      </c>
      <c r="C48" t="str">
        <f>"福岡酸素株式会社　熊本支社"</f>
        <v>福岡酸素株式会社　熊本支社</v>
      </c>
      <c r="D48" t="str">
        <f>"宇土市境目町２５番地"</f>
        <v>宇土市境目町２５番地</v>
      </c>
      <c r="E48" t="str">
        <f>"R03.10.01"</f>
        <v>R03.10.01</v>
      </c>
      <c r="F48" t="str">
        <f>"R09.09.30"</f>
        <v>R09.09.30</v>
      </c>
    </row>
    <row r="49" spans="1:6" x14ac:dyDescent="0.2">
      <c r="A49" t="str">
        <f>"第1539号"</f>
        <v>第1539号</v>
      </c>
      <c r="B49" t="str">
        <f>"エア・ウォーター西日本株式会社"</f>
        <v>エア・ウォーター西日本株式会社</v>
      </c>
      <c r="C49" t="str">
        <f>"エア・ウォーター西日本株式会社　南九州医療営業所"</f>
        <v>エア・ウォーター西日本株式会社　南九州医療営業所</v>
      </c>
      <c r="D49" t="str">
        <f>"宇土市松山町字東柳町１３２０番地１２号"</f>
        <v>宇土市松山町字東柳町１３２０番地１２号</v>
      </c>
      <c r="E49" t="str">
        <f>"R02.10.01"</f>
        <v>R02.10.01</v>
      </c>
      <c r="F49" t="str">
        <f>"R08.09.30"</f>
        <v>R08.09.30</v>
      </c>
    </row>
    <row r="50" spans="1:6" x14ac:dyDescent="0.2">
      <c r="A50" t="str">
        <f>"第1562号"</f>
        <v>第1562号</v>
      </c>
      <c r="B50" t="str">
        <f>"株式会社九州東和薬品"</f>
        <v>株式会社九州東和薬品</v>
      </c>
      <c r="C50" t="str">
        <f>"株式会社九州東和薬品　熊本南営業所"</f>
        <v>株式会社九州東和薬品　熊本南営業所</v>
      </c>
      <c r="D50" t="str">
        <f>"宇城市小川町川尻２０－２"</f>
        <v>宇城市小川町川尻２０－２</v>
      </c>
      <c r="E50" t="str">
        <f>"R06.07.01"</f>
        <v>R06.07.01</v>
      </c>
      <c r="F50" t="str">
        <f>"R12.06.30"</f>
        <v>R12.06.30</v>
      </c>
    </row>
    <row r="51" spans="1:6" x14ac:dyDescent="0.2">
      <c r="A51" t="str">
        <f>"第1369号"</f>
        <v>第1369号</v>
      </c>
      <c r="B51" t="str">
        <f>"富田薬品株式会社"</f>
        <v>富田薬品株式会社</v>
      </c>
      <c r="C51" t="str">
        <f>"富田薬品株式会社宇土営業所"</f>
        <v>富田薬品株式会社宇土営業所</v>
      </c>
      <c r="D51" t="str">
        <f>"宇土市松原町２３－２０"</f>
        <v>宇土市松原町２３－２０</v>
      </c>
      <c r="E51" t="str">
        <f>"R06.01.01"</f>
        <v>R06.01.01</v>
      </c>
      <c r="F51" t="str">
        <f>"R11.12.31"</f>
        <v>R11.12.31</v>
      </c>
    </row>
    <row r="52" spans="1:6" x14ac:dyDescent="0.2">
      <c r="A52" t="str">
        <f>"第1351号"</f>
        <v>第1351号</v>
      </c>
      <c r="B52" t="str">
        <f>"株式会社アトル"</f>
        <v>株式会社アトル</v>
      </c>
      <c r="C52" t="str">
        <f>"株式会社アトル天草支店"</f>
        <v>株式会社アトル天草支店</v>
      </c>
      <c r="D52" t="str">
        <f>"天草市亀場町亀川１１３－２"</f>
        <v>天草市亀場町亀川１１３－２</v>
      </c>
      <c r="E52" t="str">
        <f>"R04.01.01"</f>
        <v>R04.01.01</v>
      </c>
      <c r="F52" t="str">
        <f>"R09.12.31"</f>
        <v>R09.12.31</v>
      </c>
    </row>
    <row r="53" spans="1:6" x14ac:dyDescent="0.2">
      <c r="A53" t="str">
        <f>"第1208号"</f>
        <v>第1208号</v>
      </c>
      <c r="B53" t="str">
        <f>"株式会社新生堂"</f>
        <v>株式会社新生堂</v>
      </c>
      <c r="C53" t="str">
        <f>"株式会社新生堂　天草営業所"</f>
        <v>株式会社新生堂　天草営業所</v>
      </c>
      <c r="D53" t="str">
        <f>"天草市亀場町大字亀川１３８７‐６"</f>
        <v>天草市亀場町大字亀川１３８７‐６</v>
      </c>
      <c r="E53" t="str">
        <f>"R05.01.01"</f>
        <v>R05.01.01</v>
      </c>
      <c r="F53" t="str">
        <f>"R10.12.31"</f>
        <v>R10.12.31</v>
      </c>
    </row>
    <row r="54" spans="1:6" x14ac:dyDescent="0.2">
      <c r="A54" t="str">
        <f>"第1167号"</f>
        <v>第1167号</v>
      </c>
      <c r="B54" t="str">
        <f>"株式会社アステム"</f>
        <v>株式会社アステム</v>
      </c>
      <c r="C54" t="str">
        <f>"株式会社アステム天草支店"</f>
        <v>株式会社アステム天草支店</v>
      </c>
      <c r="D54" t="str">
        <f>"天草市亀場町食場８２５"</f>
        <v>天草市亀場町食場８２５</v>
      </c>
      <c r="E54" t="str">
        <f>"R04.01.01"</f>
        <v>R04.01.01</v>
      </c>
      <c r="F54" t="str">
        <f>"R09.12.31"</f>
        <v>R09.12.31</v>
      </c>
    </row>
    <row r="55" spans="1:6" x14ac:dyDescent="0.2">
      <c r="A55" t="str">
        <f>"第1459号"</f>
        <v>第1459号</v>
      </c>
      <c r="B55" t="str">
        <f>"株式会社アコー"</f>
        <v>株式会社アコー</v>
      </c>
      <c r="C55" t="str">
        <f>"株式会社アコー"</f>
        <v>株式会社アコー</v>
      </c>
      <c r="D55" t="str">
        <f>"天草市佐伊津町３４１３番地の９"</f>
        <v>天草市佐伊津町３４１３番地の９</v>
      </c>
      <c r="E55" t="str">
        <f>"R06.01.01"</f>
        <v>R06.01.01</v>
      </c>
      <c r="F55" t="str">
        <f>"R11.12.31"</f>
        <v>R11.12.31</v>
      </c>
    </row>
    <row r="56" spans="1:6" x14ac:dyDescent="0.2">
      <c r="A56" t="str">
        <f>"第786号"</f>
        <v>第786号</v>
      </c>
      <c r="B56" t="str">
        <f>"九州東邦株式会社"</f>
        <v>九州東邦株式会社</v>
      </c>
      <c r="C56" t="str">
        <f>"九州東邦株式会社　天草営業所"</f>
        <v>九州東邦株式会社　天草営業所</v>
      </c>
      <c r="D56" t="str">
        <f>"天草市本渡町本戸馬場１９９０－３"</f>
        <v>天草市本渡町本戸馬場１９９０－３</v>
      </c>
      <c r="E56" t="str">
        <f>"R06.01.01"</f>
        <v>R06.01.01</v>
      </c>
      <c r="F56" t="str">
        <f>"R11.12.31"</f>
        <v>R11.12.31</v>
      </c>
    </row>
    <row r="57" spans="1:6" x14ac:dyDescent="0.2">
      <c r="A57" t="str">
        <f>"第1450号"</f>
        <v>第1450号</v>
      </c>
      <c r="B57" t="str">
        <f>"有限会社天草医療高圧ガス"</f>
        <v>有限会社天草医療高圧ガス</v>
      </c>
      <c r="C57" t="str">
        <f>"有限会社天草医療高圧ガス"</f>
        <v>有限会社天草医療高圧ガス</v>
      </c>
      <c r="D57" t="str">
        <f>"天草市亀場町食場９０６番地"</f>
        <v>天草市亀場町食場９０６番地</v>
      </c>
      <c r="E57" t="str">
        <f>"R05.11.22"</f>
        <v>R05.11.22</v>
      </c>
      <c r="F57" t="str">
        <f>"R11.11.21"</f>
        <v>R11.11.21</v>
      </c>
    </row>
    <row r="58" spans="1:6" x14ac:dyDescent="0.2">
      <c r="A58" t="str">
        <f>"第1490号"</f>
        <v>第1490号</v>
      </c>
      <c r="B58" t="str">
        <f>"山下医科器械株式会社"</f>
        <v>山下医科器械株式会社</v>
      </c>
      <c r="C58" t="str">
        <f>"山下医科器械株式会社　天草連絡所"</f>
        <v>山下医科器械株式会社　天草連絡所</v>
      </c>
      <c r="D58" t="str">
        <f>"天草市小松原町１４番４号ボンジュール小松原１０２"</f>
        <v>天草市小松原町１４番４号ボンジュール小松原１０２</v>
      </c>
      <c r="E58" t="str">
        <f>"R02.02.12"</f>
        <v>R02.02.12</v>
      </c>
      <c r="F58" t="str">
        <f>"R08.02.11"</f>
        <v>R08.02.11</v>
      </c>
    </row>
    <row r="59" spans="1:6" x14ac:dyDescent="0.2">
      <c r="A59" t="str">
        <f>"第717号"</f>
        <v>第717号</v>
      </c>
      <c r="B59" t="str">
        <f>"株式会社　宮崎温仙堂商店"</f>
        <v>株式会社　宮崎温仙堂商店</v>
      </c>
      <c r="C59" t="str">
        <f>"株式会社　宮崎温仙堂商店　天草支店"</f>
        <v>株式会社　宮崎温仙堂商店　天草支店</v>
      </c>
      <c r="D59" t="str">
        <f>"天草市大浜町１９番１３号"</f>
        <v>天草市大浜町１９番１３号</v>
      </c>
      <c r="E59" t="str">
        <f>"R04.01.01"</f>
        <v>R04.01.01</v>
      </c>
      <c r="F59" t="str">
        <f>"R09.12.31"</f>
        <v>R09.12.31</v>
      </c>
    </row>
    <row r="60" spans="1:6" x14ac:dyDescent="0.2">
      <c r="A60" t="str">
        <f>"第1432号"</f>
        <v>第1432号</v>
      </c>
      <c r="B60" t="str">
        <f>"合資会社天草酸素"</f>
        <v>合資会社天草酸素</v>
      </c>
      <c r="C60" t="str">
        <f>"合資会社天草酸素"</f>
        <v>合資会社天草酸素</v>
      </c>
      <c r="D60" t="str">
        <f>"天草市亀場町食場９５９番地"</f>
        <v>天草市亀場町食場９５９番地</v>
      </c>
      <c r="E60" t="str">
        <f>"R05.01.01"</f>
        <v>R05.01.01</v>
      </c>
      <c r="F60" t="str">
        <f>"R10.12.31"</f>
        <v>R10.12.31</v>
      </c>
    </row>
    <row r="61" spans="1:6" x14ac:dyDescent="0.2">
      <c r="A61" t="str">
        <f>"第1491号"</f>
        <v>第1491号</v>
      </c>
      <c r="B61" t="str">
        <f>"フクダライフテック九州株式会社"</f>
        <v>フクダライフテック九州株式会社</v>
      </c>
      <c r="C61" t="str">
        <f>"フクダライフテック九州株式会社　天草出張所"</f>
        <v>フクダライフテック九州株式会社　天草出張所</v>
      </c>
      <c r="D61" t="str">
        <f>"天草市東町４０"</f>
        <v>天草市東町４０</v>
      </c>
      <c r="E61" t="str">
        <f>"R03.01.05"</f>
        <v>R03.01.05</v>
      </c>
      <c r="F61" t="str">
        <f>"R09.01.04"</f>
        <v>R09.01.04</v>
      </c>
    </row>
    <row r="62" spans="1:6" x14ac:dyDescent="0.2">
      <c r="A62" t="str">
        <f>"第621号"</f>
        <v>第621号</v>
      </c>
      <c r="B62" t="str">
        <f>"富田薬品株式会社"</f>
        <v>富田薬品株式会社</v>
      </c>
      <c r="C62" t="str">
        <f>"富田薬品株式会社天草営業所"</f>
        <v>富田薬品株式会社天草営業所</v>
      </c>
      <c r="D62" t="str">
        <f>"天草市亀場町亀川６６－５"</f>
        <v>天草市亀場町亀川６６－５</v>
      </c>
      <c r="E62" t="str">
        <f>"R04.01.01"</f>
        <v>R04.01.01</v>
      </c>
      <c r="F62" t="str">
        <f>"R09.12.31"</f>
        <v>R09.12.31</v>
      </c>
    </row>
    <row r="63" spans="1:6" x14ac:dyDescent="0.2">
      <c r="A63" t="str">
        <f>"第1529号"</f>
        <v>第1529号</v>
      </c>
      <c r="B63" t="str">
        <f>"富田薬品株式会社"</f>
        <v>富田薬品株式会社</v>
      </c>
      <c r="C63" t="str">
        <f>"富田薬品株式会社　熊本支店"</f>
        <v>富田薬品株式会社　熊本支店</v>
      </c>
      <c r="D63" t="str">
        <f>"熊本市中央区九品寺六丁目２番３５号"</f>
        <v>熊本市中央区九品寺六丁目２番３５号</v>
      </c>
      <c r="E63" t="str">
        <f>"R07.07.26"</f>
        <v>R07.07.26</v>
      </c>
      <c r="F63" t="str">
        <f>"R13.07.25"</f>
        <v>R13.07.25</v>
      </c>
    </row>
    <row r="64" spans="1:6" x14ac:dyDescent="0.2">
      <c r="A64" t="str">
        <f>"第1568号"</f>
        <v>第1568号</v>
      </c>
      <c r="B64" t="str">
        <f>"南西医療器株式会社"</f>
        <v>南西医療器株式会社</v>
      </c>
      <c r="C64" t="str">
        <f>"南西医療器株式会社　熊本営業所"</f>
        <v>南西医療器株式会社　熊本営業所</v>
      </c>
      <c r="D64" t="str">
        <f>"熊本市中央区神水一丁目２４番６号"</f>
        <v>熊本市中央区神水一丁目２４番６号</v>
      </c>
      <c r="E64" t="str">
        <f>"R07.06.02"</f>
        <v>R07.06.02</v>
      </c>
      <c r="F64" t="str">
        <f>"R13.06.01"</f>
        <v>R13.06.01</v>
      </c>
    </row>
    <row r="65" spans="1:6" x14ac:dyDescent="0.2">
      <c r="A65" t="str">
        <f>"第1531号"</f>
        <v>第1531号</v>
      </c>
      <c r="B65" t="str">
        <f>"リバテープ製薬株式会社"</f>
        <v>リバテープ製薬株式会社</v>
      </c>
      <c r="C65" t="str">
        <f>"リバテープ製薬株式会社"</f>
        <v>リバテープ製薬株式会社</v>
      </c>
      <c r="D65" t="str">
        <f>"熊本市北区植木町岩野４５番地"</f>
        <v>熊本市北区植木町岩野４５番地</v>
      </c>
      <c r="E65" t="str">
        <f>"R01.08.23"</f>
        <v>R01.08.23</v>
      </c>
      <c r="F65" t="str">
        <f>"R07.08.22"</f>
        <v>R07.08.22</v>
      </c>
    </row>
    <row r="66" spans="1:6" x14ac:dyDescent="0.2">
      <c r="A66" t="str">
        <f>"第1393号"</f>
        <v>第1393号</v>
      </c>
      <c r="B66" t="str">
        <f>"大塚製薬株式会社"</f>
        <v>大塚製薬株式会社</v>
      </c>
      <c r="C66" t="str">
        <f>"大塚製薬株式会社　九州第二支店"</f>
        <v>大塚製薬株式会社　九州第二支店</v>
      </c>
      <c r="D66" t="str">
        <f>"熊本市中央区辛島町３番２０号"</f>
        <v>熊本市中央区辛島町３番２０号</v>
      </c>
      <c r="E66" t="str">
        <f>"R02.03.25"</f>
        <v>R02.03.25</v>
      </c>
      <c r="F66" t="str">
        <f>"R08.03.24"</f>
        <v>R08.03.24</v>
      </c>
    </row>
    <row r="67" spans="1:6" x14ac:dyDescent="0.2">
      <c r="A67" t="str">
        <f>"第1509号"</f>
        <v>第1509号</v>
      </c>
      <c r="B67" t="str">
        <f>"日本光電工業株式会社"</f>
        <v>日本光電工業株式会社</v>
      </c>
      <c r="C67" t="str">
        <f>"日本光電工業株式会社"</f>
        <v>日本光電工業株式会社</v>
      </c>
      <c r="D67" t="str">
        <f>"熊本市南区田迎２－１０－１"</f>
        <v>熊本市南区田迎２－１０－１</v>
      </c>
      <c r="E67" t="str">
        <f>"R05.04.01"</f>
        <v>R05.04.01</v>
      </c>
      <c r="F67" t="str">
        <f>"R11.03.31"</f>
        <v>R11.03.31</v>
      </c>
    </row>
    <row r="68" spans="1:6" x14ac:dyDescent="0.2">
      <c r="A68" t="str">
        <f>"第1305号"</f>
        <v>第1305号</v>
      </c>
      <c r="B68" t="str">
        <f>"株式会社アトル"</f>
        <v>株式会社アトル</v>
      </c>
      <c r="C68" t="str">
        <f>"株式会社アトル熊本ビル"</f>
        <v>株式会社アトル熊本ビル</v>
      </c>
      <c r="D68" t="str">
        <f>"熊本市南区流通団地１丁目１０番２号"</f>
        <v>熊本市南区流通団地１丁目１０番２号</v>
      </c>
      <c r="E68" t="str">
        <f>"R05.01.01"</f>
        <v>R05.01.01</v>
      </c>
      <c r="F68" t="str">
        <f>"R10.12.31"</f>
        <v>R10.12.31</v>
      </c>
    </row>
    <row r="69" spans="1:6" x14ac:dyDescent="0.2">
      <c r="A69" t="str">
        <f>"第1526号"</f>
        <v>第1526号</v>
      </c>
      <c r="B69" t="str">
        <f>"興和株式会社"</f>
        <v>興和株式会社</v>
      </c>
      <c r="C69" t="str">
        <f>"興和株式会社"</f>
        <v>興和株式会社</v>
      </c>
      <c r="D69" t="str">
        <f>"熊本市中央区上水前寺２－２３－３０"</f>
        <v>熊本市中央区上水前寺２－２３－３０</v>
      </c>
      <c r="E69" t="str">
        <f>"R07.04.01"</f>
        <v>R07.04.01</v>
      </c>
      <c r="F69" t="str">
        <f>"R13.03.31"</f>
        <v>R13.03.31</v>
      </c>
    </row>
    <row r="70" spans="1:6" x14ac:dyDescent="0.2">
      <c r="A70" t="str">
        <f>"第1527号"</f>
        <v>第1527号</v>
      </c>
      <c r="B70" t="str">
        <f>"株式会社フィリップス・ジャパン"</f>
        <v>株式会社フィリップス・ジャパン</v>
      </c>
      <c r="C70" t="str">
        <f>"株式会社フィリップス・ジャパン　熊本支店"</f>
        <v>株式会社フィリップス・ジャパン　熊本支店</v>
      </c>
      <c r="D70" t="str">
        <f>"熊本市東区新南部４－７－３８"</f>
        <v>熊本市東区新南部４－７－３８</v>
      </c>
      <c r="E70" t="str">
        <f>"R07.04.01"</f>
        <v>R07.04.01</v>
      </c>
      <c r="F70" t="str">
        <f>"R13.03.31"</f>
        <v>R13.03.31</v>
      </c>
    </row>
    <row r="71" spans="1:6" x14ac:dyDescent="0.2">
      <c r="A71" t="str">
        <f>"第1396号"</f>
        <v>第1396号</v>
      </c>
      <c r="B71" t="str">
        <f>"株式会社ツムラ"</f>
        <v>株式会社ツムラ</v>
      </c>
      <c r="C71" t="str">
        <f>"株式会社ツムラ　熊本営業所"</f>
        <v>株式会社ツムラ　熊本営業所</v>
      </c>
      <c r="D71" t="str">
        <f>"熊本市中央区桜町１－２０　９階"</f>
        <v>熊本市中央区桜町１－２０　９階</v>
      </c>
      <c r="E71" t="str">
        <f>"R02.04.30"</f>
        <v>R02.04.30</v>
      </c>
      <c r="F71" t="str">
        <f>"R08.04.29"</f>
        <v>R08.04.29</v>
      </c>
    </row>
    <row r="72" spans="1:6" x14ac:dyDescent="0.2">
      <c r="A72" t="str">
        <f>"第1377号"</f>
        <v>第1377号</v>
      </c>
      <c r="B72" t="str">
        <f>"株式会社翔薬"</f>
        <v>株式会社翔薬</v>
      </c>
      <c r="C72" t="str">
        <f>"株式会社翔薬　熊本営業部"</f>
        <v>株式会社翔薬　熊本営業部</v>
      </c>
      <c r="D72" t="str">
        <f>"熊本市南区田迎二丁目１２番２８号"</f>
        <v>熊本市南区田迎二丁目１２番２８号</v>
      </c>
      <c r="E72" t="str">
        <f>"R06.12.08"</f>
        <v>R06.12.08</v>
      </c>
      <c r="F72" t="str">
        <f>"R12.12.07"</f>
        <v>R12.12.07</v>
      </c>
    </row>
    <row r="73" spans="1:6" x14ac:dyDescent="0.2">
      <c r="A73" t="str">
        <f>"第1536号"</f>
        <v>第1536号</v>
      </c>
      <c r="B73" t="str">
        <f>"株式会社リードヘルスケア"</f>
        <v>株式会社リードヘルスケア</v>
      </c>
      <c r="C73" t="str">
        <f>"株式会社リードヘルスケア熊本営業所"</f>
        <v>株式会社リードヘルスケア熊本営業所</v>
      </c>
      <c r="D73" t="str">
        <f>"熊本市中央区八王寺町３３番５７号"</f>
        <v>熊本市中央区八王寺町３３番５７号</v>
      </c>
      <c r="E73" t="str">
        <f>"R02.04.22"</f>
        <v>R02.04.22</v>
      </c>
      <c r="F73" t="str">
        <f>"R08.04.21"</f>
        <v>R08.04.21</v>
      </c>
    </row>
    <row r="74" spans="1:6" x14ac:dyDescent="0.2">
      <c r="A74" t="str">
        <f>"第1463号"</f>
        <v>第1463号</v>
      </c>
      <c r="B74" t="str">
        <f>"日本化薬株式会社"</f>
        <v>日本化薬株式会社</v>
      </c>
      <c r="C74" t="str">
        <f>"日本化薬株式会社熊本営業所"</f>
        <v>日本化薬株式会社熊本営業所</v>
      </c>
      <c r="D74" t="str">
        <f>"熊本市中央区上水前寺一丁目６番４１号"</f>
        <v>熊本市中央区上水前寺一丁目６番４１号</v>
      </c>
      <c r="E74" t="str">
        <f>"R06.01.01"</f>
        <v>R06.01.01</v>
      </c>
      <c r="F74" t="str">
        <f>"R11.12.31"</f>
        <v>R11.12.31</v>
      </c>
    </row>
    <row r="75" spans="1:6" x14ac:dyDescent="0.2">
      <c r="A75" t="str">
        <f>"第1358号"</f>
        <v>第1358号</v>
      </c>
      <c r="B75" t="str">
        <f>"持田製薬株式会社"</f>
        <v>持田製薬株式会社</v>
      </c>
      <c r="C75" t="str">
        <f>"持田製薬株式会社熊本事業所"</f>
        <v>持田製薬株式会社熊本事業所</v>
      </c>
      <c r="D75" t="str">
        <f>"熊本市中央区水道町９番３１号"</f>
        <v>熊本市中央区水道町９番３１号</v>
      </c>
      <c r="E75" t="str">
        <f>"R04.12.06"</f>
        <v>R04.12.06</v>
      </c>
      <c r="F75" t="str">
        <f>"R10.12.05"</f>
        <v>R10.12.05</v>
      </c>
    </row>
    <row r="76" spans="1:6" x14ac:dyDescent="0.2">
      <c r="A76" t="str">
        <f>"第1001号"</f>
        <v>第1001号</v>
      </c>
      <c r="B76" t="str">
        <f>"日本新薬株式会社"</f>
        <v>日本新薬株式会社</v>
      </c>
      <c r="C76" t="str">
        <f>"日本新薬株式会社熊本営業所"</f>
        <v>日本新薬株式会社熊本営業所</v>
      </c>
      <c r="D76" t="str">
        <f>"熊本市中央区水前寺公園１４番２２号"</f>
        <v>熊本市中央区水前寺公園１４番２２号</v>
      </c>
      <c r="E76" t="str">
        <f>"R06.01.01"</f>
        <v>R06.01.01</v>
      </c>
      <c r="F76" t="str">
        <f>"R11.12.31"</f>
        <v>R11.12.31</v>
      </c>
    </row>
    <row r="77" spans="1:6" x14ac:dyDescent="0.2">
      <c r="A77" t="str">
        <f>"第1460号"</f>
        <v>第1460号</v>
      </c>
      <c r="B77" t="str">
        <f>"株式会社熊本診療協力社"</f>
        <v>株式会社熊本診療協力社</v>
      </c>
      <c r="C77" t="str">
        <f>"株式会社熊本診療協力社"</f>
        <v>株式会社熊本診療協力社</v>
      </c>
      <c r="D77" t="str">
        <f>"熊本市中央区九品寺五丁目９番２号"</f>
        <v>熊本市中央区九品寺五丁目９番２号</v>
      </c>
      <c r="E77" t="str">
        <f>"R06.01.01"</f>
        <v>R06.01.01</v>
      </c>
      <c r="F77" t="str">
        <f>"R11.12.31"</f>
        <v>R11.12.31</v>
      </c>
    </row>
    <row r="78" spans="1:6" x14ac:dyDescent="0.2">
      <c r="A78" t="str">
        <f>"第1005号"</f>
        <v>第1005号</v>
      </c>
      <c r="B78" t="str">
        <f>"株式会社ケミカル同仁"</f>
        <v>株式会社ケミカル同仁</v>
      </c>
      <c r="C78" t="str">
        <f>"株式会社ケミカル同仁"</f>
        <v>株式会社ケミカル同仁</v>
      </c>
      <c r="D78" t="str">
        <f>"熊本市南区流通団地一丁目４４番地２"</f>
        <v>熊本市南区流通団地一丁目４４番地２</v>
      </c>
      <c r="E78" t="str">
        <f>"R06.04.07"</f>
        <v>R06.04.07</v>
      </c>
      <c r="F78" t="str">
        <f>"R12.04.06"</f>
        <v>R12.04.06</v>
      </c>
    </row>
    <row r="79" spans="1:6" x14ac:dyDescent="0.2">
      <c r="A79" t="str">
        <f>"第1400号"</f>
        <v>第1400号</v>
      </c>
      <c r="B79" t="str">
        <f>"ニプロ株式会社"</f>
        <v>ニプロ株式会社</v>
      </c>
      <c r="C79" t="str">
        <f>"ニプロ株式会社　熊本支店"</f>
        <v>ニプロ株式会社　熊本支店</v>
      </c>
      <c r="D79" t="str">
        <f>"熊本市東区尾ノ上１丁目１２－３"</f>
        <v>熊本市東区尾ノ上１丁目１２－３</v>
      </c>
      <c r="E79" t="str">
        <f>"R02.11.20"</f>
        <v>R02.11.20</v>
      </c>
      <c r="F79" t="str">
        <f>"R08.11.19"</f>
        <v>R08.11.19</v>
      </c>
    </row>
    <row r="80" spans="1:6" x14ac:dyDescent="0.2">
      <c r="A80" t="str">
        <f>"第772号"</f>
        <v>第772号</v>
      </c>
      <c r="B80" t="str">
        <f>"株式会社新生堂"</f>
        <v>株式会社新生堂</v>
      </c>
      <c r="C80" t="str">
        <f>"株式会社新生堂"</f>
        <v>株式会社新生堂</v>
      </c>
      <c r="D80" t="str">
        <f>"熊本市南区近見７丁目２番３０号"</f>
        <v>熊本市南区近見７丁目２番３０号</v>
      </c>
      <c r="E80" t="str">
        <f>"R05.12.26"</f>
        <v>R05.12.26</v>
      </c>
      <c r="F80" t="str">
        <f>"R11.12.25"</f>
        <v>R11.12.25</v>
      </c>
    </row>
    <row r="81" spans="1:6" x14ac:dyDescent="0.2">
      <c r="A81" t="str">
        <f>"第1522号"</f>
        <v>第1522号</v>
      </c>
      <c r="B81" t="str">
        <f>"マルホ株式会社"</f>
        <v>マルホ株式会社</v>
      </c>
      <c r="C81" t="str">
        <f>"マルホ株式会社　熊本営業所"</f>
        <v>マルホ株式会社　熊本営業所</v>
      </c>
      <c r="D81" t="str">
        <f>"熊本市中央区水道町８－６　６階"</f>
        <v>熊本市中央区水道町８－６　６階</v>
      </c>
      <c r="E81" t="str">
        <f>"R06.12.17"</f>
        <v>R06.12.17</v>
      </c>
      <c r="F81" t="str">
        <f>"R12.12.16"</f>
        <v>R12.12.16</v>
      </c>
    </row>
    <row r="82" spans="1:6" x14ac:dyDescent="0.2">
      <c r="A82" t="str">
        <f>"第1524号"</f>
        <v>第1524号</v>
      </c>
      <c r="B82" t="str">
        <f>"株式会社アトラスメディカル"</f>
        <v>株式会社アトラスメディカル</v>
      </c>
      <c r="C82" t="str">
        <f>"株式会社アトラスメディカル"</f>
        <v>株式会社アトラスメディカル</v>
      </c>
      <c r="D82" t="str">
        <f>"熊本市東区健軍１丁目３１－３"</f>
        <v>熊本市東区健軍１丁目３１－３</v>
      </c>
      <c r="E82" t="str">
        <f>"R07.02.25"</f>
        <v>R07.02.25</v>
      </c>
      <c r="F82" t="str">
        <f>"R13.02.24"</f>
        <v>R13.02.24</v>
      </c>
    </row>
    <row r="83" spans="1:6" x14ac:dyDescent="0.2">
      <c r="A83" t="str">
        <f>"第1525号"</f>
        <v>第1525号</v>
      </c>
      <c r="B83" t="str">
        <f>"アークレイマーケティング株式会社"</f>
        <v>アークレイマーケティング株式会社</v>
      </c>
      <c r="C83" t="str">
        <f>"アークレイマーケティング株式会社　熊本セールスオフィス"</f>
        <v>アークレイマーケティング株式会社　熊本セールスオフィス</v>
      </c>
      <c r="D83" t="str">
        <f>"熊本市東区湖東３－５－３"</f>
        <v>熊本市東区湖東３－５－３</v>
      </c>
      <c r="E83" t="str">
        <f>"R07.03.01"</f>
        <v>R07.03.01</v>
      </c>
      <c r="F83" t="str">
        <f>"R13.02.28"</f>
        <v>R13.02.28</v>
      </c>
    </row>
    <row r="84" spans="1:6" x14ac:dyDescent="0.2">
      <c r="A84" t="str">
        <f>"第1376号"</f>
        <v>第1376号</v>
      </c>
      <c r="B84" t="str">
        <f>"中外製薬株式会社"</f>
        <v>中外製薬株式会社</v>
      </c>
      <c r="C84" t="str">
        <f>"中外製薬株式会社　熊本オフィス"</f>
        <v>中外製薬株式会社　熊本オフィス</v>
      </c>
      <c r="D84" t="str">
        <f>"熊本市中央区辛島町６番７号"</f>
        <v>熊本市中央区辛島町６番７号</v>
      </c>
      <c r="E84" t="str">
        <f>"R06.11.24"</f>
        <v>R06.11.24</v>
      </c>
      <c r="F84" t="str">
        <f>"R12.11.23"</f>
        <v>R12.11.23</v>
      </c>
    </row>
    <row r="85" spans="1:6" x14ac:dyDescent="0.2">
      <c r="A85" t="str">
        <f>"第1564号"</f>
        <v>第1564号</v>
      </c>
      <c r="B85" t="str">
        <f>"九州風雲堂販売株式会社"</f>
        <v>九州風雲堂販売株式会社</v>
      </c>
      <c r="C85" t="str">
        <f>"九州風雲堂販売株式会社　熊本営業所"</f>
        <v>九州風雲堂販売株式会社　熊本営業所</v>
      </c>
      <c r="D85" t="str">
        <f>"熊本市西区上代1丁目19-7"</f>
        <v>熊本市西区上代1丁目19-7</v>
      </c>
      <c r="E85" t="str">
        <f>"R06.10.10"</f>
        <v>R06.10.10</v>
      </c>
      <c r="F85" t="str">
        <f>"R12.10.09"</f>
        <v>R12.10.09</v>
      </c>
    </row>
    <row r="86" spans="1:6" x14ac:dyDescent="0.2">
      <c r="A86" t="str">
        <f>"第1267号"</f>
        <v>第1267号</v>
      </c>
      <c r="B86" t="str">
        <f>"Meiji Seika ファルマ株式会社"</f>
        <v>Meiji Seika ファルマ株式会社</v>
      </c>
      <c r="C86" t="str">
        <f>"Meiji Seika ファルマ株式会社　医薬九州支店　熊本営業所"</f>
        <v>Meiji Seika ファルマ株式会社　医薬九州支店　熊本営業所</v>
      </c>
      <c r="D86" t="str">
        <f>"熊本市中央区紺屋今町９番６号"</f>
        <v>熊本市中央区紺屋今町９番６号</v>
      </c>
      <c r="E86" t="str">
        <f>"R05.01.22"</f>
        <v>R05.01.22</v>
      </c>
      <c r="F86" t="str">
        <f>"R11.01.21"</f>
        <v>R11.01.21</v>
      </c>
    </row>
    <row r="87" spans="1:6" x14ac:dyDescent="0.2">
      <c r="A87" t="str">
        <f>"第1523号"</f>
        <v>第1523号</v>
      </c>
      <c r="B87" t="str">
        <f>"株式会社九州ミタカ"</f>
        <v>株式会社九州ミタカ</v>
      </c>
      <c r="C87" t="str">
        <f>"株式会社九州ミタカ"</f>
        <v>株式会社九州ミタカ</v>
      </c>
      <c r="D87" t="str">
        <f>"熊本市東区小山町１８２８番地"</f>
        <v>熊本市東区小山町１８２８番地</v>
      </c>
      <c r="E87" t="str">
        <f>"R07.01.15"</f>
        <v>R07.01.15</v>
      </c>
      <c r="F87" t="str">
        <f>"R13.01.14"</f>
        <v>R13.01.14</v>
      </c>
    </row>
    <row r="88" spans="1:6" x14ac:dyDescent="0.2">
      <c r="A88" t="str">
        <f>"第1552号"</f>
        <v>第1552号</v>
      </c>
      <c r="B88" t="str">
        <f>"銀杏薬品株式会社"</f>
        <v>銀杏薬品株式会社</v>
      </c>
      <c r="C88" t="str">
        <f>"銀杏薬品株式会社"</f>
        <v>銀杏薬品株式会社</v>
      </c>
      <c r="D88" t="str">
        <f>"熊本市西区河内町岳１６７０－７"</f>
        <v>熊本市西区河内町岳１６７０－７</v>
      </c>
      <c r="E88" t="str">
        <f>"R04.10.17"</f>
        <v>R04.10.17</v>
      </c>
      <c r="F88" t="str">
        <f>"R09.12.31"</f>
        <v>R09.12.31</v>
      </c>
    </row>
    <row r="89" spans="1:6" x14ac:dyDescent="0.2">
      <c r="A89" t="str">
        <f>"第1008号"</f>
        <v>第1008号</v>
      </c>
      <c r="B89" t="str">
        <f>"塩野義製薬株式会社"</f>
        <v>塩野義製薬株式会社</v>
      </c>
      <c r="C89" t="str">
        <f>"塩野義製薬株式会社　熊本営業所"</f>
        <v>塩野義製薬株式会社　熊本営業所</v>
      </c>
      <c r="D89" t="str">
        <f>"熊本市中央区水前寺公園１４番２２号"</f>
        <v>熊本市中央区水前寺公園１４番２２号</v>
      </c>
      <c r="E89" t="str">
        <f>"R06.04.28"</f>
        <v>R06.04.28</v>
      </c>
      <c r="F89" t="str">
        <f>"R12.04.27"</f>
        <v>R12.04.27</v>
      </c>
    </row>
    <row r="90" spans="1:6" x14ac:dyDescent="0.2">
      <c r="A90" t="str">
        <f>"第1419号"</f>
        <v>第1419号</v>
      </c>
      <c r="B90" t="str">
        <f>"参天製薬株式会社"</f>
        <v>参天製薬株式会社</v>
      </c>
      <c r="C90" t="str">
        <f>"参天製薬株式会社　熊本医薬チームオフィス"</f>
        <v>参天製薬株式会社　熊本医薬チームオフィス</v>
      </c>
      <c r="D90" t="str">
        <f>"熊本市中央区紺屋今町１－５"</f>
        <v>熊本市中央区紺屋今町１－５</v>
      </c>
      <c r="E90" t="str">
        <f>"R04.05.12"</f>
        <v>R04.05.12</v>
      </c>
      <c r="F90" t="str">
        <f>"R10.05.11"</f>
        <v>R10.05.11</v>
      </c>
    </row>
    <row r="91" spans="1:6" x14ac:dyDescent="0.2">
      <c r="A91" t="str">
        <f>"第1563号"</f>
        <v>第1563号</v>
      </c>
      <c r="B91" t="str">
        <f>"沢井製薬株式会社"</f>
        <v>沢井製薬株式会社</v>
      </c>
      <c r="C91" t="str">
        <f>"沢井製薬株式会社　熊本営業所"</f>
        <v>沢井製薬株式会社　熊本営業所</v>
      </c>
      <c r="D91" t="str">
        <f>"熊本市中央区辛島町5-1 日本生命熊本ビル5階"</f>
        <v>熊本市中央区辛島町5-1 日本生命熊本ビル5階</v>
      </c>
      <c r="E91" t="str">
        <f>"R06.09.22"</f>
        <v>R06.09.22</v>
      </c>
      <c r="F91" t="str">
        <f>"R12.09.21"</f>
        <v>R12.09.21</v>
      </c>
    </row>
    <row r="92" spans="1:6" x14ac:dyDescent="0.2">
      <c r="A92" t="str">
        <f>"第1566号"</f>
        <v>第1566号</v>
      </c>
      <c r="B92" t="str">
        <f>"株式会社ウィーズ"</f>
        <v>株式会社ウィーズ</v>
      </c>
      <c r="C92" t="str">
        <f>"株式会社ウィーズ　熊本支店"</f>
        <v>株式会社ウィーズ　熊本支店</v>
      </c>
      <c r="D92" t="str">
        <f>"熊本市中央区琴平１丁目９－６５"</f>
        <v>熊本市中央区琴平１丁目９－６５</v>
      </c>
      <c r="E92" t="str">
        <f>"R07.01.01"</f>
        <v>R07.01.01</v>
      </c>
      <c r="F92" t="str">
        <f>"R12.12.31"</f>
        <v>R12.12.31</v>
      </c>
    </row>
    <row r="93" spans="1:6" x14ac:dyDescent="0.2">
      <c r="A93" t="str">
        <f>"第1488号"</f>
        <v>第1488号</v>
      </c>
      <c r="B93" t="str">
        <f>"ササキ株式会社"</f>
        <v>ササキ株式会社</v>
      </c>
      <c r="C93" t="str">
        <f>"ササキ株式会社　熊本店"</f>
        <v>ササキ株式会社　熊本店</v>
      </c>
      <c r="D93" t="str">
        <f>"熊本市東区健軍１丁目２－１２"</f>
        <v>熊本市東区健軍１丁目２－１２</v>
      </c>
      <c r="E93" t="str">
        <f>"R07.01.01"</f>
        <v>R07.01.01</v>
      </c>
      <c r="F93" t="str">
        <f>"R12.12.31"</f>
        <v>R12.12.31</v>
      </c>
    </row>
    <row r="94" spans="1:6" x14ac:dyDescent="0.2">
      <c r="A94" t="str">
        <f>"第1545号"</f>
        <v>第1545号</v>
      </c>
      <c r="B94" t="str">
        <f>"帝人ヘルスケア株式会社"</f>
        <v>帝人ヘルスケア株式会社</v>
      </c>
      <c r="C94" t="str">
        <f>"帝人ヘルスケア株式会社　九州支店　熊本南・北営業所"</f>
        <v>帝人ヘルスケア株式会社　九州支店　熊本南・北営業所</v>
      </c>
      <c r="D94" t="str">
        <f>"熊本市西区春日３－１５－６０"</f>
        <v>熊本市西区春日３－１５－６０</v>
      </c>
      <c r="E94" t="str">
        <f>"R03.07.19"</f>
        <v>R03.07.19</v>
      </c>
      <c r="F94" t="str">
        <f>"R09.07.18"</f>
        <v>R09.07.18</v>
      </c>
    </row>
    <row r="95" spans="1:6" x14ac:dyDescent="0.2">
      <c r="A95" t="str">
        <f>"第1520号"</f>
        <v>第1520号</v>
      </c>
      <c r="B95" t="str">
        <f>"富田薬品株式会社"</f>
        <v>富田薬品株式会社</v>
      </c>
      <c r="C95" t="str">
        <f>"富田薬品株式会社熊本支店（Ａ＆Ｓ熊本）"</f>
        <v>富田薬品株式会社熊本支店（Ａ＆Ｓ熊本）</v>
      </c>
      <c r="D95" t="str">
        <f>"熊本市中央区九品寺６丁目６番７５号"</f>
        <v>熊本市中央区九品寺６丁目６番７５号</v>
      </c>
      <c r="E95" t="str">
        <f>"R06.11.28"</f>
        <v>R06.11.28</v>
      </c>
      <c r="F95" t="str">
        <f>"R12.11.27"</f>
        <v>R12.11.27</v>
      </c>
    </row>
    <row r="96" spans="1:6" x14ac:dyDescent="0.2">
      <c r="A96" t="str">
        <f>"第1535号"</f>
        <v>第1535号</v>
      </c>
      <c r="B96" t="str">
        <f>"株式会社アステム"</f>
        <v>株式会社アステム</v>
      </c>
      <c r="C96" t="str">
        <f>"株式会社アステム熊本営業部"</f>
        <v>株式会社アステム熊本営業部</v>
      </c>
      <c r="D96" t="str">
        <f>"熊本市中央区八王寺町３３番５７号"</f>
        <v>熊本市中央区八王寺町３３番５７号</v>
      </c>
      <c r="E96" t="str">
        <f>"R02.05.03"</f>
        <v>R02.05.03</v>
      </c>
      <c r="F96" t="str">
        <f>"R08.05.02"</f>
        <v>R08.05.02</v>
      </c>
    </row>
    <row r="97" spans="1:6" x14ac:dyDescent="0.2">
      <c r="A97" t="str">
        <f>"第1391号"</f>
        <v>第1391号</v>
      </c>
      <c r="B97" t="str">
        <f>"科研製薬株式会社"</f>
        <v>科研製薬株式会社</v>
      </c>
      <c r="C97" t="str">
        <f>"科研製薬株式会社　西九州営業所"</f>
        <v>科研製薬株式会社　西九州営業所</v>
      </c>
      <c r="D97" t="str">
        <f>"熊本市中央区九品寺二丁目１番２４号"</f>
        <v>熊本市中央区九品寺二丁目１番２４号</v>
      </c>
      <c r="E97" t="str">
        <f>"R02.01.22"</f>
        <v>R02.01.22</v>
      </c>
      <c r="F97" t="str">
        <f>"R08.01.21"</f>
        <v>R08.01.21</v>
      </c>
    </row>
    <row r="98" spans="1:6" x14ac:dyDescent="0.2">
      <c r="A98" t="str">
        <f>"第1517号"</f>
        <v>第1517号</v>
      </c>
      <c r="B98" t="str">
        <f>"株式会社メディアース・ジャパン"</f>
        <v>株式会社メディアース・ジャパン</v>
      </c>
      <c r="C98" t="str">
        <f>"株式会社メディアース・ジャパン　熊本営業所"</f>
        <v>株式会社メディアース・ジャパン　熊本営業所</v>
      </c>
      <c r="D98" t="str">
        <f>"熊本市中央区水前寺１丁目３１－２０"</f>
        <v>熊本市中央区水前寺１丁目３１－２０</v>
      </c>
      <c r="E98" t="str">
        <f>"R06.04.25"</f>
        <v>R06.04.25</v>
      </c>
      <c r="F98" t="str">
        <f>"R12.04.24"</f>
        <v>R12.04.24</v>
      </c>
    </row>
    <row r="99" spans="1:6" x14ac:dyDescent="0.2">
      <c r="A99" t="str">
        <f>"第1554号"</f>
        <v>第1554号</v>
      </c>
      <c r="B99" t="str">
        <f>"杏林製薬株式会社"</f>
        <v>杏林製薬株式会社</v>
      </c>
      <c r="C99" t="str">
        <f>"杏林製薬株式会社　熊本営業所"</f>
        <v>杏林製薬株式会社　熊本営業所</v>
      </c>
      <c r="D99" t="str">
        <f>"熊本市中央区上水前寺１－６－４１－３Ｆ"</f>
        <v>熊本市中央区上水前寺１－６－４１－３Ｆ</v>
      </c>
      <c r="E99" t="str">
        <f>"R05.04.01"</f>
        <v>R05.04.01</v>
      </c>
      <c r="F99" t="str">
        <f>"R11.03.31"</f>
        <v>R11.03.31</v>
      </c>
    </row>
    <row r="100" spans="1:6" x14ac:dyDescent="0.2">
      <c r="A100" t="str">
        <f>"第1389号"</f>
        <v>第1389号</v>
      </c>
      <c r="B100" t="str">
        <f>"アルフレッサ株式会社"</f>
        <v>アルフレッサ株式会社</v>
      </c>
      <c r="C100" t="str">
        <f>"アルフレッサ株式会社　熊本支店"</f>
        <v>アルフレッサ株式会社　熊本支店</v>
      </c>
      <c r="D100" t="str">
        <f>"熊本市東区健軍本町７番６号"</f>
        <v>熊本市東区健軍本町７番６号</v>
      </c>
      <c r="E100" t="str">
        <f>"R02.01.01"</f>
        <v>R02.01.01</v>
      </c>
      <c r="F100" t="str">
        <f>"R07.12.31"</f>
        <v>R07.12.31</v>
      </c>
    </row>
    <row r="101" spans="1:6" x14ac:dyDescent="0.2">
      <c r="A101" t="str">
        <f>"第1243号"</f>
        <v>第1243号</v>
      </c>
      <c r="B101" t="str">
        <f>"アイティーアイ株式会社"</f>
        <v>アイティーアイ株式会社</v>
      </c>
      <c r="C101" t="str">
        <f>"アイティーアイ株式会社　熊本支社"</f>
        <v>アイティーアイ株式会社　熊本支社</v>
      </c>
      <c r="D101" t="str">
        <f>"熊本市南区平田２丁目１２番１８号及び２０号"</f>
        <v>熊本市南区平田２丁目１２番１８号及び２０号</v>
      </c>
      <c r="E101" t="str">
        <f>"R06.08.15"</f>
        <v>R06.08.15</v>
      </c>
      <c r="F101" t="str">
        <f>"R12.08.14"</f>
        <v>R12.08.14</v>
      </c>
    </row>
    <row r="102" spans="1:6" x14ac:dyDescent="0.2">
      <c r="A102" t="str">
        <f>"第1293号"</f>
        <v>第1293号</v>
      </c>
      <c r="B102" t="str">
        <f>"山下医科器械株式会社"</f>
        <v>山下医科器械株式会社</v>
      </c>
      <c r="C102" t="str">
        <f>"山下医科器械株式会社　熊本支社"</f>
        <v>山下医科器械株式会社　熊本支社</v>
      </c>
      <c r="D102" t="str">
        <f>"熊本市中央区八王寺町３９番１２号"</f>
        <v>熊本市中央区八王寺町３９番１２号</v>
      </c>
      <c r="E102" t="str">
        <f>"R04.12.09"</f>
        <v>R04.12.09</v>
      </c>
      <c r="F102" t="str">
        <f>"R10.12.08"</f>
        <v>R10.12.08</v>
      </c>
    </row>
    <row r="103" spans="1:6" x14ac:dyDescent="0.2">
      <c r="A103" t="str">
        <f>"第1561号"</f>
        <v>第1561号</v>
      </c>
      <c r="B103" t="str">
        <f>"株式会社九州東和薬品"</f>
        <v>株式会社九州東和薬品</v>
      </c>
      <c r="C103" t="str">
        <f>"株式会社九州東和薬品　熊本中央営業所"</f>
        <v>株式会社九州東和薬品　熊本中央営業所</v>
      </c>
      <c r="D103" t="str">
        <f>"熊本市中央区萩原町17-66"</f>
        <v>熊本市中央区萩原町17-66</v>
      </c>
      <c r="E103" t="str">
        <f>"R06.07.01"</f>
        <v>R06.07.01</v>
      </c>
      <c r="F103" t="str">
        <f>"R12.06.30"</f>
        <v>R12.06.30</v>
      </c>
    </row>
    <row r="104" spans="1:6" x14ac:dyDescent="0.2">
      <c r="A104" t="str">
        <f>"第1560号"</f>
        <v>第1560号</v>
      </c>
      <c r="B104" t="str">
        <f>"株式会社九州東和薬品"</f>
        <v>株式会社九州東和薬品</v>
      </c>
      <c r="C104" t="str">
        <f>"株式会社九州東和薬品　熊本本社"</f>
        <v>株式会社九州東和薬品　熊本本社</v>
      </c>
      <c r="D104" t="str">
        <f>"熊本市北区武蔵ケ丘7丁目2-55"</f>
        <v>熊本市北区武蔵ケ丘7丁目2-55</v>
      </c>
      <c r="E104" t="str">
        <f>"R06.07.01"</f>
        <v>R06.07.01</v>
      </c>
      <c r="F104" t="str">
        <f>"R12.06.30"</f>
        <v>R12.06.30</v>
      </c>
    </row>
    <row r="105" spans="1:6" x14ac:dyDescent="0.2">
      <c r="A105" t="str">
        <f>"第1456号"</f>
        <v>第1456号</v>
      </c>
      <c r="B105" t="str">
        <f>"岩谷産業株式会社"</f>
        <v>岩谷産業株式会社</v>
      </c>
      <c r="C105" t="str">
        <f>"岩谷産業株式会社熊本支店"</f>
        <v>岩谷産業株式会社熊本支店</v>
      </c>
      <c r="D105" t="str">
        <f>"熊本市中央区辛島町８－２３"</f>
        <v>熊本市中央区辛島町８－２３</v>
      </c>
      <c r="E105" t="str">
        <f>"R06.02.02"</f>
        <v>R06.02.02</v>
      </c>
      <c r="F105" t="str">
        <f>"R12.02.01"</f>
        <v>R12.02.01</v>
      </c>
    </row>
    <row r="106" spans="1:6" x14ac:dyDescent="0.2">
      <c r="A106" t="str">
        <f>"第1533号"</f>
        <v>第1533号</v>
      </c>
      <c r="B106" t="str">
        <f>"フクダライフテック九州株式会社"</f>
        <v>フクダライフテック九州株式会社</v>
      </c>
      <c r="C106" t="str">
        <f>"フクダライフテック九州株式会社　熊本北出張所"</f>
        <v>フクダライフテック九州株式会社　熊本北出張所</v>
      </c>
      <c r="D106" t="str">
        <f>"熊本市北区植木町植木508"</f>
        <v>熊本市北区植木町植木508</v>
      </c>
      <c r="E106" t="str">
        <f>"R01.11.08"</f>
        <v>R01.11.08</v>
      </c>
      <c r="F106" t="str">
        <f>"R07.11.07"</f>
        <v>R07.11.07</v>
      </c>
    </row>
    <row r="107" spans="1:6" x14ac:dyDescent="0.2">
      <c r="A107" t="str">
        <f>"第1441号"</f>
        <v>第1441号</v>
      </c>
      <c r="B107" t="str">
        <f>"第一三共株式会社"</f>
        <v>第一三共株式会社</v>
      </c>
      <c r="C107" t="str">
        <f>"第一三共株式会社　九州医薬営業部熊本サイト"</f>
        <v>第一三共株式会社　九州医薬営業部熊本サイト</v>
      </c>
      <c r="D107" t="str">
        <f>"熊本市中央区紺屋今町９－６"</f>
        <v>熊本市中央区紺屋今町９－６</v>
      </c>
      <c r="E107" t="str">
        <f>"R05.07.04"</f>
        <v>R05.07.04</v>
      </c>
      <c r="F107" t="str">
        <f>"R11.07.03"</f>
        <v>R11.07.03</v>
      </c>
    </row>
    <row r="108" spans="1:6" x14ac:dyDescent="0.2">
      <c r="A108" t="str">
        <f>"第1283号"</f>
        <v>第1283号</v>
      </c>
      <c r="B108" t="str">
        <f>"日本赤十字社"</f>
        <v>日本赤十字社</v>
      </c>
      <c r="C108" t="str">
        <f>"熊本県赤十字血液センター"</f>
        <v>熊本県赤十字血液センター</v>
      </c>
      <c r="D108" t="str">
        <f>"熊本市東区長嶺南二丁目１番１号"</f>
        <v>熊本市東区長嶺南二丁目１番１号</v>
      </c>
      <c r="E108" t="str">
        <f>"R06.01.01"</f>
        <v>R06.01.01</v>
      </c>
      <c r="F108" t="str">
        <f>"R11.12.31"</f>
        <v>R11.12.31</v>
      </c>
    </row>
    <row r="109" spans="1:6" x14ac:dyDescent="0.2">
      <c r="A109" t="str">
        <f>"第880号"</f>
        <v>第880号</v>
      </c>
      <c r="B109" t="str">
        <f>"メディカルコア株式会社"</f>
        <v>メディカルコア株式会社</v>
      </c>
      <c r="C109" t="str">
        <f>"メディカルコア株式会社"</f>
        <v>メディカルコア株式会社</v>
      </c>
      <c r="D109" t="str">
        <f>"熊本市中央区新屋敷３丁目６番９号"</f>
        <v>熊本市中央区新屋敷３丁目６番９号</v>
      </c>
      <c r="E109" t="str">
        <f>"R06.01.01"</f>
        <v>R06.01.01</v>
      </c>
      <c r="F109" t="str">
        <f>"R11.12.31"</f>
        <v>R11.12.31</v>
      </c>
    </row>
    <row r="110" spans="1:6" x14ac:dyDescent="0.2">
      <c r="A110" t="str">
        <f>"第1477号"</f>
        <v>第1477号</v>
      </c>
      <c r="B110" t="str">
        <f>"内村酸素株式会社"</f>
        <v>内村酸素株式会社</v>
      </c>
      <c r="C110" t="str">
        <f>"内村酸素株式会社"</f>
        <v>内村酸素株式会社</v>
      </c>
      <c r="D110" t="str">
        <f>"熊本市中央区本荘５丁目１３番１８号"</f>
        <v>熊本市中央区本荘５丁目１３番１８号</v>
      </c>
      <c r="E110" t="str">
        <f>"R06.05.29"</f>
        <v>R06.05.29</v>
      </c>
      <c r="F110" t="str">
        <f>"R12.05.28"</f>
        <v>R12.05.28</v>
      </c>
    </row>
    <row r="111" spans="1:6" x14ac:dyDescent="0.2">
      <c r="A111" t="str">
        <f>"第1470号"</f>
        <v>第1470号</v>
      </c>
      <c r="B111" t="str">
        <f>"イワタニ熊本ガスセンター株式会社"</f>
        <v>イワタニ熊本ガスセンター株式会社</v>
      </c>
      <c r="C111" t="str">
        <f>"イワタニ熊本ガスセンター株式会社"</f>
        <v>イワタニ熊本ガスセンター株式会社</v>
      </c>
      <c r="D111" t="str">
        <f>"熊本市南区城南町今吉野１２４６番１"</f>
        <v>熊本市南区城南町今吉野１２４６番１</v>
      </c>
      <c r="E111" t="str">
        <f>"R06.05.25"</f>
        <v>R06.05.25</v>
      </c>
      <c r="F111" t="str">
        <f>"R12.05.24"</f>
        <v>R12.05.24</v>
      </c>
    </row>
    <row r="112" spans="1:6" x14ac:dyDescent="0.2">
      <c r="A112" t="str">
        <f>"第1424号"</f>
        <v>第1424号</v>
      </c>
      <c r="B112" t="str">
        <f>"株式会社ジェネフィット・ジャパン"</f>
        <v>株式会社ジェネフィット・ジャパン</v>
      </c>
      <c r="C112" t="str">
        <f>"株式会社ジェネフィット・ジャパン"</f>
        <v>株式会社ジェネフィット・ジャパン</v>
      </c>
      <c r="D112" t="str">
        <f>"熊本市南区出仲間8丁目５－３３"</f>
        <v>熊本市南区出仲間8丁目５－３３</v>
      </c>
      <c r="E112" t="str">
        <f>"R04.01.01"</f>
        <v>R04.01.01</v>
      </c>
      <c r="F112" t="str">
        <f>"R09.12.31"</f>
        <v>R09.12.31</v>
      </c>
    </row>
    <row r="113" spans="1:6" x14ac:dyDescent="0.2">
      <c r="A113" t="str">
        <f>"第1476号"</f>
        <v>第1476号</v>
      </c>
      <c r="B113" t="str">
        <f>"内村酸素株式会社"</f>
        <v>内村酸素株式会社</v>
      </c>
      <c r="C113" t="str">
        <f>"内村酸素株式会社　医療ガス営業部"</f>
        <v>内村酸素株式会社　医療ガス営業部</v>
      </c>
      <c r="D113" t="str">
        <f>"熊本市中央区本荘５丁目１３番１８号"</f>
        <v>熊本市中央区本荘５丁目１３番１８号</v>
      </c>
      <c r="E113" t="str">
        <f>"R06.05.29"</f>
        <v>R06.05.29</v>
      </c>
      <c r="F113" t="str">
        <f>"R12.05.28"</f>
        <v>R12.05.28</v>
      </c>
    </row>
    <row r="114" spans="1:6" x14ac:dyDescent="0.2">
      <c r="A114" t="str">
        <f>"第1559号"</f>
        <v>第1559号</v>
      </c>
      <c r="B114" t="str">
        <f>"正晃株式会社"</f>
        <v>正晃株式会社</v>
      </c>
      <c r="C114" t="str">
        <f>"正晃株式会社熊本営業所"</f>
        <v>正晃株式会社熊本営業所</v>
      </c>
      <c r="D114" t="str">
        <f>"熊本市東区御領六丁目３番９９号"</f>
        <v>熊本市東区御領六丁目３番９９号</v>
      </c>
      <c r="E114" t="str">
        <f>"R06.04.26"</f>
        <v>R06.04.26</v>
      </c>
      <c r="F114" t="str">
        <f>"R12.04.25"</f>
        <v>R12.04.25</v>
      </c>
    </row>
    <row r="115" spans="1:6" x14ac:dyDescent="0.2">
      <c r="A115" t="str">
        <f>"第1465号"</f>
        <v>第1465号</v>
      </c>
      <c r="B115" t="str">
        <f>"株式会社サン・ダイコー"</f>
        <v>株式会社サン・ダイコー</v>
      </c>
      <c r="C115" t="str">
        <f>"株式会社サン・ダイコー熊本支店"</f>
        <v>株式会社サン・ダイコー熊本支店</v>
      </c>
      <c r="D115" t="str">
        <f>"熊本市中央区八王寺町３３番５６号"</f>
        <v>熊本市中央区八王寺町３３番５６号</v>
      </c>
      <c r="E115" t="str">
        <f>"R06.04.16"</f>
        <v>R06.04.16</v>
      </c>
      <c r="F115" t="str">
        <f>"R12.04.15"</f>
        <v>R12.04.15</v>
      </c>
    </row>
    <row r="116" spans="1:6" x14ac:dyDescent="0.2">
      <c r="A116" t="str">
        <f>"第1394号"</f>
        <v>第1394号</v>
      </c>
      <c r="B116" t="str">
        <f>"株式会社大塚製薬工場"</f>
        <v>株式会社大塚製薬工場</v>
      </c>
      <c r="C116" t="str">
        <f>"株式会社大塚製薬工場　熊本出張所"</f>
        <v>株式会社大塚製薬工場　熊本出張所</v>
      </c>
      <c r="D116" t="str">
        <f>"熊本市中央区辛島町３番２０号　ＮＢＦ熊本ビル９階"</f>
        <v>熊本市中央区辛島町３番２０号　ＮＢＦ熊本ビル９階</v>
      </c>
      <c r="E116" t="str">
        <f>"R02.01.01"</f>
        <v>R02.01.01</v>
      </c>
      <c r="F116" t="str">
        <f>"R07.12.31"</f>
        <v>R07.12.31</v>
      </c>
    </row>
    <row r="117" spans="1:6" x14ac:dyDescent="0.2">
      <c r="A117" t="str">
        <f>"第1416号"</f>
        <v>第1416号</v>
      </c>
      <c r="B117" t="str">
        <f>"ＭＰアグロ株式会社"</f>
        <v>ＭＰアグロ株式会社</v>
      </c>
      <c r="C117" t="str">
        <f>"ＭＰアグロ株式会社　熊本支店"</f>
        <v>ＭＰアグロ株式会社　熊本支店</v>
      </c>
      <c r="D117" t="str">
        <f>"熊本市南区流通団地１丁目１０番地２"</f>
        <v>熊本市南区流通団地１丁目１０番地２</v>
      </c>
      <c r="E117" t="str">
        <f>"R04.04.01"</f>
        <v>R04.04.01</v>
      </c>
      <c r="F117" t="str">
        <f>"R10.03.31"</f>
        <v>R10.03.31</v>
      </c>
    </row>
    <row r="118" spans="1:6" x14ac:dyDescent="0.2">
      <c r="A118" t="str">
        <f>"第1558号"</f>
        <v>第1558号</v>
      </c>
      <c r="B118" t="str">
        <f>"フクダライフテック九州株式会社"</f>
        <v>フクダライフテック九州株式会社</v>
      </c>
      <c r="C118" t="str">
        <f>"フクダライフテック九州株式会社　熊本営業所"</f>
        <v>フクダライフテック九州株式会社　熊本営業所</v>
      </c>
      <c r="D118" t="str">
        <f>"熊本市中央区帯山２丁目５－２７"</f>
        <v>熊本市中央区帯山２丁目５－２７</v>
      </c>
      <c r="E118" t="str">
        <f>"R06.01.09"</f>
        <v>R06.01.09</v>
      </c>
      <c r="F118" t="str">
        <f>"R12.01.08"</f>
        <v>R12.01.08</v>
      </c>
    </row>
    <row r="119" spans="1:6" x14ac:dyDescent="0.2">
      <c r="A119" t="str">
        <f>"第372号"</f>
        <v>第372号</v>
      </c>
      <c r="B119" t="str">
        <f>"小林薬品販売株式会社"</f>
        <v>小林薬品販売株式会社</v>
      </c>
      <c r="C119" t="str">
        <f>"小林薬品販売株式会社"</f>
        <v>小林薬品販売株式会社</v>
      </c>
      <c r="D119" t="str">
        <f>"熊本市中央区帯山１丁目２１番５９号"</f>
        <v>熊本市中央区帯山１丁目２１番５９号</v>
      </c>
      <c r="E119" t="str">
        <f t="shared" ref="E119:E124" si="0">"R06.01.01"</f>
        <v>R06.01.01</v>
      </c>
      <c r="F119" t="str">
        <f t="shared" ref="F119:F124" si="1">"R11.12.31"</f>
        <v>R11.12.31</v>
      </c>
    </row>
    <row r="120" spans="1:6" x14ac:dyDescent="0.2">
      <c r="A120" t="str">
        <f>"第540号"</f>
        <v>第540号</v>
      </c>
      <c r="B120" t="str">
        <f>"日新薬品株式会社"</f>
        <v>日新薬品株式会社</v>
      </c>
      <c r="C120" t="str">
        <f>"日新薬品株式会社"</f>
        <v>日新薬品株式会社</v>
      </c>
      <c r="D120" t="str">
        <f>"熊本市中央区上水前寺1丁目９番１５号"</f>
        <v>熊本市中央区上水前寺1丁目９番１５号</v>
      </c>
      <c r="E120" t="str">
        <f t="shared" si="0"/>
        <v>R06.01.01</v>
      </c>
      <c r="F120" t="str">
        <f t="shared" si="1"/>
        <v>R11.12.31</v>
      </c>
    </row>
    <row r="121" spans="1:6" x14ac:dyDescent="0.2">
      <c r="A121" t="str">
        <f>"第1013号"</f>
        <v>第1013号</v>
      </c>
      <c r="B121" t="str">
        <f>"株式会社八尾ムトウ"</f>
        <v>株式会社八尾ムトウ</v>
      </c>
      <c r="C121" t="str">
        <f>"株式会社八尾ムトウ"</f>
        <v>株式会社八尾ムトウ</v>
      </c>
      <c r="D121" t="str">
        <f>"熊本市中央区本荘五丁目１０番２６号"</f>
        <v>熊本市中央区本荘五丁目１０番２６号</v>
      </c>
      <c r="E121" t="str">
        <f t="shared" si="0"/>
        <v>R06.01.01</v>
      </c>
      <c r="F121" t="str">
        <f t="shared" si="1"/>
        <v>R11.12.31</v>
      </c>
    </row>
    <row r="122" spans="1:6" x14ac:dyDescent="0.2">
      <c r="A122" t="str">
        <f>"第1371号"</f>
        <v>第1371号</v>
      </c>
      <c r="B122" t="str">
        <f>"株式会社下川薬局"</f>
        <v>株式会社下川薬局</v>
      </c>
      <c r="C122" t="str">
        <f>"株式会社下川薬局営業部"</f>
        <v>株式会社下川薬局営業部</v>
      </c>
      <c r="D122" t="str">
        <f>"熊本市中央区九品寺３丁目１６番６１号"</f>
        <v>熊本市中央区九品寺３丁目１６番６１号</v>
      </c>
      <c r="E122" t="str">
        <f t="shared" si="0"/>
        <v>R06.01.01</v>
      </c>
      <c r="F122" t="str">
        <f t="shared" si="1"/>
        <v>R11.12.31</v>
      </c>
    </row>
    <row r="123" spans="1:6" x14ac:dyDescent="0.2">
      <c r="A123" t="str">
        <f>"第1240号"</f>
        <v>第1240号</v>
      </c>
      <c r="B123" t="str">
        <f>"株式会社ドラッグミユキ"</f>
        <v>株式会社ドラッグミユキ</v>
      </c>
      <c r="C123" t="str">
        <f>"株式会社ドラッグミユキ卸部"</f>
        <v>株式会社ドラッグミユキ卸部</v>
      </c>
      <c r="D123" t="str">
        <f>"熊本市南区御幸笛田６丁目２番２号"</f>
        <v>熊本市南区御幸笛田６丁目２番２号</v>
      </c>
      <c r="E123" t="str">
        <f t="shared" si="0"/>
        <v>R06.01.01</v>
      </c>
      <c r="F123" t="str">
        <f t="shared" si="1"/>
        <v>R11.12.31</v>
      </c>
    </row>
    <row r="124" spans="1:6" x14ac:dyDescent="0.2">
      <c r="A124" t="str">
        <f>"第1457号"</f>
        <v>第1457号</v>
      </c>
      <c r="B124" t="str">
        <f>"株式会社尼崎薬品"</f>
        <v>株式会社尼崎薬品</v>
      </c>
      <c r="C124" t="str">
        <f>"株式会社尼崎薬品"</f>
        <v>株式会社尼崎薬品</v>
      </c>
      <c r="D124" t="str">
        <f>"熊本市中央区平成三丁目１３番１８号"</f>
        <v>熊本市中央区平成三丁目１３番１８号</v>
      </c>
      <c r="E124" t="str">
        <f t="shared" si="0"/>
        <v>R06.01.01</v>
      </c>
      <c r="F124" t="str">
        <f t="shared" si="1"/>
        <v>R11.12.31</v>
      </c>
    </row>
    <row r="125" spans="1:6" x14ac:dyDescent="0.2">
      <c r="A125" t="str">
        <f>"第1452号"</f>
        <v>第1452号</v>
      </c>
      <c r="B125" t="str">
        <f>"株式会社熊本有恒社"</f>
        <v>株式会社熊本有恒社</v>
      </c>
      <c r="C125" t="str">
        <f>"株式会社熊本有恒社"</f>
        <v>株式会社熊本有恒社</v>
      </c>
      <c r="D125" t="str">
        <f>"熊本市西区島崎二丁目１４番２９号"</f>
        <v>熊本市西区島崎二丁目１４番２９号</v>
      </c>
      <c r="E125" t="str">
        <f>"R05.11.30"</f>
        <v>R05.11.30</v>
      </c>
      <c r="F125" t="str">
        <f>"R11.11.29"</f>
        <v>R11.11.29</v>
      </c>
    </row>
    <row r="126" spans="1:6" x14ac:dyDescent="0.2">
      <c r="A126" t="str">
        <f>"第1492号"</f>
        <v>第1492号</v>
      </c>
      <c r="B126" t="str">
        <f>"有限会社　熊本保健企画"</f>
        <v>有限会社　熊本保健企画</v>
      </c>
      <c r="C126" t="str">
        <f>"有限会社　熊本保健企画"</f>
        <v>有限会社　熊本保健企画</v>
      </c>
      <c r="D126" t="str">
        <f>"熊本市中央区帯山３丁目２－２０"</f>
        <v>熊本市中央区帯山３丁目２－２０</v>
      </c>
      <c r="E126" t="str">
        <f>"R03.07.06"</f>
        <v>R03.07.06</v>
      </c>
      <c r="F126" t="str">
        <f>"R09.07.05"</f>
        <v>R09.07.05</v>
      </c>
    </row>
    <row r="127" spans="1:6" x14ac:dyDescent="0.2">
      <c r="A127" t="str">
        <f>"第1337号"</f>
        <v>第1337号</v>
      </c>
      <c r="B127" t="str">
        <f>"株式会社ジェイ・アイ・ティ－"</f>
        <v>株式会社ジェイ・アイ・ティ－</v>
      </c>
      <c r="C127" t="str">
        <f>"株式会社ジェイ・アイ・ティ－"</f>
        <v>株式会社ジェイ・アイ・ティ－</v>
      </c>
      <c r="D127" t="str">
        <f>"熊本市南区島町４丁目７番３０号"</f>
        <v>熊本市南区島町４丁目７番３０号</v>
      </c>
      <c r="E127" t="str">
        <f>"R03.04.17"</f>
        <v>R03.04.17</v>
      </c>
      <c r="F127" t="str">
        <f>"R09.04.16"</f>
        <v>R09.04.16</v>
      </c>
    </row>
    <row r="128" spans="1:6" x14ac:dyDescent="0.2">
      <c r="A128" t="str">
        <f>"第1063号"</f>
        <v>第1063号</v>
      </c>
      <c r="B128" t="str">
        <f>"九州東邦株式会社"</f>
        <v>九州東邦株式会社</v>
      </c>
      <c r="C128" t="str">
        <f>"九州東邦株式会社　熊本営業所"</f>
        <v>九州東邦株式会社　熊本営業所</v>
      </c>
      <c r="D128" t="str">
        <f>"熊本市南区流通団地１丁目６９番地"</f>
        <v>熊本市南区流通団地１丁目６９番地</v>
      </c>
      <c r="E128" t="str">
        <f>"R04.01.01"</f>
        <v>R04.01.01</v>
      </c>
      <c r="F128" t="str">
        <f>"R09.12.31"</f>
        <v>R09.12.31</v>
      </c>
    </row>
    <row r="129" spans="1:6" x14ac:dyDescent="0.2">
      <c r="A129" t="str">
        <f>"第1557号"</f>
        <v>第1557号</v>
      </c>
      <c r="B129" t="str">
        <f>"株式会社Ｈ＆Ｍ"</f>
        <v>株式会社Ｈ＆Ｍ</v>
      </c>
      <c r="C129" t="str">
        <f>"株式会社Ｈ＆Ｍ"</f>
        <v>株式会社Ｈ＆Ｍ</v>
      </c>
      <c r="D129" t="str">
        <f>"熊本市南区出仲間１丁目３番１２号"</f>
        <v>熊本市南区出仲間１丁目３番１２号</v>
      </c>
      <c r="E129" t="str">
        <f>"R05.10.17"</f>
        <v>R05.10.17</v>
      </c>
      <c r="F129" t="str">
        <f>"R11.10.16"</f>
        <v>R11.10.16</v>
      </c>
    </row>
    <row r="130" spans="1:6" x14ac:dyDescent="0.2">
      <c r="A130" t="str">
        <f>"第1407号"</f>
        <v>第1407号</v>
      </c>
      <c r="B130" t="str">
        <f>"株式会社カドカワ"</f>
        <v>株式会社カドカワ</v>
      </c>
      <c r="C130" t="str">
        <f>"株式会社カドカワ"</f>
        <v>株式会社カドカワ</v>
      </c>
      <c r="D130" t="str">
        <f>"熊本市中央区平成３丁目１５－２８"</f>
        <v>熊本市中央区平成３丁目１５－２８</v>
      </c>
      <c r="E130" t="str">
        <f>"R03.11.24"</f>
        <v>R03.11.24</v>
      </c>
      <c r="F130" t="str">
        <f>"R09.11.23"</f>
        <v>R09.11.23</v>
      </c>
    </row>
    <row r="131" spans="1:6" x14ac:dyDescent="0.2">
      <c r="A131" t="str">
        <f>"第1428号"</f>
        <v>第1428号</v>
      </c>
      <c r="B131" t="str">
        <f>"株式会社　多田産業"</f>
        <v>株式会社　多田産業</v>
      </c>
      <c r="C131" t="str">
        <f>"株式会社　多田産業"</f>
        <v>株式会社　多田産業</v>
      </c>
      <c r="D131" t="str">
        <f>"熊本市東区保田窪5丁目９番９３号"</f>
        <v>熊本市東区保田窪5丁目９番９３号</v>
      </c>
      <c r="E131" t="str">
        <f>"R04.01.01"</f>
        <v>R04.01.01</v>
      </c>
      <c r="F131" t="str">
        <f>"R09.12.31"</f>
        <v>R09.12.31</v>
      </c>
    </row>
    <row r="132" spans="1:6" x14ac:dyDescent="0.2">
      <c r="A132" t="str">
        <f>"第1485号"</f>
        <v>第1485号</v>
      </c>
      <c r="B132" t="str">
        <f>"宝来メデック株式会社"</f>
        <v>宝来メデック株式会社</v>
      </c>
      <c r="C132" t="str">
        <f>"宝来メデック株式会社　熊本営業所"</f>
        <v>宝来メデック株式会社　熊本営業所</v>
      </c>
      <c r="D132" t="str">
        <f>"熊本市南区流通団地１丁目６９"</f>
        <v>熊本市南区流通団地１丁目６９</v>
      </c>
      <c r="E132" t="str">
        <f>"R01.08.01"</f>
        <v>R01.08.01</v>
      </c>
      <c r="F132" t="str">
        <f>"R07.07.31"</f>
        <v>R07.07.31</v>
      </c>
    </row>
    <row r="133" spans="1:6" x14ac:dyDescent="0.2">
      <c r="A133" t="str">
        <f>"第1510号"</f>
        <v>第1510号</v>
      </c>
      <c r="B133" t="str">
        <f>"株式会社メディカル商会"</f>
        <v>株式会社メディカル商会</v>
      </c>
      <c r="C133" t="str">
        <f>"株式会社メディカル商会"</f>
        <v>株式会社メディカル商会</v>
      </c>
      <c r="D133" t="str">
        <f>"熊本市東区新南部２丁目７番５１号"</f>
        <v>熊本市東区新南部２丁目７番５１号</v>
      </c>
      <c r="E133" t="str">
        <f>"R05.03.30"</f>
        <v>R05.03.30</v>
      </c>
      <c r="F133" t="str">
        <f>"R11.03.29"</f>
        <v>R11.03.29</v>
      </c>
    </row>
    <row r="134" spans="1:6" x14ac:dyDescent="0.2">
      <c r="A134" t="str">
        <f>"第1437号"</f>
        <v>第1437号</v>
      </c>
      <c r="B134" t="str">
        <f>"株式会社オリエンタル歯科器材"</f>
        <v>株式会社オリエンタル歯科器材</v>
      </c>
      <c r="C134" t="str">
        <f>"株式会社オリエンタル歯科器材　熊本営業所"</f>
        <v>株式会社オリエンタル歯科器材　熊本営業所</v>
      </c>
      <c r="D134" t="str">
        <f>"熊本市東区昭和町１－１９"</f>
        <v>熊本市東区昭和町１－１９</v>
      </c>
      <c r="E134" t="str">
        <f>"R05.03.29"</f>
        <v>R05.03.29</v>
      </c>
      <c r="F134" t="str">
        <f>"R11.03.28"</f>
        <v>R11.03.28</v>
      </c>
    </row>
    <row r="135" spans="1:6" x14ac:dyDescent="0.2">
      <c r="A135" t="str">
        <f>"第1508号"</f>
        <v>第1508号</v>
      </c>
      <c r="B135" t="str">
        <f>"木村医療器株式会社"</f>
        <v>木村医療器株式会社</v>
      </c>
      <c r="C135" t="str">
        <f>"木村医療器株式会社"</f>
        <v>木村医療器株式会社</v>
      </c>
      <c r="D135" t="str">
        <f>"熊本市南区江越二丁目６番３号"</f>
        <v>熊本市南区江越二丁目６番３号</v>
      </c>
      <c r="E135" t="str">
        <f>"R05.03.15"</f>
        <v>R05.03.15</v>
      </c>
      <c r="F135" t="str">
        <f>"R11.03.14"</f>
        <v>R11.03.14</v>
      </c>
    </row>
    <row r="136" spans="1:6" x14ac:dyDescent="0.2">
      <c r="A136" t="str">
        <f>"第1274号"</f>
        <v>第1274号</v>
      </c>
      <c r="B136" t="str">
        <f>"株式会社九州医薬"</f>
        <v>株式会社九州医薬</v>
      </c>
      <c r="C136" t="str">
        <f>"株式会社九州医薬"</f>
        <v>株式会社九州医薬</v>
      </c>
      <c r="D136" t="str">
        <f>"熊本市東区桜木１丁目１１番３号"</f>
        <v>熊本市東区桜木１丁目１１番３号</v>
      </c>
      <c r="E136" t="str">
        <f>"R05.01.01"</f>
        <v>R05.01.01</v>
      </c>
      <c r="F136" t="str">
        <f>"R10.12.31"</f>
        <v>R10.12.31</v>
      </c>
    </row>
    <row r="137" spans="1:6" x14ac:dyDescent="0.2">
      <c r="A137" t="str">
        <f>"第1433号"</f>
        <v>第1433号</v>
      </c>
      <c r="B137" t="str">
        <f>"熊本医療ガス株式会社"</f>
        <v>熊本医療ガス株式会社</v>
      </c>
      <c r="C137" t="str">
        <f>"熊本医療ガス株式会社"</f>
        <v>熊本医療ガス株式会社</v>
      </c>
      <c r="D137" t="str">
        <f>"熊本市北区下硯川町２２０５番"</f>
        <v>熊本市北区下硯川町２２０５番</v>
      </c>
      <c r="E137" t="str">
        <f>"R05.01.01"</f>
        <v>R05.01.01</v>
      </c>
      <c r="F137" t="str">
        <f>"R10.12.31"</f>
        <v>R10.12.31</v>
      </c>
    </row>
    <row r="138" spans="1:6" x14ac:dyDescent="0.2">
      <c r="A138" t="str">
        <f>"第1431号"</f>
        <v>第1431号</v>
      </c>
      <c r="B138" t="str">
        <f>"有限会社濱野産業"</f>
        <v>有限会社濱野産業</v>
      </c>
      <c r="C138" t="str">
        <f>"有限会社濱野産業"</f>
        <v>有限会社濱野産業</v>
      </c>
      <c r="D138" t="str">
        <f>"熊本市東区月出６丁目２番６６号"</f>
        <v>熊本市東区月出６丁目２番６６号</v>
      </c>
      <c r="E138" t="str">
        <f>"R04.12.21"</f>
        <v>R04.12.21</v>
      </c>
      <c r="F138" t="str">
        <f>"R10.12.20"</f>
        <v>R10.12.20</v>
      </c>
    </row>
    <row r="139" spans="1:6" x14ac:dyDescent="0.2">
      <c r="A139" t="str">
        <f>"第1359号"</f>
        <v>第1359号</v>
      </c>
      <c r="B139" t="str">
        <f>"クラシエ薬品株式会社"</f>
        <v>クラシエ薬品株式会社</v>
      </c>
      <c r="C139" t="str">
        <f>"クラシエ薬品株式会社　熊本営業所"</f>
        <v>クラシエ薬品株式会社　熊本営業所</v>
      </c>
      <c r="D139" t="str">
        <f>"熊本市中央区水前寺公園１４－２２"</f>
        <v>熊本市中央区水前寺公園１４－２２</v>
      </c>
      <c r="E139" t="str">
        <f t="shared" ref="E139:E144" si="2">"R05.01.01"</f>
        <v>R05.01.01</v>
      </c>
      <c r="F139" t="str">
        <f t="shared" ref="F139:F144" si="3">"R10.12.31"</f>
        <v>R10.12.31</v>
      </c>
    </row>
    <row r="140" spans="1:6" x14ac:dyDescent="0.2">
      <c r="A140" t="str">
        <f>"第1439号"</f>
        <v>第1439号</v>
      </c>
      <c r="B140" t="str">
        <f>"株式会社春雨堂"</f>
        <v>株式会社春雨堂</v>
      </c>
      <c r="C140" t="str">
        <f>"株式会社春雨堂平田支店"</f>
        <v>株式会社春雨堂平田支店</v>
      </c>
      <c r="D140" t="str">
        <f>"熊本市南区平田二丁目１５番２４号"</f>
        <v>熊本市南区平田二丁目１５番２４号</v>
      </c>
      <c r="E140" t="str">
        <f t="shared" si="2"/>
        <v>R05.01.01</v>
      </c>
      <c r="F140" t="str">
        <f t="shared" si="3"/>
        <v>R10.12.31</v>
      </c>
    </row>
    <row r="141" spans="1:6" x14ac:dyDescent="0.2">
      <c r="A141" t="str">
        <f>"第1366号"</f>
        <v>第1366号</v>
      </c>
      <c r="B141" t="str">
        <f>"株式会社同仁堂"</f>
        <v>株式会社同仁堂</v>
      </c>
      <c r="C141" t="str">
        <f>"同仁堂物流センター"</f>
        <v>同仁堂物流センター</v>
      </c>
      <c r="D141" t="str">
        <f>"熊本市南区流通団地１－７０"</f>
        <v>熊本市南区流通団地１－７０</v>
      </c>
      <c r="E141" t="str">
        <f t="shared" si="2"/>
        <v>R05.01.01</v>
      </c>
      <c r="F141" t="str">
        <f t="shared" si="3"/>
        <v>R10.12.31</v>
      </c>
    </row>
    <row r="142" spans="1:6" x14ac:dyDescent="0.2">
      <c r="A142" t="str">
        <f>"第1361号"</f>
        <v>第1361号</v>
      </c>
      <c r="B142" t="str">
        <f>"堤化学株式会社"</f>
        <v>堤化学株式会社</v>
      </c>
      <c r="C142" t="str">
        <f>"堤化学株式会社"</f>
        <v>堤化学株式会社</v>
      </c>
      <c r="D142" t="str">
        <f>"熊本市北区大窪２丁目８番６号"</f>
        <v>熊本市北区大窪２丁目８番６号</v>
      </c>
      <c r="E142" t="str">
        <f t="shared" si="2"/>
        <v>R05.01.01</v>
      </c>
      <c r="F142" t="str">
        <f t="shared" si="3"/>
        <v>R10.12.31</v>
      </c>
    </row>
    <row r="143" spans="1:6" x14ac:dyDescent="0.2">
      <c r="A143" t="str">
        <f>"第1434号"</f>
        <v>第1434号</v>
      </c>
      <c r="B143" t="str">
        <f>"フクダライフテック九州株式会社"</f>
        <v>フクダライフテック九州株式会社</v>
      </c>
      <c r="C143" t="str">
        <f>"フクダライフテック九州株式会社　熊本営業所"</f>
        <v>フクダライフテック九州株式会社　熊本営業所</v>
      </c>
      <c r="D143" t="str">
        <f>"熊本市中央区神水１－１５－３５"</f>
        <v>熊本市中央区神水１－１５－３５</v>
      </c>
      <c r="E143" t="str">
        <f t="shared" si="2"/>
        <v>R05.01.01</v>
      </c>
      <c r="F143" t="str">
        <f t="shared" si="3"/>
        <v>R10.12.31</v>
      </c>
    </row>
    <row r="144" spans="1:6" x14ac:dyDescent="0.2">
      <c r="A144" t="str">
        <f>"第1280号"</f>
        <v>第1280号</v>
      </c>
      <c r="B144" t="str">
        <f>"ハクゾウメディカル株式会社"</f>
        <v>ハクゾウメディカル株式会社</v>
      </c>
      <c r="C144" t="str">
        <f>"ハクゾウメディカル株式会社　熊本営業所"</f>
        <v>ハクゾウメディカル株式会社　熊本営業所</v>
      </c>
      <c r="D144" t="str">
        <f>"熊本市中央区坪井６丁目８番１号"</f>
        <v>熊本市中央区坪井６丁目８番１号</v>
      </c>
      <c r="E144" t="str">
        <f t="shared" si="2"/>
        <v>R05.01.01</v>
      </c>
      <c r="F144" t="str">
        <f t="shared" si="3"/>
        <v>R10.12.31</v>
      </c>
    </row>
    <row r="145" spans="1:6" x14ac:dyDescent="0.2">
      <c r="A145" t="str">
        <f>"第1154号"</f>
        <v>第1154号</v>
      </c>
      <c r="B145" t="str">
        <f>"富田薬品株式会社"</f>
        <v>富田薬品株式会社</v>
      </c>
      <c r="C145" t="str">
        <f>"富田薬品株式会社熊本東営業所"</f>
        <v>富田薬品株式会社熊本東営業所</v>
      </c>
      <c r="D145" t="str">
        <f>"熊本市東区西原１丁目２－５"</f>
        <v>熊本市東区西原１丁目２－５</v>
      </c>
      <c r="E145" t="str">
        <f>"R04.01.01"</f>
        <v>R04.01.01</v>
      </c>
      <c r="F145" t="str">
        <f>"R09.12.31"</f>
        <v>R09.12.31</v>
      </c>
    </row>
    <row r="146" spans="1:6" x14ac:dyDescent="0.2">
      <c r="A146" t="str">
        <f>"第1061号"</f>
        <v>第1061号</v>
      </c>
      <c r="B146" t="str">
        <f>"株式会社西本真生堂"</f>
        <v>株式会社西本真生堂</v>
      </c>
      <c r="C146" t="str">
        <f>"株式会社西本真生堂"</f>
        <v>株式会社西本真生堂</v>
      </c>
      <c r="D146" t="str">
        <f>"熊本市南区流通団地１丁目６４番"</f>
        <v>熊本市南区流通団地１丁目６４番</v>
      </c>
      <c r="E146" t="str">
        <f>"R04.08.01"</f>
        <v>R04.08.01</v>
      </c>
      <c r="F146" t="str">
        <f>"R10.07.31"</f>
        <v>R10.07.31</v>
      </c>
    </row>
    <row r="147" spans="1:6" x14ac:dyDescent="0.2">
      <c r="A147" t="str">
        <f>"第1502号"</f>
        <v>第1502号</v>
      </c>
      <c r="B147" t="str">
        <f>"黒田　雅明"</f>
        <v>黒田　雅明</v>
      </c>
      <c r="C147" t="str">
        <f>"黒田歯科商店"</f>
        <v>黒田歯科商店</v>
      </c>
      <c r="D147" t="str">
        <f>"熊本市中央区本荘６丁目１７－１６"</f>
        <v>熊本市中央区本荘６丁目１７－１６</v>
      </c>
      <c r="E147" t="str">
        <f>"R04.07.12"</f>
        <v>R04.07.12</v>
      </c>
      <c r="F147" t="str">
        <f>"R10.07.11"</f>
        <v>R10.07.11</v>
      </c>
    </row>
    <row r="148" spans="1:6" x14ac:dyDescent="0.2">
      <c r="A148" t="str">
        <f>"第1530号"</f>
        <v>第1530号</v>
      </c>
      <c r="B148" t="str">
        <f>"シンコー薬品株式会社"</f>
        <v>シンコー薬品株式会社</v>
      </c>
      <c r="C148" t="str">
        <f>"シンコー薬品株式会社　熊本営業所"</f>
        <v>シンコー薬品株式会社　熊本営業所</v>
      </c>
      <c r="D148" t="str">
        <f>"熊本市北区龍田陳内２丁目１５－２"</f>
        <v>熊本市北区龍田陳内２丁目１５－２</v>
      </c>
      <c r="E148" t="str">
        <f>"R01.08.26"</f>
        <v>R01.08.26</v>
      </c>
      <c r="F148" t="str">
        <f>"R07.08.25"</f>
        <v>R07.08.25</v>
      </c>
    </row>
    <row r="149" spans="1:6" x14ac:dyDescent="0.2">
      <c r="A149" t="str">
        <f>"第931号"</f>
        <v>第931号</v>
      </c>
      <c r="B149" t="str">
        <f>"共和薬品株式会社"</f>
        <v>共和薬品株式会社</v>
      </c>
      <c r="C149" t="str">
        <f>"共和薬品株式会社"</f>
        <v>共和薬品株式会社</v>
      </c>
      <c r="D149" t="str">
        <f>"熊本市南区出仲間6丁目１４－８"</f>
        <v>熊本市南区出仲間6丁目１４－８</v>
      </c>
      <c r="E149" t="str">
        <f>"R04.01.01"</f>
        <v>R04.01.01</v>
      </c>
      <c r="F149" t="str">
        <f>"R09.12.31"</f>
        <v>R09.12.31</v>
      </c>
    </row>
    <row r="150" spans="1:6" x14ac:dyDescent="0.2">
      <c r="A150" t="str">
        <f>"第1549号"</f>
        <v>第1549号</v>
      </c>
      <c r="B150" t="str">
        <f>"熊本県畜産農業協同組合連合会"</f>
        <v>熊本県畜産農業協同組合連合会</v>
      </c>
      <c r="C150" t="str">
        <f>"熊本県畜産農業協同組合連合会"</f>
        <v>熊本県畜産農業協同組合連合会</v>
      </c>
      <c r="D150" t="str">
        <f>"熊本市東区桜木6丁目３番５４号"</f>
        <v>熊本市東区桜木6丁目３番５４号</v>
      </c>
      <c r="E150" t="str">
        <f>"R03.12.16"</f>
        <v>R03.12.16</v>
      </c>
      <c r="F150" t="str">
        <f>"R09.12.15"</f>
        <v>R09.12.15</v>
      </c>
    </row>
    <row r="151" spans="1:6" x14ac:dyDescent="0.2">
      <c r="A151" t="str">
        <f>"第1421号"</f>
        <v>第1421号</v>
      </c>
      <c r="B151" t="str">
        <f>"株式会社吉澤"</f>
        <v>株式会社吉澤</v>
      </c>
      <c r="C151" t="str">
        <f>"株式会社吉澤"</f>
        <v>株式会社吉澤</v>
      </c>
      <c r="D151" t="str">
        <f>"熊本市南区良町２丁目８－８"</f>
        <v>熊本市南区良町２丁目８－８</v>
      </c>
      <c r="E151" t="str">
        <f>"R04.01.01"</f>
        <v>R04.01.01</v>
      </c>
      <c r="F151" t="str">
        <f>"R09.12.31"</f>
        <v>R09.12.31</v>
      </c>
    </row>
    <row r="152" spans="1:6" x14ac:dyDescent="0.2">
      <c r="A152" t="str">
        <f>"第164号"</f>
        <v>第164号</v>
      </c>
      <c r="B152" t="str">
        <f>"合名会社徳光屋本店"</f>
        <v>合名会社徳光屋本店</v>
      </c>
      <c r="C152" t="str">
        <f>"合名会社徳光屋本店"</f>
        <v>合名会社徳光屋本店</v>
      </c>
      <c r="D152" t="str">
        <f>"熊本市新町二丁目１０番２０号"</f>
        <v>熊本市新町二丁目１０番２０号</v>
      </c>
      <c r="E152" t="str">
        <f>"R04.01.01"</f>
        <v>R04.01.01</v>
      </c>
      <c r="F152" t="str">
        <f>"R09.12.31"</f>
        <v>R09.12.31</v>
      </c>
    </row>
    <row r="153" spans="1:6" x14ac:dyDescent="0.2">
      <c r="A153" t="str">
        <f>"第1353号"</f>
        <v>第1353号</v>
      </c>
      <c r="B153" t="str">
        <f>"株式会社ファーマダイワ"</f>
        <v>株式会社ファーマダイワ</v>
      </c>
      <c r="C153" t="str">
        <f>"ファーマダイワ本部"</f>
        <v>ファーマダイワ本部</v>
      </c>
      <c r="D153" t="str">
        <f>"熊本市南区流通団地一丁目５６番地"</f>
        <v>熊本市南区流通団地一丁目５６番地</v>
      </c>
      <c r="E153" t="str">
        <f>"R04.01.01"</f>
        <v>R04.01.01</v>
      </c>
      <c r="F153" t="str">
        <f>"R09.12.31"</f>
        <v>R09.12.31</v>
      </c>
    </row>
    <row r="154" spans="1:6" x14ac:dyDescent="0.2">
      <c r="A154" t="str">
        <f>"第1542号"</f>
        <v>第1542号</v>
      </c>
      <c r="B154" t="str">
        <f>"イヅミ薬品販売株式会社"</f>
        <v>イヅミ薬品販売株式会社</v>
      </c>
      <c r="C154" t="str">
        <f>"イヅミ薬品販売株式会社　九州支店"</f>
        <v>イヅミ薬品販売株式会社　九州支店</v>
      </c>
      <c r="D154" t="str">
        <f>"熊本市中央区国府三丁目２７番２０号"</f>
        <v>熊本市中央区国府三丁目２７番２０号</v>
      </c>
      <c r="E154" t="str">
        <f>"R02.12.01"</f>
        <v>R02.12.01</v>
      </c>
      <c r="F154" t="str">
        <f>"R08.11.30"</f>
        <v>R08.11.30</v>
      </c>
    </row>
    <row r="155" spans="1:6" x14ac:dyDescent="0.2">
      <c r="A155" t="str">
        <f>"第1540号"</f>
        <v>第1540号</v>
      </c>
      <c r="B155" t="str">
        <f>"株式会社ユーケイデンタル"</f>
        <v>株式会社ユーケイデンタル</v>
      </c>
      <c r="C155" t="str">
        <f>"株式会社ユーケイデンタル　商品センター"</f>
        <v>株式会社ユーケイデンタル　商品センター</v>
      </c>
      <c r="D155" t="str">
        <f>"熊本市南区流通団地一丁目６８番地"</f>
        <v>熊本市南区流通団地一丁目６８番地</v>
      </c>
      <c r="E155" t="str">
        <f>"R02.10.21"</f>
        <v>R02.10.21</v>
      </c>
      <c r="F155" t="str">
        <f>"R08.10.20"</f>
        <v>R08.10.20</v>
      </c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YDataSearch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1900886</dc:creator>
  <cp:lastModifiedBy>Windows ユーザー</cp:lastModifiedBy>
  <dcterms:created xsi:type="dcterms:W3CDTF">2025-07-01T06:55:13Z</dcterms:created>
  <dcterms:modified xsi:type="dcterms:W3CDTF">2025-07-09T01:17:40Z</dcterms:modified>
</cp:coreProperties>
</file>